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4160" yWindow="225" windowWidth="13320" windowHeight="11220" firstSheet="4" activeTab="7"/>
  </bookViews>
  <sheets>
    <sheet name="Données" sheetId="18" r:id="rId1"/>
    <sheet name="Rens." sheetId="10" state="hidden" r:id="rId2"/>
    <sheet name="Déroulement" sheetId="17" state="hidden" r:id="rId3"/>
    <sheet name="Poule 3Eq. " sheetId="19" r:id="rId4"/>
    <sheet name="Poule 4Eq." sheetId="20" r:id="rId5"/>
    <sheet name="Poule 5 Eq. (1_2_3 Q.)" sheetId="22" r:id="rId6"/>
    <sheet name="Poule 5 Eq. (4 Q.)" sheetId="23" r:id="rId7"/>
    <sheet name="6.7 Eq." sheetId="21" r:id="rId8"/>
    <sheet name="Poule 1 et 2" sheetId="1" state="hidden" r:id="rId9"/>
    <sheet name="Poule 3 et 4" sheetId="2" state="hidden" r:id="rId10"/>
    <sheet name="Poule 5 et 6" sheetId="3" state="hidden" r:id="rId11"/>
    <sheet name="Poule 7 et 8" sheetId="4" state="hidden" r:id="rId12"/>
    <sheet name="Poule 9 et 10" sheetId="5" state="hidden" r:id="rId13"/>
    <sheet name="Poule 11 et 12" sheetId="6" state="hidden" r:id="rId14"/>
    <sheet name="Poule 13 et 14" sheetId="7" state="hidden" r:id="rId15"/>
    <sheet name="Poule 15 et 16" sheetId="8" state="hidden" r:id="rId16"/>
    <sheet name="parties éliminatoires " sheetId="14" state="hidden" r:id="rId17"/>
    <sheet name="déroul 3.4.5 Eq." sheetId="16" state="hidden" r:id="rId18"/>
    <sheet name="Feuil1" sheetId="24" r:id="rId19"/>
  </sheets>
  <definedNames>
    <definedName name="Catégorie">Données!$A$2:$A$4</definedName>
    <definedName name="Féminine">Données!$C$2:$C$5</definedName>
    <definedName name="Jeunes">Données!$D$2:$D$8</definedName>
    <definedName name="Masculin">Données!$B$2:$B$5</definedName>
    <definedName name="Série">Données!$E$2:$E$5</definedName>
    <definedName name="_xlnm.Print_Area" localSheetId="7">'6.7 Eq.'!$A$1:$BX$56</definedName>
    <definedName name="_xlnm.Print_Area" localSheetId="8">'Poule 1 et 2'!$A$1:$AR$45</definedName>
    <definedName name="_xlnm.Print_Area" localSheetId="3">'Poule 3Eq. '!$A$1:$BM$33</definedName>
    <definedName name="_xlnm.Print_Area" localSheetId="4">'Poule 4Eq.'!$A$1:$BE$31</definedName>
    <definedName name="_xlnm.Print_Area" localSheetId="5">'Poule 5 Eq. (1_2_3 Q.)'!$A$1:$CG$27</definedName>
    <definedName name="_xlnm.Print_Area" localSheetId="6">'Poule 5 Eq. (4 Q.)'!$A$1:$CQ$30</definedName>
  </definedNames>
  <calcPr calcId="125725"/>
</workbook>
</file>

<file path=xl/calcChain.xml><?xml version="1.0" encoding="utf-8"?>
<calcChain xmlns="http://schemas.openxmlformats.org/spreadsheetml/2006/main">
  <c r="BF36" i="21"/>
  <c r="AT36"/>
  <c r="AL36"/>
  <c r="AB36"/>
  <c r="S36"/>
  <c r="BK34"/>
  <c r="BH34"/>
  <c r="BG34"/>
  <c r="BB34"/>
  <c r="AV34"/>
  <c r="AU34"/>
  <c r="AN34"/>
  <c r="AM34"/>
  <c r="AD34"/>
  <c r="AC34"/>
  <c r="Y34"/>
  <c r="U34"/>
  <c r="T34"/>
  <c r="R34"/>
  <c r="Q34"/>
  <c r="BK33"/>
  <c r="BH33"/>
  <c r="BG33"/>
  <c r="BB33"/>
  <c r="AV33"/>
  <c r="AU33"/>
  <c r="AN33"/>
  <c r="AM33"/>
  <c r="AD33"/>
  <c r="AC33"/>
  <c r="Y33"/>
  <c r="U33"/>
  <c r="T33"/>
  <c r="R33"/>
  <c r="Q33"/>
  <c r="BK32"/>
  <c r="BH32"/>
  <c r="BG32"/>
  <c r="BB32"/>
  <c r="AV32"/>
  <c r="AU32"/>
  <c r="AN32"/>
  <c r="AM32"/>
  <c r="AD32"/>
  <c r="AC32"/>
  <c r="Y32"/>
  <c r="U32"/>
  <c r="T32"/>
  <c r="R32"/>
  <c r="Q32"/>
  <c r="BK31"/>
  <c r="BH31"/>
  <c r="BG31"/>
  <c r="BB31"/>
  <c r="AV31"/>
  <c r="AU31"/>
  <c r="AN31"/>
  <c r="AM31"/>
  <c r="AD31"/>
  <c r="AC31"/>
  <c r="Y31"/>
  <c r="U31"/>
  <c r="T31"/>
  <c r="R31"/>
  <c r="Q31"/>
  <c r="BK30"/>
  <c r="BH30"/>
  <c r="BG30"/>
  <c r="BB30"/>
  <c r="AV30"/>
  <c r="AU30"/>
  <c r="AN30"/>
  <c r="AM30"/>
  <c r="AD30"/>
  <c r="AC30"/>
  <c r="Y30"/>
  <c r="U30"/>
  <c r="T30"/>
  <c r="R30"/>
  <c r="Q30"/>
  <c r="BK29"/>
  <c r="BH29"/>
  <c r="BG29"/>
  <c r="BB29"/>
  <c r="AV29"/>
  <c r="AU29"/>
  <c r="AN29"/>
  <c r="AM29"/>
  <c r="AD29"/>
  <c r="AC29"/>
  <c r="AC36" s="1"/>
  <c r="Y29"/>
  <c r="U29"/>
  <c r="T29"/>
  <c r="R29"/>
  <c r="AJ29" s="1"/>
  <c r="Q29"/>
  <c r="E26"/>
  <c r="E25"/>
  <c r="BK52"/>
  <c r="BK51"/>
  <c r="BK50"/>
  <c r="BK49"/>
  <c r="BK48"/>
  <c r="BK47"/>
  <c r="BK46"/>
  <c r="BG46"/>
  <c r="BH46"/>
  <c r="Y50"/>
  <c r="BH51"/>
  <c r="BG51"/>
  <c r="BB51"/>
  <c r="BH50"/>
  <c r="BG50"/>
  <c r="BB50"/>
  <c r="T51"/>
  <c r="T50"/>
  <c r="AU50"/>
  <c r="AU51"/>
  <c r="AV51"/>
  <c r="AV50"/>
  <c r="AN51"/>
  <c r="AM51"/>
  <c r="AI51"/>
  <c r="AN50"/>
  <c r="AM50"/>
  <c r="AI50"/>
  <c r="AD51"/>
  <c r="AC51"/>
  <c r="AD50"/>
  <c r="AC50"/>
  <c r="Y51"/>
  <c r="U51"/>
  <c r="U50"/>
  <c r="R52"/>
  <c r="BC49" s="1"/>
  <c r="R51"/>
  <c r="AS49" s="1"/>
  <c r="Q51"/>
  <c r="R50"/>
  <c r="Z50" s="1"/>
  <c r="Q50"/>
  <c r="F17"/>
  <c r="E17"/>
  <c r="F16"/>
  <c r="E16"/>
  <c r="BT29" l="1"/>
  <c r="BV29"/>
  <c r="BO29"/>
  <c r="BM29"/>
  <c r="AJ31"/>
  <c r="Z31"/>
  <c r="BT31"/>
  <c r="BM31"/>
  <c r="AS32"/>
  <c r="Z34"/>
  <c r="BC30"/>
  <c r="AJ34"/>
  <c r="BT33"/>
  <c r="BM33"/>
  <c r="BC32"/>
  <c r="AS33"/>
  <c r="AJ30"/>
  <c r="Z33"/>
  <c r="BV30"/>
  <c r="BT30"/>
  <c r="BO30"/>
  <c r="BM30"/>
  <c r="AS34"/>
  <c r="BC33"/>
  <c r="AJ32"/>
  <c r="BT32"/>
  <c r="BM32"/>
  <c r="AS30"/>
  <c r="BC34"/>
  <c r="AJ33"/>
  <c r="Z32"/>
  <c r="BV34"/>
  <c r="BO34"/>
  <c r="BM34"/>
  <c r="BT34"/>
  <c r="T36"/>
  <c r="AM36"/>
  <c r="AU36"/>
  <c r="BG36"/>
  <c r="AS29"/>
  <c r="BP29" s="1"/>
  <c r="BC29"/>
  <c r="BX29" s="1"/>
  <c r="Z30"/>
  <c r="AS31"/>
  <c r="BC31"/>
  <c r="Z29"/>
  <c r="BU29" s="1"/>
  <c r="AJ50"/>
  <c r="AJ52"/>
  <c r="AS47"/>
  <c r="BC47"/>
  <c r="BC51"/>
  <c r="Z52"/>
  <c r="AJ51"/>
  <c r="AS51"/>
  <c r="Z51"/>
  <c r="BW34" l="1"/>
  <c r="BO32"/>
  <c r="BV32"/>
  <c r="BO31"/>
  <c r="BP34"/>
  <c r="BQ32"/>
  <c r="BX32"/>
  <c r="BU32"/>
  <c r="BQ30"/>
  <c r="BX30"/>
  <c r="BU30"/>
  <c r="CH34"/>
  <c r="BN33"/>
  <c r="BV33"/>
  <c r="BQ33"/>
  <c r="BX33"/>
  <c r="BN31"/>
  <c r="BV31"/>
  <c r="BQ31"/>
  <c r="BX31"/>
  <c r="BQ29"/>
  <c r="BW29"/>
  <c r="CH29"/>
  <c r="BY36"/>
  <c r="CH33"/>
  <c r="BQ34"/>
  <c r="BX34"/>
  <c r="BN34"/>
  <c r="BU34"/>
  <c r="BP32"/>
  <c r="BW32"/>
  <c r="CH32"/>
  <c r="BN32"/>
  <c r="BP30"/>
  <c r="BW30"/>
  <c r="CH30"/>
  <c r="BN30"/>
  <c r="BO33"/>
  <c r="BU33"/>
  <c r="BP33"/>
  <c r="BW33"/>
  <c r="BU31"/>
  <c r="BP31"/>
  <c r="BW31"/>
  <c r="CH31"/>
  <c r="BN29"/>
  <c r="CD34"/>
  <c r="CD29"/>
  <c r="CD32" l="1"/>
  <c r="CD30"/>
  <c r="CD31"/>
  <c r="E11" l="1"/>
  <c r="E43"/>
  <c r="E42"/>
  <c r="E10"/>
  <c r="BF53" l="1"/>
  <c r="AT53"/>
  <c r="AL53"/>
  <c r="AB53"/>
  <c r="S53"/>
  <c r="BH49"/>
  <c r="BH48"/>
  <c r="BH47"/>
  <c r="R49"/>
  <c r="R48"/>
  <c r="R47"/>
  <c r="R46"/>
  <c r="BG49"/>
  <c r="BB49"/>
  <c r="AV49"/>
  <c r="AU49"/>
  <c r="AN49"/>
  <c r="AM49"/>
  <c r="AI49"/>
  <c r="AD49"/>
  <c r="AC49"/>
  <c r="Y49"/>
  <c r="U49"/>
  <c r="T49"/>
  <c r="Q49"/>
  <c r="BG48"/>
  <c r="BB48"/>
  <c r="AV48"/>
  <c r="AU48"/>
  <c r="AN48"/>
  <c r="AM48"/>
  <c r="AI48"/>
  <c r="AD48"/>
  <c r="AC48"/>
  <c r="Y48"/>
  <c r="U48"/>
  <c r="T48"/>
  <c r="Q48"/>
  <c r="BG47"/>
  <c r="BB47"/>
  <c r="AV47"/>
  <c r="AU47"/>
  <c r="AN47"/>
  <c r="AM47"/>
  <c r="AI47"/>
  <c r="AD47"/>
  <c r="AC47"/>
  <c r="Y47"/>
  <c r="U47"/>
  <c r="T47"/>
  <c r="Q47"/>
  <c r="BB46"/>
  <c r="AV46"/>
  <c r="AU46"/>
  <c r="AN46"/>
  <c r="AM46"/>
  <c r="AI46"/>
  <c r="AD46"/>
  <c r="AC46"/>
  <c r="Y46"/>
  <c r="U46"/>
  <c r="T46"/>
  <c r="Q46"/>
  <c r="U17" i="23"/>
  <c r="U18"/>
  <c r="U13"/>
  <c r="U14"/>
  <c r="U15"/>
  <c r="U16"/>
  <c r="D3"/>
  <c r="B3"/>
  <c r="BJ5" i="22"/>
  <c r="BC3" i="23"/>
  <c r="BA3"/>
  <c r="AP3" i="22"/>
  <c r="AN3"/>
  <c r="AV5" i="19"/>
  <c r="AH3"/>
  <c r="G8"/>
  <c r="G9"/>
  <c r="AQ3" i="20"/>
  <c r="BO2" i="21"/>
  <c r="AJ49" l="1"/>
  <c r="BC48"/>
  <c r="BT47"/>
  <c r="BC46"/>
  <c r="BM47"/>
  <c r="CB47" s="1"/>
  <c r="BT51"/>
  <c r="AS50"/>
  <c r="Z47"/>
  <c r="BT52"/>
  <c r="BM52"/>
  <c r="BC52"/>
  <c r="BM51"/>
  <c r="BT50"/>
  <c r="BM50"/>
  <c r="CB50" s="1"/>
  <c r="AJ47"/>
  <c r="AS52"/>
  <c r="BC50"/>
  <c r="AC53"/>
  <c r="T53"/>
  <c r="AM53"/>
  <c r="BG53"/>
  <c r="AU53"/>
  <c r="BF55"/>
  <c r="BM46"/>
  <c r="BT46"/>
  <c r="Z46"/>
  <c r="AJ46"/>
  <c r="AS46"/>
  <c r="Z48"/>
  <c r="AJ48"/>
  <c r="AS48"/>
  <c r="Z49"/>
  <c r="BU50" s="1"/>
  <c r="CC15" i="22"/>
  <c r="X17" i="21"/>
  <c r="T17"/>
  <c r="T16"/>
  <c r="T15"/>
  <c r="T13"/>
  <c r="Y13" s="1"/>
  <c r="AF13" s="1"/>
  <c r="Y11"/>
  <c r="AF10" s="1"/>
  <c r="Y10"/>
  <c r="AF12" s="1"/>
  <c r="D3"/>
  <c r="B3"/>
  <c r="U3" i="23"/>
  <c r="S3"/>
  <c r="BB18"/>
  <c r="BF16"/>
  <c r="BE16"/>
  <c r="BB16"/>
  <c r="BF15"/>
  <c r="BE15"/>
  <c r="BB15"/>
  <c r="BF14"/>
  <c r="BE14"/>
  <c r="BB14"/>
  <c r="BF13"/>
  <c r="BE13"/>
  <c r="BB13"/>
  <c r="BO47" i="21" l="1"/>
  <c r="BO49"/>
  <c r="BO51"/>
  <c r="BV46"/>
  <c r="BV48"/>
  <c r="BV50"/>
  <c r="BV52"/>
  <c r="BV47"/>
  <c r="BV49"/>
  <c r="BV51"/>
  <c r="CD51" s="1"/>
  <c r="BO46"/>
  <c r="BO48"/>
  <c r="BO50"/>
  <c r="BO52"/>
  <c r="BW50"/>
  <c r="CE30"/>
  <c r="BU46"/>
  <c r="CC33"/>
  <c r="CC34"/>
  <c r="CC29"/>
  <c r="CC32"/>
  <c r="CF30"/>
  <c r="CF34"/>
  <c r="CB34"/>
  <c r="BR34"/>
  <c r="CB30"/>
  <c r="BR30"/>
  <c r="CB29"/>
  <c r="BR29"/>
  <c r="CB31"/>
  <c r="BR31"/>
  <c r="BY33"/>
  <c r="BR32"/>
  <c r="CB32"/>
  <c r="CB33"/>
  <c r="BR33"/>
  <c r="BY32"/>
  <c r="BY30"/>
  <c r="BY34"/>
  <c r="BY29"/>
  <c r="BY31"/>
  <c r="BP50"/>
  <c r="BW46"/>
  <c r="BP47"/>
  <c r="BP51"/>
  <c r="BW51"/>
  <c r="BW47"/>
  <c r="BQ47"/>
  <c r="BX51"/>
  <c r="BQ51"/>
  <c r="BX47"/>
  <c r="BQ52"/>
  <c r="BX52"/>
  <c r="CD47"/>
  <c r="BP52"/>
  <c r="BW52"/>
  <c r="BX48"/>
  <c r="BW48"/>
  <c r="BU48"/>
  <c r="BT48"/>
  <c r="BQ48"/>
  <c r="CF48" s="1"/>
  <c r="BP48"/>
  <c r="BN48"/>
  <c r="CC48" s="1"/>
  <c r="BM48"/>
  <c r="CB48" s="1"/>
  <c r="CB46"/>
  <c r="BN50"/>
  <c r="CC50" s="1"/>
  <c r="BX50"/>
  <c r="BX49"/>
  <c r="BW49"/>
  <c r="BU49"/>
  <c r="BT49"/>
  <c r="BQ49"/>
  <c r="BP49"/>
  <c r="CE49" s="1"/>
  <c r="BN49"/>
  <c r="CC49" s="1"/>
  <c r="BM49"/>
  <c r="CB51"/>
  <c r="CB52"/>
  <c r="BU47"/>
  <c r="BU51"/>
  <c r="BN47"/>
  <c r="CC47" s="1"/>
  <c r="BN51"/>
  <c r="CC51" s="1"/>
  <c r="BU52"/>
  <c r="BY52" s="1"/>
  <c r="BN52"/>
  <c r="BQ50"/>
  <c r="CH50"/>
  <c r="BY53"/>
  <c r="CH46"/>
  <c r="CH49"/>
  <c r="CH52"/>
  <c r="CH48"/>
  <c r="CH51"/>
  <c r="CH47"/>
  <c r="BG55"/>
  <c r="BX46"/>
  <c r="BP46"/>
  <c r="BQ46"/>
  <c r="BN46"/>
  <c r="CC46" s="1"/>
  <c r="AN12"/>
  <c r="AU11"/>
  <c r="Y16"/>
  <c r="AF15" s="1"/>
  <c r="Y12"/>
  <c r="AF11" s="1"/>
  <c r="AN11" s="1"/>
  <c r="Y15"/>
  <c r="AF17" s="1"/>
  <c r="BQ5"/>
  <c r="U10"/>
  <c r="U15"/>
  <c r="D17"/>
  <c r="D16"/>
  <c r="H14" s="1"/>
  <c r="Y17"/>
  <c r="AF16" s="1"/>
  <c r="AN16" s="1"/>
  <c r="AT18" i="23"/>
  <c r="AR18"/>
  <c r="AS17" s="1"/>
  <c r="AJ18"/>
  <c r="AK17" s="1"/>
  <c r="AL18"/>
  <c r="AC18"/>
  <c r="AB13"/>
  <c r="AA18"/>
  <c r="BI18"/>
  <c r="T18"/>
  <c r="AS18"/>
  <c r="AK18"/>
  <c r="AB18"/>
  <c r="T17"/>
  <c r="AW16"/>
  <c r="AV16"/>
  <c r="AO16"/>
  <c r="AN16"/>
  <c r="AF16"/>
  <c r="AE16"/>
  <c r="X16"/>
  <c r="W16"/>
  <c r="T16"/>
  <c r="AW15"/>
  <c r="AV15"/>
  <c r="AS15"/>
  <c r="AS16"/>
  <c r="AO15"/>
  <c r="AN15"/>
  <c r="AK15"/>
  <c r="AK16"/>
  <c r="AF15"/>
  <c r="AE15"/>
  <c r="AB15"/>
  <c r="AB16"/>
  <c r="X15"/>
  <c r="W15"/>
  <c r="T15"/>
  <c r="AW14"/>
  <c r="AV14"/>
  <c r="AO14"/>
  <c r="AN14"/>
  <c r="AF14"/>
  <c r="AE14"/>
  <c r="X14"/>
  <c r="W14"/>
  <c r="T14"/>
  <c r="AW13"/>
  <c r="AV13"/>
  <c r="AS13"/>
  <c r="AS14"/>
  <c r="AO13"/>
  <c r="AN13"/>
  <c r="AK13"/>
  <c r="AK14"/>
  <c r="AF13"/>
  <c r="AE13"/>
  <c r="AB14"/>
  <c r="X13"/>
  <c r="W13"/>
  <c r="T13"/>
  <c r="BM54" i="21" l="1"/>
  <c r="BY51"/>
  <c r="CD50"/>
  <c r="BY47"/>
  <c r="BY48"/>
  <c r="BT54"/>
  <c r="BY49"/>
  <c r="CD33"/>
  <c r="CC31"/>
  <c r="BZ32"/>
  <c r="CI32" s="1"/>
  <c r="CO32"/>
  <c r="BY50"/>
  <c r="CF52"/>
  <c r="CF51"/>
  <c r="CF32"/>
  <c r="CC30"/>
  <c r="BZ33"/>
  <c r="CI33" s="1"/>
  <c r="CO33"/>
  <c r="CO31"/>
  <c r="BZ31"/>
  <c r="CI31" s="1"/>
  <c r="BZ29"/>
  <c r="CI29" s="1"/>
  <c r="CO29"/>
  <c r="BR36"/>
  <c r="CO30"/>
  <c r="BZ30"/>
  <c r="CI30" s="1"/>
  <c r="BZ34"/>
  <c r="CI34" s="1"/>
  <c r="CO34"/>
  <c r="CF31"/>
  <c r="CF29"/>
  <c r="CF33"/>
  <c r="CE34"/>
  <c r="CE33"/>
  <c r="CE31"/>
  <c r="CE32"/>
  <c r="CE29"/>
  <c r="CE51"/>
  <c r="CE52"/>
  <c r="CD46"/>
  <c r="CF46"/>
  <c r="CC52"/>
  <c r="CB49"/>
  <c r="BR52"/>
  <c r="BR51"/>
  <c r="CD52"/>
  <c r="BX54"/>
  <c r="BW54"/>
  <c r="BO54"/>
  <c r="BU54"/>
  <c r="BV54"/>
  <c r="BN54"/>
  <c r="BP54"/>
  <c r="BQ54"/>
  <c r="BA7"/>
  <c r="AU12"/>
  <c r="BA12" s="1"/>
  <c r="BE12" s="1"/>
  <c r="BG10" s="1"/>
  <c r="AN17"/>
  <c r="AU16"/>
  <c r="AB17" i="23"/>
  <c r="BC18"/>
  <c r="BA18"/>
  <c r="BB17" s="1"/>
  <c r="CC18"/>
  <c r="CJ31" i="21" l="1"/>
  <c r="CJ33"/>
  <c r="CJ30"/>
  <c r="CJ32"/>
  <c r="CJ34"/>
  <c r="CJ29"/>
  <c r="BZ36"/>
  <c r="BZ52"/>
  <c r="CI52" s="1"/>
  <c r="CO52"/>
  <c r="BZ51"/>
  <c r="CI51" s="1"/>
  <c r="CO51"/>
  <c r="BY54"/>
  <c r="BR54"/>
  <c r="AU17"/>
  <c r="BA8" s="1"/>
  <c r="BE8" s="1"/>
  <c r="BA13"/>
  <c r="BE13" s="1"/>
  <c r="BG19" s="1"/>
  <c r="CA18" i="23"/>
  <c r="BE7" i="21"/>
  <c r="BG9" s="1"/>
  <c r="BK9" s="1"/>
  <c r="BO12" s="1"/>
  <c r="CB18" i="23"/>
  <c r="CE18"/>
  <c r="CD18"/>
  <c r="CR34" i="21" l="1"/>
  <c r="CS34"/>
  <c r="CR30"/>
  <c r="CS30"/>
  <c r="CR31"/>
  <c r="CS31"/>
  <c r="CR32"/>
  <c r="CS32"/>
  <c r="CR33"/>
  <c r="CS33"/>
  <c r="CR29"/>
  <c r="CS29"/>
  <c r="CP34"/>
  <c r="CQ34"/>
  <c r="CP30"/>
  <c r="CQ30"/>
  <c r="CP31"/>
  <c r="CQ31"/>
  <c r="CP32"/>
  <c r="CQ32"/>
  <c r="CP33"/>
  <c r="CQ33"/>
  <c r="CP29"/>
  <c r="CQ29"/>
  <c r="CM34"/>
  <c r="CN34"/>
  <c r="CM30"/>
  <c r="CN30"/>
  <c r="CM31"/>
  <c r="CN31"/>
  <c r="CM32"/>
  <c r="CN32"/>
  <c r="CM33"/>
  <c r="CN33"/>
  <c r="CM29"/>
  <c r="CN29"/>
  <c r="BK19"/>
  <c r="BG18"/>
  <c r="BK10"/>
  <c r="BO13" s="1"/>
  <c r="CH54" l="1"/>
  <c r="BK18"/>
  <c r="BO14" s="1"/>
  <c r="BR48"/>
  <c r="BZ48" s="1"/>
  <c r="CI48" s="1"/>
  <c r="BR46"/>
  <c r="BR47"/>
  <c r="BZ47" s="1"/>
  <c r="CI47" s="1"/>
  <c r="E17" i="22"/>
  <c r="D17" s="1"/>
  <c r="E16"/>
  <c r="D16" s="1"/>
  <c r="K14" s="1"/>
  <c r="AX6" s="1"/>
  <c r="W15"/>
  <c r="AB15" s="1"/>
  <c r="AM14"/>
  <c r="AL14"/>
  <c r="W14"/>
  <c r="AB14" s="1"/>
  <c r="AM13"/>
  <c r="AL13"/>
  <c r="AB13"/>
  <c r="AJ14" s="1"/>
  <c r="AB12"/>
  <c r="AB11"/>
  <c r="G11"/>
  <c r="CE5" s="1"/>
  <c r="G10"/>
  <c r="AN6" s="1"/>
  <c r="AO6"/>
  <c r="AJ3"/>
  <c r="AH3"/>
  <c r="D3"/>
  <c r="B3"/>
  <c r="G17" i="20"/>
  <c r="G16"/>
  <c r="W15"/>
  <c r="AB15" s="1"/>
  <c r="AB14"/>
  <c r="AK13" s="1"/>
  <c r="AB13"/>
  <c r="AK12" s="1"/>
  <c r="AB12"/>
  <c r="AK14" s="1"/>
  <c r="G11"/>
  <c r="BC7" s="1"/>
  <c r="G10"/>
  <c r="AL6" s="1"/>
  <c r="AM6"/>
  <c r="BB2" s="1"/>
  <c r="AW12" s="1"/>
  <c r="AK3"/>
  <c r="AI3"/>
  <c r="D3"/>
  <c r="B3"/>
  <c r="AR3" i="19"/>
  <c r="AP3"/>
  <c r="AM3"/>
  <c r="Y24"/>
  <c r="E15"/>
  <c r="D15" s="1"/>
  <c r="E14"/>
  <c r="X14"/>
  <c r="AC14" s="1"/>
  <c r="AK14" s="1"/>
  <c r="AC13"/>
  <c r="AK12" s="1"/>
  <c r="AY12" s="1"/>
  <c r="AC12"/>
  <c r="AK11" s="1"/>
  <c r="AR12" s="1"/>
  <c r="AY13" s="1"/>
  <c r="BD13" s="1"/>
  <c r="AC11"/>
  <c r="AK13" s="1"/>
  <c r="AR13" s="1"/>
  <c r="BI5"/>
  <c r="AL6"/>
  <c r="AJ3"/>
  <c r="D3"/>
  <c r="B3"/>
  <c r="AI1" i="1"/>
  <c r="AX18" i="17"/>
  <c r="AX17"/>
  <c r="AS18"/>
  <c r="AS17"/>
  <c r="CD48" i="21" l="1"/>
  <c r="CE48"/>
  <c r="CE47"/>
  <c r="CE46"/>
  <c r="CF47"/>
  <c r="BR49"/>
  <c r="BZ49" s="1"/>
  <c r="CI49" s="1"/>
  <c r="BR50"/>
  <c r="BZ50" s="1"/>
  <c r="CI50" s="1"/>
  <c r="AJ12" i="22"/>
  <c r="AS13" s="1"/>
  <c r="AZ13" s="1"/>
  <c r="AJ15"/>
  <c r="AS14" s="1"/>
  <c r="BM15" s="1"/>
  <c r="AN7"/>
  <c r="X11"/>
  <c r="AO13" s="1"/>
  <c r="BA12" i="20"/>
  <c r="AQ12"/>
  <c r="AQ13"/>
  <c r="AK15"/>
  <c r="X12"/>
  <c r="AL7"/>
  <c r="F16"/>
  <c r="K14" s="1"/>
  <c r="AU6" s="1"/>
  <c r="F17"/>
  <c r="AL7" i="19"/>
  <c r="BH14"/>
  <c r="Y11"/>
  <c r="AN12" s="1"/>
  <c r="D14"/>
  <c r="L12" s="1"/>
  <c r="AP6" s="1"/>
  <c r="E17" i="17"/>
  <c r="E16"/>
  <c r="T14"/>
  <c r="Y14" s="1"/>
  <c r="BR53" i="21" l="1"/>
  <c r="CF50"/>
  <c r="CE50"/>
  <c r="CF49"/>
  <c r="CD49"/>
  <c r="BY46"/>
  <c r="AS12" i="22"/>
  <c r="AZ12" s="1"/>
  <c r="BM14"/>
  <c r="CC14" s="1"/>
  <c r="AW12"/>
  <c r="BL12"/>
  <c r="AE11"/>
  <c r="BC12" s="1"/>
  <c r="AW13" i="20"/>
  <c r="BA13" s="1"/>
  <c r="AN12"/>
  <c r="AE12"/>
  <c r="AV12"/>
  <c r="AG11" i="19"/>
  <c r="AV12"/>
  <c r="F16" i="17"/>
  <c r="CO46" i="21" l="1"/>
  <c r="BZ46"/>
  <c r="CI46" s="1"/>
  <c r="CO48"/>
  <c r="CO47"/>
  <c r="BF13" i="22"/>
  <c r="BG16" s="1"/>
  <c r="BA18"/>
  <c r="AT18"/>
  <c r="AJ13"/>
  <c r="BM16" s="1"/>
  <c r="AJ11"/>
  <c r="AS11" s="1"/>
  <c r="BP16"/>
  <c r="BT16" s="1"/>
  <c r="BP12"/>
  <c r="BT12" s="1"/>
  <c r="BV14" s="1"/>
  <c r="BZ14" s="1"/>
  <c r="BD12" i="19"/>
  <c r="BH12" s="1"/>
  <c r="BH13"/>
  <c r="AA6" i="17"/>
  <c r="AZ5" s="1"/>
  <c r="X18"/>
  <c r="Y13"/>
  <c r="Y12"/>
  <c r="Y11"/>
  <c r="T18"/>
  <c r="T17"/>
  <c r="Y17" s="1"/>
  <c r="T16"/>
  <c r="Y16" s="1"/>
  <c r="T15"/>
  <c r="BZ54" i="21" l="1"/>
  <c r="CO50"/>
  <c r="CO49"/>
  <c r="BM13" i="22"/>
  <c r="CC13" s="1"/>
  <c r="BF12"/>
  <c r="BM12" s="1"/>
  <c r="CC12" s="1"/>
  <c r="BD14" i="19"/>
  <c r="BP13" i="22"/>
  <c r="BT13" s="1"/>
  <c r="AK18"/>
  <c r="BP15"/>
  <c r="BT15" s="1"/>
  <c r="BV15" s="1"/>
  <c r="BZ15" s="1"/>
  <c r="AW15" i="20"/>
  <c r="BA15" s="1"/>
  <c r="AW14"/>
  <c r="BA14" s="1"/>
  <c r="AN13" i="17"/>
  <c r="AN12"/>
  <c r="Y18"/>
  <c r="Y19"/>
  <c r="Y15"/>
  <c r="F17"/>
  <c r="U16" s="1"/>
  <c r="G11"/>
  <c r="G10"/>
  <c r="Z6" s="1"/>
  <c r="D3"/>
  <c r="B3"/>
  <c r="CJ46" i="21" l="1"/>
  <c r="CJ49"/>
  <c r="CJ52"/>
  <c r="CJ48"/>
  <c r="CJ51"/>
  <c r="CJ47"/>
  <c r="CJ50"/>
  <c r="BZ53"/>
  <c r="U11" i="17"/>
  <c r="Z7"/>
  <c r="BP10"/>
  <c r="D16"/>
  <c r="K14" s="1"/>
  <c r="AK6" s="1"/>
  <c r="D17"/>
  <c r="CL29" i="21" l="1"/>
  <c r="CS50"/>
  <c r="CS51"/>
  <c r="CS52"/>
  <c r="CS48"/>
  <c r="CS49"/>
  <c r="CS47"/>
  <c r="CR46"/>
  <c r="CS46"/>
  <c r="CR50"/>
  <c r="CR51"/>
  <c r="CR52"/>
  <c r="CR48"/>
  <c r="CR49"/>
  <c r="CR47"/>
  <c r="CP47"/>
  <c r="CQ47"/>
  <c r="CP48"/>
  <c r="CQ48"/>
  <c r="CP49"/>
  <c r="CQ49"/>
  <c r="CP50"/>
  <c r="CQ50"/>
  <c r="CP51"/>
  <c r="CQ51"/>
  <c r="CP52"/>
  <c r="CQ52"/>
  <c r="CP46"/>
  <c r="CQ46"/>
  <c r="CN51"/>
  <c r="CM51"/>
  <c r="CM52"/>
  <c r="CN52"/>
  <c r="BN21" i="17"/>
  <c r="AP12"/>
  <c r="AJ13"/>
  <c r="K20" i="16"/>
  <c r="K25"/>
  <c r="K24"/>
  <c r="K23"/>
  <c r="K22"/>
  <c r="N20"/>
  <c r="M20"/>
  <c r="N19"/>
  <c r="M19"/>
  <c r="K4"/>
  <c r="K7"/>
  <c r="N7"/>
  <c r="N6"/>
  <c r="M7"/>
  <c r="M6"/>
  <c r="K8" s="1"/>
  <c r="K12"/>
  <c r="K10"/>
  <c r="K11"/>
  <c r="K9"/>
  <c r="K6"/>
  <c r="CN47" i="21" l="1"/>
  <c r="CN49"/>
  <c r="CN48"/>
  <c r="CN50"/>
  <c r="CM50"/>
  <c r="CM48"/>
  <c r="CM47"/>
  <c r="CM49"/>
  <c r="CM46"/>
  <c r="CN46"/>
  <c r="AN11" i="17"/>
  <c r="AN14"/>
  <c r="K21" i="16"/>
  <c r="K5"/>
  <c r="AH14" i="17"/>
  <c r="AG14"/>
  <c r="AH13"/>
  <c r="AG13"/>
  <c r="AE15" s="1"/>
  <c r="Z3" l="1"/>
  <c r="Y3"/>
  <c r="F17" i="10" l="1"/>
  <c r="E17"/>
  <c r="F16"/>
  <c r="E16"/>
  <c r="G11"/>
  <c r="G10"/>
  <c r="W10"/>
  <c r="W9"/>
  <c r="S20" i="14"/>
  <c r="S19"/>
  <c r="M26"/>
  <c r="M25"/>
  <c r="M20"/>
  <c r="M19"/>
  <c r="AA11" i="17" l="1"/>
  <c r="AW17"/>
  <c r="AW12"/>
  <c r="C3" i="14"/>
  <c r="AE11" i="17" l="1"/>
  <c r="AE12"/>
  <c r="AE13"/>
  <c r="AS13" s="1"/>
  <c r="AX14" s="1"/>
  <c r="AA16"/>
  <c r="W11" i="10"/>
  <c r="W7"/>
  <c r="AA7" s="1"/>
  <c r="W8"/>
  <c r="BA12" i="17" l="1"/>
  <c r="BE13" s="1"/>
  <c r="BG23" s="1"/>
  <c r="AX12"/>
  <c r="BA17"/>
  <c r="AS12"/>
  <c r="AX13" s="1"/>
  <c r="AE14"/>
  <c r="B3" i="10"/>
  <c r="AA12"/>
  <c r="AE19" i="17" s="1"/>
  <c r="Z3" i="1"/>
  <c r="D3"/>
  <c r="AA8" i="10"/>
  <c r="J9" i="1" l="1"/>
  <c r="AK9"/>
  <c r="D17" i="10" l="1"/>
  <c r="D16"/>
  <c r="K14" s="1"/>
  <c r="H2" i="1"/>
  <c r="AF9" i="2"/>
  <c r="J9"/>
  <c r="C15" s="1"/>
  <c r="J8"/>
  <c r="Z3" i="14"/>
  <c r="X16" s="1"/>
  <c r="C2" l="1"/>
  <c r="A2"/>
  <c r="O19" l="1"/>
  <c r="C26"/>
  <c r="G26" s="1"/>
  <c r="O20"/>
  <c r="AM31" i="6"/>
  <c r="Y8"/>
  <c r="AF9"/>
  <c r="AF8"/>
  <c r="AR15" i="8" l="1"/>
  <c r="AQ15"/>
  <c r="AR14"/>
  <c r="AQ14"/>
  <c r="V15" l="1"/>
  <c r="U15"/>
  <c r="V14"/>
  <c r="U14"/>
  <c r="AM9"/>
  <c r="Q9"/>
  <c r="V15" i="7"/>
  <c r="U15"/>
  <c r="V14"/>
  <c r="U14"/>
  <c r="AM9"/>
  <c r="Q9"/>
  <c r="V15" i="6"/>
  <c r="U15"/>
  <c r="V14"/>
  <c r="U14"/>
  <c r="AM9"/>
  <c r="Q9"/>
  <c r="AM9" i="5"/>
  <c r="AM9" i="4"/>
  <c r="V15" i="5"/>
  <c r="U15"/>
  <c r="V14"/>
  <c r="U14"/>
  <c r="Q9"/>
  <c r="V15" i="4"/>
  <c r="U15"/>
  <c r="V14"/>
  <c r="U14"/>
  <c r="Q9"/>
  <c r="AM9" i="3"/>
  <c r="V15" i="2"/>
  <c r="U15"/>
  <c r="V14"/>
  <c r="U14"/>
  <c r="AM9"/>
  <c r="Q9"/>
  <c r="AA9" i="10"/>
  <c r="AA10"/>
  <c r="AA11"/>
  <c r="Z11"/>
  <c r="Z6"/>
  <c r="AK8" i="1" l="1"/>
  <c r="AE17" i="17"/>
  <c r="Z9" i="1"/>
  <c r="Z14" s="1"/>
  <c r="AE18" i="17"/>
  <c r="BA13" s="1"/>
  <c r="Z8" i="1"/>
  <c r="AE16" i="17"/>
  <c r="BA18" s="1"/>
  <c r="C8" i="2"/>
  <c r="Y8"/>
  <c r="C9"/>
  <c r="C14" s="1"/>
  <c r="Y15"/>
  <c r="C8" i="3"/>
  <c r="J8"/>
  <c r="Y8"/>
  <c r="Y9"/>
  <c r="J8" i="4"/>
  <c r="C15" s="1"/>
  <c r="C8" i="5"/>
  <c r="C9"/>
  <c r="AF8" i="4"/>
  <c r="Y15"/>
  <c r="Y8" i="5"/>
  <c r="Y9"/>
  <c r="Y14" s="1"/>
  <c r="J8" i="6"/>
  <c r="J9"/>
  <c r="C15" s="1"/>
  <c r="Y9"/>
  <c r="Y14" s="1"/>
  <c r="J8" i="7"/>
  <c r="AF8"/>
  <c r="C15"/>
  <c r="Y9"/>
  <c r="Y14" s="1"/>
  <c r="J8" i="8"/>
  <c r="AF8"/>
  <c r="C15"/>
  <c r="Y9"/>
  <c r="Y14" s="1"/>
  <c r="Z15" i="1"/>
  <c r="AF8" i="2"/>
  <c r="Y9"/>
  <c r="Y14" s="1"/>
  <c r="C9" i="3"/>
  <c r="J9"/>
  <c r="AF8"/>
  <c r="AF9"/>
  <c r="C8" i="4"/>
  <c r="C9"/>
  <c r="J8" i="5"/>
  <c r="J9"/>
  <c r="Y8" i="4"/>
  <c r="Y9"/>
  <c r="Y14" s="1"/>
  <c r="AF8" i="5"/>
  <c r="AF9"/>
  <c r="Y15" s="1"/>
  <c r="C8" i="6"/>
  <c r="C9"/>
  <c r="C14" s="1"/>
  <c r="Y15"/>
  <c r="C8" i="7"/>
  <c r="Y8"/>
  <c r="C9"/>
  <c r="C14" s="1"/>
  <c r="Y15"/>
  <c r="C8" i="8"/>
  <c r="Y8"/>
  <c r="C9"/>
  <c r="C14" s="1"/>
  <c r="Y15"/>
  <c r="AR15" i="7"/>
  <c r="AQ15"/>
  <c r="AR14"/>
  <c r="AQ14"/>
  <c r="AR15" i="6"/>
  <c r="AQ15"/>
  <c r="AR14"/>
  <c r="AQ14"/>
  <c r="AR15" i="5"/>
  <c r="AQ15"/>
  <c r="AR14"/>
  <c r="AQ14"/>
  <c r="AR15" i="4"/>
  <c r="AQ15"/>
  <c r="AR14"/>
  <c r="AQ14"/>
  <c r="AR15" i="3"/>
  <c r="AQ15"/>
  <c r="V15"/>
  <c r="U15"/>
  <c r="AR14"/>
  <c r="AQ14"/>
  <c r="V14"/>
  <c r="U14"/>
  <c r="Q9"/>
  <c r="AR15" i="2"/>
  <c r="AQ15"/>
  <c r="AR14"/>
  <c r="AQ14"/>
  <c r="BE17" i="17" l="1"/>
  <c r="BG15" s="1"/>
  <c r="BE12"/>
  <c r="BG14" s="1"/>
  <c r="BE18"/>
  <c r="C14" i="4"/>
  <c r="C15" i="5"/>
  <c r="C14"/>
  <c r="Y15" i="3"/>
  <c r="C15"/>
  <c r="C14"/>
  <c r="Y14"/>
  <c r="BG24" i="17" l="1"/>
  <c r="AA4" i="10"/>
  <c r="AA6"/>
  <c r="AA5"/>
  <c r="BK24" i="17" l="1"/>
  <c r="BN20" s="1"/>
  <c r="BK23"/>
  <c r="BN19" s="1"/>
  <c r="C9" i="1"/>
  <c r="C8"/>
  <c r="C14" s="1"/>
  <c r="J8"/>
  <c r="AP1" i="8"/>
  <c r="AI1"/>
  <c r="AE1"/>
  <c r="AA1" l="1"/>
  <c r="T1"/>
  <c r="M1"/>
  <c r="I1"/>
  <c r="E1"/>
  <c r="AP1" i="7" l="1"/>
  <c r="AI1"/>
  <c r="AE1"/>
  <c r="AA1"/>
  <c r="T1"/>
  <c r="M1"/>
  <c r="I1"/>
  <c r="E1"/>
  <c r="AP1" i="6"/>
  <c r="AI1"/>
  <c r="AE1"/>
  <c r="AA1"/>
  <c r="T1"/>
  <c r="M1"/>
  <c r="I1"/>
  <c r="E1"/>
  <c r="AP1" i="5" l="1"/>
  <c r="AI1"/>
  <c r="AE1"/>
  <c r="AA1"/>
  <c r="T1"/>
  <c r="M1"/>
  <c r="I1"/>
  <c r="E1"/>
  <c r="AP1" i="4" l="1"/>
  <c r="AI1"/>
  <c r="AE1"/>
  <c r="AA1"/>
  <c r="T1"/>
  <c r="M1"/>
  <c r="I1"/>
  <c r="E1"/>
  <c r="AP1" i="3" l="1"/>
  <c r="AI1"/>
  <c r="AE1"/>
  <c r="AA1"/>
  <c r="T1"/>
  <c r="M1"/>
  <c r="I1"/>
  <c r="E1"/>
  <c r="AI1" i="2" l="1"/>
  <c r="AE1"/>
  <c r="AA1"/>
  <c r="M1"/>
  <c r="I1"/>
  <c r="E1"/>
  <c r="V15" i="1" l="1"/>
  <c r="U15"/>
  <c r="V14" l="1"/>
  <c r="U14"/>
  <c r="Q9" l="1"/>
  <c r="C15"/>
  <c r="AE1" l="1"/>
  <c r="AA1"/>
  <c r="M1"/>
  <c r="I1"/>
  <c r="E1"/>
  <c r="AD2" i="8" l="1"/>
  <c r="H2"/>
  <c r="AD2" i="7"/>
  <c r="H2"/>
  <c r="AD2" i="6"/>
  <c r="H2"/>
  <c r="AD2" i="5"/>
  <c r="H2"/>
  <c r="AD2" i="4"/>
  <c r="H2"/>
  <c r="AD2" i="3"/>
  <c r="H2"/>
  <c r="AD2" i="2"/>
  <c r="H2"/>
  <c r="AD2" i="1" l="1"/>
  <c r="AA2" i="8"/>
  <c r="E2"/>
  <c r="AA2" i="7"/>
  <c r="E2"/>
  <c r="AA2" i="6"/>
  <c r="E2"/>
  <c r="AA2" i="5"/>
  <c r="E2"/>
  <c r="AA2" i="4"/>
  <c r="AM8" i="5" l="1"/>
  <c r="AM14" s="1"/>
  <c r="AF7"/>
  <c r="AM8" i="6"/>
  <c r="AF7"/>
  <c r="AM8" i="7"/>
  <c r="AF7"/>
  <c r="AM8" i="8"/>
  <c r="AF14" s="1"/>
  <c r="AF7"/>
  <c r="Q8" i="6"/>
  <c r="Q14" s="1"/>
  <c r="J7"/>
  <c r="Q8" i="7"/>
  <c r="Q14" s="1"/>
  <c r="J7"/>
  <c r="Q8" i="8"/>
  <c r="Q14" s="1"/>
  <c r="J7"/>
  <c r="AF7" i="4"/>
  <c r="AM8"/>
  <c r="AM14" s="1"/>
  <c r="Q8" i="5"/>
  <c r="Q14" s="1"/>
  <c r="J7"/>
  <c r="AB3" i="4"/>
  <c r="AB3" i="5"/>
  <c r="AB3" i="6"/>
  <c r="AB3" i="7"/>
  <c r="AB3" i="8"/>
  <c r="AD29" s="1"/>
  <c r="F3"/>
  <c r="F3" i="7"/>
  <c r="F3" i="6"/>
  <c r="F3" i="5"/>
  <c r="E2" i="4"/>
  <c r="AA2" i="3"/>
  <c r="H29" i="6" l="1"/>
  <c r="H30"/>
  <c r="H29" i="7"/>
  <c r="H29" i="8"/>
  <c r="J14" i="7"/>
  <c r="J15" s="1"/>
  <c r="Q15"/>
  <c r="AM15" i="5"/>
  <c r="AB21" s="1"/>
  <c r="AD32" s="1"/>
  <c r="AF14"/>
  <c r="AI20" s="1"/>
  <c r="AD29" s="1"/>
  <c r="J14" i="8"/>
  <c r="J15" s="1"/>
  <c r="Q15"/>
  <c r="F21" s="1"/>
  <c r="H32" s="1"/>
  <c r="J14" i="6"/>
  <c r="J15" s="1"/>
  <c r="Q15"/>
  <c r="J25" s="1"/>
  <c r="AM14" i="8"/>
  <c r="AI21" s="1"/>
  <c r="AM15"/>
  <c r="AM14" i="7"/>
  <c r="AI21" s="1"/>
  <c r="AM15"/>
  <c r="AB21" s="1"/>
  <c r="AD32" s="1"/>
  <c r="AF14"/>
  <c r="AI20" s="1"/>
  <c r="AM14" i="6"/>
  <c r="AI21" s="1"/>
  <c r="AF14"/>
  <c r="AI20" s="1"/>
  <c r="AM15"/>
  <c r="AB21" s="1"/>
  <c r="J14" i="5"/>
  <c r="J15" s="1"/>
  <c r="Q15"/>
  <c r="AM15" i="4"/>
  <c r="AB21" s="1"/>
  <c r="AF14"/>
  <c r="AI20" s="1"/>
  <c r="AD29" s="1"/>
  <c r="Q8"/>
  <c r="Q14" s="1"/>
  <c r="J7"/>
  <c r="AM8" i="3"/>
  <c r="AM14" s="1"/>
  <c r="AF7"/>
  <c r="AI20" i="8"/>
  <c r="AB21"/>
  <c r="AD32" s="1"/>
  <c r="AB20"/>
  <c r="AD33"/>
  <c r="AF26"/>
  <c r="AD31" s="1"/>
  <c r="AD33" i="7"/>
  <c r="AB20"/>
  <c r="AF26" s="1"/>
  <c r="AD31" s="1"/>
  <c r="AD33" i="6"/>
  <c r="AD32"/>
  <c r="AF26"/>
  <c r="AD31" s="1"/>
  <c r="AB20"/>
  <c r="AD33" i="5"/>
  <c r="AI21"/>
  <c r="AB20"/>
  <c r="AF26" s="1"/>
  <c r="AD31" s="1"/>
  <c r="AD33" i="4"/>
  <c r="AD32"/>
  <c r="AF26"/>
  <c r="AD31" s="1"/>
  <c r="AI21"/>
  <c r="AB20"/>
  <c r="AB3" i="3"/>
  <c r="M21" i="5"/>
  <c r="H33"/>
  <c r="F20"/>
  <c r="J26" s="1"/>
  <c r="H31" s="1"/>
  <c r="M21" i="6"/>
  <c r="H33"/>
  <c r="F20"/>
  <c r="J26" s="1"/>
  <c r="H31" s="1"/>
  <c r="M21" i="7"/>
  <c r="H33"/>
  <c r="F20"/>
  <c r="J26" s="1"/>
  <c r="H31" s="1"/>
  <c r="H33" i="8"/>
  <c r="F20"/>
  <c r="J26" s="1"/>
  <c r="H31" s="1"/>
  <c r="M21"/>
  <c r="F3" i="4"/>
  <c r="E2" i="3"/>
  <c r="AD29" i="7" l="1"/>
  <c r="AD29" i="6"/>
  <c r="AF26" i="3"/>
  <c r="J25" i="5"/>
  <c r="H30" s="1"/>
  <c r="J25" i="8"/>
  <c r="J25" i="7"/>
  <c r="F21" i="6"/>
  <c r="H32" s="1"/>
  <c r="Q8" i="3"/>
  <c r="Q14" s="1"/>
  <c r="J14" i="4"/>
  <c r="J15" s="1"/>
  <c r="Q15"/>
  <c r="F21" s="1"/>
  <c r="H32" s="1"/>
  <c r="AF25" i="8"/>
  <c r="AF25" i="4"/>
  <c r="AD30" s="1"/>
  <c r="AF25" i="5"/>
  <c r="AD30" s="1"/>
  <c r="AF25" i="6"/>
  <c r="AF25" i="7"/>
  <c r="M20" i="8"/>
  <c r="F21" i="7"/>
  <c r="H32" s="1"/>
  <c r="M20"/>
  <c r="M20" i="6"/>
  <c r="F21" i="5"/>
  <c r="H32" s="1"/>
  <c r="M20"/>
  <c r="H29" s="1"/>
  <c r="M21" i="4"/>
  <c r="H33"/>
  <c r="AM15" i="3"/>
  <c r="AF14"/>
  <c r="AD33"/>
  <c r="J7"/>
  <c r="F3"/>
  <c r="AA2" i="2"/>
  <c r="E2"/>
  <c r="AA2" i="1"/>
  <c r="Q8" i="2" l="1"/>
  <c r="Q14"/>
  <c r="AD30" i="8"/>
  <c r="H30"/>
  <c r="AD30" i="7"/>
  <c r="AD30" i="6"/>
  <c r="H30" i="7"/>
  <c r="AI21" i="3"/>
  <c r="AM8" i="2"/>
  <c r="AM14" s="1"/>
  <c r="AF7"/>
  <c r="AK7" i="1"/>
  <c r="AK15"/>
  <c r="J7" i="2"/>
  <c r="M20" i="4"/>
  <c r="F20"/>
  <c r="J26" s="1"/>
  <c r="H31" s="1"/>
  <c r="M21" i="3"/>
  <c r="H33"/>
  <c r="J14"/>
  <c r="AI20" s="1"/>
  <c r="Q15"/>
  <c r="F20" s="1"/>
  <c r="J26" s="1"/>
  <c r="F3" i="2"/>
  <c r="AB3"/>
  <c r="E2" i="1"/>
  <c r="Q8" l="1"/>
  <c r="T1" i="2"/>
  <c r="AP1"/>
  <c r="T1" i="1"/>
  <c r="AP1"/>
  <c r="AB20" i="3"/>
  <c r="AF25" s="1"/>
  <c r="AD29" s="1"/>
  <c r="AB21"/>
  <c r="AM15" i="2"/>
  <c r="AB21" s="1"/>
  <c r="AF14"/>
  <c r="AI20" s="1"/>
  <c r="J14"/>
  <c r="Q15"/>
  <c r="F21" s="1"/>
  <c r="AI21"/>
  <c r="AK14" i="1"/>
  <c r="F3"/>
  <c r="J25" i="4"/>
  <c r="H30" s="1"/>
  <c r="F21" i="3"/>
  <c r="H32" s="1"/>
  <c r="J15"/>
  <c r="M20"/>
  <c r="H29" i="4"/>
  <c r="J25" i="3"/>
  <c r="AD33" i="2"/>
  <c r="H33"/>
  <c r="AB3" i="1"/>
  <c r="J7"/>
  <c r="D3" i="10"/>
  <c r="AF20" i="1" l="1"/>
  <c r="AF21"/>
  <c r="AE28" s="1"/>
  <c r="C14" i="14" s="1"/>
  <c r="I38" i="1"/>
  <c r="AE26"/>
  <c r="C25" i="14" s="1"/>
  <c r="J14" i="1"/>
  <c r="M19" s="1"/>
  <c r="Q15"/>
  <c r="M21" i="2"/>
  <c r="AD32" i="3"/>
  <c r="AD31"/>
  <c r="AD30"/>
  <c r="AB20" i="2"/>
  <c r="AF26" s="1"/>
  <c r="AD31" s="1"/>
  <c r="F20"/>
  <c r="J26" s="1"/>
  <c r="J15"/>
  <c r="M20"/>
  <c r="H31" i="3"/>
  <c r="AD32" i="2"/>
  <c r="H32"/>
  <c r="H30" i="3"/>
  <c r="H29"/>
  <c r="Q14" i="1"/>
  <c r="M20" s="1"/>
  <c r="AD1" i="8"/>
  <c r="H1"/>
  <c r="AD1" i="7"/>
  <c r="H1" i="6"/>
  <c r="H1" i="7"/>
  <c r="AD1" i="6"/>
  <c r="H1" i="5"/>
  <c r="AD1"/>
  <c r="AD1" i="4"/>
  <c r="H1"/>
  <c r="AD1" i="3"/>
  <c r="H1"/>
  <c r="AD1" i="2"/>
  <c r="H1"/>
  <c r="AD1" i="1"/>
  <c r="H1"/>
  <c r="J29" l="1"/>
  <c r="AE27"/>
  <c r="C8" i="14" s="1"/>
  <c r="F19" i="1"/>
  <c r="J30" s="1"/>
  <c r="F20"/>
  <c r="AF25" i="2"/>
  <c r="AD30" s="1"/>
  <c r="J25"/>
  <c r="H30" s="1"/>
  <c r="H31"/>
  <c r="AD29"/>
  <c r="G8" i="14" l="1"/>
  <c r="J24" i="1"/>
  <c r="I34" s="1"/>
  <c r="C7" i="14" s="1"/>
  <c r="J25" i="1"/>
  <c r="G25" i="14"/>
  <c r="H29" i="2"/>
  <c r="G7" i="14" l="1"/>
  <c r="I7" s="1"/>
  <c r="M7" s="1"/>
  <c r="I35" i="1"/>
  <c r="C13" i="14" s="1"/>
  <c r="I36" i="1"/>
  <c r="I37"/>
  <c r="I14" i="14" s="1"/>
  <c r="M14" s="1"/>
  <c r="O26" s="1"/>
  <c r="C19" l="1"/>
  <c r="G19" s="1"/>
  <c r="I13" s="1"/>
  <c r="M13" s="1"/>
  <c r="C20"/>
  <c r="G14"/>
  <c r="G20"/>
  <c r="G13" l="1"/>
  <c r="I8" s="1"/>
  <c r="M8" s="1"/>
  <c r="O25" s="1"/>
  <c r="O11"/>
  <c r="S11" s="1"/>
  <c r="X15"/>
  <c r="O10" l="1"/>
  <c r="S10" l="1"/>
  <c r="X11" s="1"/>
  <c r="S26"/>
  <c r="X14" s="1"/>
  <c r="S25"/>
  <c r="X13" s="1"/>
  <c r="X12"/>
  <c r="BK14" i="17" l="1"/>
  <c r="BN17" s="1"/>
  <c r="BK15"/>
  <c r="BN18" s="1"/>
  <c r="DC18" i="23" l="1"/>
  <c r="CY18"/>
  <c r="CX18"/>
  <c r="DB18"/>
  <c r="CO18"/>
  <c r="DA18"/>
  <c r="DF18"/>
  <c r="DE18"/>
  <c r="CZ18"/>
  <c r="CV18"/>
  <c r="CW18"/>
  <c r="DG18" l="1"/>
  <c r="DD18"/>
  <c r="BC17" l="1"/>
  <c r="AL13"/>
  <c r="AT13"/>
  <c r="AC13"/>
  <c r="BI13"/>
  <c r="BN13" l="1"/>
  <c r="BK13"/>
  <c r="BM13"/>
  <c r="BL13"/>
  <c r="BU13"/>
  <c r="BT13"/>
  <c r="BV13"/>
  <c r="BS13"/>
  <c r="CC13" l="1"/>
  <c r="CB13"/>
  <c r="CA13"/>
  <c r="CD13"/>
  <c r="AT15"/>
  <c r="AC15"/>
  <c r="BC15"/>
  <c r="AL17"/>
  <c r="AT16"/>
  <c r="AL16"/>
  <c r="AC14"/>
  <c r="BC16"/>
  <c r="AC17"/>
  <c r="AT14"/>
  <c r="AL15"/>
  <c r="BC14"/>
  <c r="AC16"/>
  <c r="AT17"/>
  <c r="AL14"/>
  <c r="BC13"/>
  <c r="BW13" s="1"/>
  <c r="BX13" s="1"/>
  <c r="BI14"/>
  <c r="BI15"/>
  <c r="BI16"/>
  <c r="BS16" s="1"/>
  <c r="BI17"/>
  <c r="BO17" s="1"/>
  <c r="CG16" l="1"/>
  <c r="BO16"/>
  <c r="BN17"/>
  <c r="BL17"/>
  <c r="BK16"/>
  <c r="BM16"/>
  <c r="BM17"/>
  <c r="BK15"/>
  <c r="BM15"/>
  <c r="BU15"/>
  <c r="BN15"/>
  <c r="CG17"/>
  <c r="BU14"/>
  <c r="BT15"/>
  <c r="CG15"/>
  <c r="CG13"/>
  <c r="BW16"/>
  <c r="CE16" s="1"/>
  <c r="BW15"/>
  <c r="BW14"/>
  <c r="CA16"/>
  <c r="BL16"/>
  <c r="BU17"/>
  <c r="CC17" s="1"/>
  <c r="BL15"/>
  <c r="BM14"/>
  <c r="BL14"/>
  <c r="CG14"/>
  <c r="BK17"/>
  <c r="BS17"/>
  <c r="BK14"/>
  <c r="BS15"/>
  <c r="BN14"/>
  <c r="BV15"/>
  <c r="BN16"/>
  <c r="BO13"/>
  <c r="BT14"/>
  <c r="BV14"/>
  <c r="BV16"/>
  <c r="BT17"/>
  <c r="BT16"/>
  <c r="BO14"/>
  <c r="CE14" s="1"/>
  <c r="BV17"/>
  <c r="CD17" s="1"/>
  <c r="BS14"/>
  <c r="BU16"/>
  <c r="CC16" s="1"/>
  <c r="BO15"/>
  <c r="BW17"/>
  <c r="CE17" s="1"/>
  <c r="CH18" l="1"/>
  <c r="BX16"/>
  <c r="CB15"/>
  <c r="CB16"/>
  <c r="BX14"/>
  <c r="CD16"/>
  <c r="BP14"/>
  <c r="CA14"/>
  <c r="BP17"/>
  <c r="CA17"/>
  <c r="CG19"/>
  <c r="CD15"/>
  <c r="CC15"/>
  <c r="CE13"/>
  <c r="BP13"/>
  <c r="CD14"/>
  <c r="BX15"/>
  <c r="BX17"/>
  <c r="CC14"/>
  <c r="CA15"/>
  <c r="BP15"/>
  <c r="CB14"/>
  <c r="CB17"/>
  <c r="CE15"/>
  <c r="BP16"/>
  <c r="CR18" l="1"/>
  <c r="CS18"/>
  <c r="CT18"/>
  <c r="CU18"/>
  <c r="CO13"/>
  <c r="BY13"/>
  <c r="CH13" s="1"/>
  <c r="BY17"/>
  <c r="CH17" s="1"/>
  <c r="CO17"/>
  <c r="BY14"/>
  <c r="CH14" s="1"/>
  <c r="CO14"/>
  <c r="CO16"/>
  <c r="BY16"/>
  <c r="CH16" s="1"/>
  <c r="CO15"/>
  <c r="BY15"/>
  <c r="CH15" s="1"/>
  <c r="BY19" l="1"/>
  <c r="CI13" l="1"/>
  <c r="CR13" s="1"/>
  <c r="CI17"/>
  <c r="CI16"/>
  <c r="CT16" s="1"/>
  <c r="CI14"/>
  <c r="CT14" s="1"/>
  <c r="CI15"/>
  <c r="CR15" s="1"/>
  <c r="CR17"/>
  <c r="CR14" l="1"/>
  <c r="CR16"/>
  <c r="CS15"/>
  <c r="CV15"/>
  <c r="CP15"/>
  <c r="CX15"/>
  <c r="DB15"/>
  <c r="DA15"/>
  <c r="CW15"/>
  <c r="CZ15"/>
  <c r="DC15"/>
  <c r="CM15"/>
  <c r="CN15"/>
  <c r="CY15"/>
  <c r="CU15"/>
  <c r="CQ15"/>
  <c r="CP17"/>
  <c r="CZ17"/>
  <c r="CU17"/>
  <c r="DC17"/>
  <c r="CM17"/>
  <c r="CN17"/>
  <c r="CX17"/>
  <c r="CV17"/>
  <c r="CY17"/>
  <c r="DB17"/>
  <c r="CS17"/>
  <c r="DA17"/>
  <c r="CW17"/>
  <c r="CQ17"/>
  <c r="CS13"/>
  <c r="CU13"/>
  <c r="CL13"/>
  <c r="CP13"/>
  <c r="CM13"/>
  <c r="CN13"/>
  <c r="CW13"/>
  <c r="DB13"/>
  <c r="DA13"/>
  <c r="CZ13"/>
  <c r="CV13"/>
  <c r="CY13"/>
  <c r="CX13"/>
  <c r="DC13"/>
  <c r="CQ13"/>
  <c r="DA14"/>
  <c r="DB14"/>
  <c r="CP14"/>
  <c r="CM14"/>
  <c r="CS14"/>
  <c r="DC14"/>
  <c r="CN14"/>
  <c r="CU14"/>
  <c r="CW14"/>
  <c r="CZ14"/>
  <c r="CX14"/>
  <c r="CY14"/>
  <c r="CV14"/>
  <c r="CQ14"/>
  <c r="CP16"/>
  <c r="CS16"/>
  <c r="DC16"/>
  <c r="CM16"/>
  <c r="CV16"/>
  <c r="CX16"/>
  <c r="CU16"/>
  <c r="DB16"/>
  <c r="CY16"/>
  <c r="CN16"/>
  <c r="CW16"/>
  <c r="CZ16"/>
  <c r="DA16"/>
  <c r="CQ16"/>
  <c r="CT17"/>
  <c r="CT15"/>
  <c r="CT13"/>
  <c r="CL14" l="1"/>
  <c r="DF13"/>
  <c r="DD13"/>
  <c r="DG13"/>
  <c r="DE13"/>
  <c r="DE17"/>
  <c r="DG17"/>
  <c r="DF17"/>
  <c r="DD17"/>
  <c r="DD15"/>
  <c r="DG15"/>
  <c r="DE15"/>
  <c r="DF15"/>
  <c r="CQ19"/>
  <c r="CL15"/>
  <c r="CL16" s="1"/>
  <c r="CL17" s="1"/>
  <c r="DF16"/>
  <c r="DD16"/>
  <c r="DG16"/>
  <c r="DE16"/>
  <c r="DG14"/>
  <c r="DD14"/>
  <c r="DE14"/>
  <c r="DF14"/>
  <c r="CP19"/>
  <c r="CP54" i="21"/>
  <c r="CL46"/>
  <c r="CL52" l="1"/>
  <c r="CL30"/>
  <c r="CL31" s="1"/>
  <c r="CL32" s="1"/>
  <c r="CL33"/>
  <c r="CL34"/>
  <c r="CL51"/>
  <c r="CL47"/>
  <c r="CL48" s="1"/>
  <c r="CL49" s="1"/>
  <c r="CL50" s="1"/>
</calcChain>
</file>

<file path=xl/sharedStrings.xml><?xml version="1.0" encoding="utf-8"?>
<sst xmlns="http://schemas.openxmlformats.org/spreadsheetml/2006/main" count="1412" uniqueCount="222">
  <si>
    <t>1er de Poule:</t>
  </si>
  <si>
    <t>2ème de Poule:</t>
  </si>
  <si>
    <t>3ème de Poule:</t>
  </si>
  <si>
    <t>4ème de Poule:</t>
  </si>
  <si>
    <t>5ème de Poule:</t>
  </si>
  <si>
    <t>Score</t>
  </si>
  <si>
    <t>Jeu</t>
  </si>
  <si>
    <t>Parties éliminatoires (Championnat et Repêchage)</t>
  </si>
  <si>
    <t>1/4 de Finale</t>
  </si>
  <si>
    <t>Championnat</t>
  </si>
  <si>
    <t>1/2 Finale</t>
  </si>
  <si>
    <t>Repêchage</t>
  </si>
  <si>
    <t xml:space="preserve"> Finale</t>
  </si>
  <si>
    <t>Equipes Qualifiées au Championnat de France:</t>
  </si>
  <si>
    <t>A</t>
  </si>
  <si>
    <t>B</t>
  </si>
  <si>
    <t xml:space="preserve"> </t>
  </si>
  <si>
    <t>Poule 3</t>
  </si>
  <si>
    <t>Poule 4</t>
  </si>
  <si>
    <t>Equipes</t>
  </si>
  <si>
    <t>Qualifiés</t>
  </si>
  <si>
    <t>Division(s)</t>
  </si>
  <si>
    <t>Nombre d'équipes participantes</t>
  </si>
  <si>
    <t>Nombre équipes participantes:</t>
  </si>
  <si>
    <t>Poule 1</t>
  </si>
  <si>
    <t>Poule 2</t>
  </si>
  <si>
    <t>Poule 5</t>
  </si>
  <si>
    <t>Poule 6</t>
  </si>
  <si>
    <t>Poule 7</t>
  </si>
  <si>
    <t>Poule 8</t>
  </si>
  <si>
    <t>Poule 9</t>
  </si>
  <si>
    <t>Poule 10</t>
  </si>
  <si>
    <t>Poule 11</t>
  </si>
  <si>
    <t>Poule 12</t>
  </si>
  <si>
    <t>Poule 13</t>
  </si>
  <si>
    <t>Poule 14</t>
  </si>
  <si>
    <t>Poule 15</t>
  </si>
  <si>
    <t>Poule 16</t>
  </si>
  <si>
    <t>P1</t>
  </si>
  <si>
    <t>P2</t>
  </si>
  <si>
    <t>D</t>
  </si>
  <si>
    <t>E</t>
  </si>
  <si>
    <t>Nombre d'équipes qualifiées au Ch de France :</t>
  </si>
  <si>
    <t>Fédéral du Comité de l'Ardèche</t>
  </si>
  <si>
    <t>Année:</t>
  </si>
  <si>
    <t>Type:</t>
  </si>
  <si>
    <t>Division(s):</t>
  </si>
  <si>
    <t>1ère PARTIE</t>
  </si>
  <si>
    <t>2ème PARTIE</t>
  </si>
  <si>
    <t>C</t>
  </si>
  <si>
    <t>P</t>
  </si>
  <si>
    <t xml:space="preserve">FEDERAL CBD DE </t>
  </si>
  <si>
    <t>TIRAGE</t>
  </si>
  <si>
    <t>NOMS</t>
  </si>
  <si>
    <t>AS</t>
  </si>
  <si>
    <t xml:space="preserve">Nombre d'équipes qualifiées </t>
  </si>
  <si>
    <t>Classement</t>
  </si>
  <si>
    <t>Gagnants</t>
  </si>
  <si>
    <t>Perdants</t>
  </si>
  <si>
    <t>Office</t>
  </si>
  <si>
    <t>Vérouillage: AB</t>
  </si>
  <si>
    <t>Nb équ. par poule</t>
  </si>
  <si>
    <r>
      <t xml:space="preserve"> </t>
    </r>
    <r>
      <rPr>
        <u/>
        <sz val="11"/>
        <color theme="1"/>
        <rFont val="Times New Roman"/>
        <family val="1"/>
      </rPr>
      <t>Remarque</t>
    </r>
    <r>
      <rPr>
        <sz val="11"/>
        <color theme="1"/>
        <rFont val="Times New Roman"/>
        <family val="1"/>
      </rPr>
      <t>: Lors de la phase 2, les perdants de la Phase 1 sont sur la gauche de l'écran et les gagnants sur la droite</t>
    </r>
  </si>
  <si>
    <t xml:space="preserve">FEDERAL  DE </t>
  </si>
  <si>
    <t>jeux</t>
  </si>
  <si>
    <t>D7</t>
  </si>
  <si>
    <t>Poules</t>
  </si>
  <si>
    <t>D13</t>
  </si>
  <si>
    <t>Barrage perdants 1/2 Finales</t>
  </si>
  <si>
    <t>.</t>
  </si>
  <si>
    <t>"OFFICE"</t>
  </si>
  <si>
    <t>Nbre Eq.</t>
  </si>
  <si>
    <t>FEDERAL</t>
  </si>
  <si>
    <t>Nb de qualifiés Poules</t>
  </si>
  <si>
    <t>1 à 7</t>
  </si>
  <si>
    <t>=SI(OU(ET(D3&gt;30;D3&lt;80));Rens.!AA6)</t>
  </si>
  <si>
    <t>=SI(OU(ET(D3&gt;30;D3&lt;80));Rens.!AA9)</t>
  </si>
  <si>
    <t>x</t>
  </si>
  <si>
    <t>Enregistrer le résultats jusqu'à la finale et vous obtenez les qualifiés</t>
  </si>
  <si>
    <t>Si 3 qualifiés</t>
  </si>
  <si>
    <t>Date</t>
  </si>
  <si>
    <t>Effectuer le tirage en notant les numéros colonne U les noms des équipes s'affichent dans le tableau ainsi que dans l'onglet vert poule 1 et 2</t>
  </si>
  <si>
    <t>Enregistrer les résultats le déroulement de la poule se fait automatiquement et les équipes s'affichent dans l'onglet rouge parties éliminatoires</t>
  </si>
  <si>
    <t>de 3 à 7 Equipes</t>
  </si>
  <si>
    <t>Code verrouillage AB</t>
  </si>
  <si>
    <t>Cellule Jaune et cellule bleue Avec le curseur afficher le nombre d'équipes engagées cellule M12 et le nombre d'équipes qualifiées cellule M13</t>
  </si>
  <si>
    <t>Cellule Bleue turquoise Avec le curseur afficher le chiffre qui correspond aux cellules M12 et M13; (Ex 3 et 1 donne 31) le nombre d'équipe par poule s'affiche ainsi que le nombre de qualifiés par poule</t>
  </si>
  <si>
    <t>F</t>
  </si>
  <si>
    <t>G</t>
  </si>
  <si>
    <t>Quadrettes</t>
  </si>
  <si>
    <t xml:space="preserve"> Div.</t>
  </si>
  <si>
    <t>Poule de 5                             1 qualifié</t>
  </si>
  <si>
    <t>Poule de 3                      1 qualifié</t>
  </si>
  <si>
    <t>M3</t>
  </si>
  <si>
    <t>Nbre Eq. Q.</t>
  </si>
  <si>
    <t xml:space="preserve">LIEU : </t>
  </si>
  <si>
    <t>Division</t>
  </si>
  <si>
    <t xml:space="preserve"> Quadrettes</t>
  </si>
  <si>
    <t>poules</t>
  </si>
  <si>
    <t>NOM</t>
  </si>
  <si>
    <t>score</t>
  </si>
  <si>
    <t>Off.</t>
  </si>
  <si>
    <t>FINALE</t>
  </si>
  <si>
    <t>Jeux</t>
  </si>
  <si>
    <t>Equipes Qualifiées au CH. De FR.</t>
  </si>
  <si>
    <t>3ème place et 4ème place</t>
  </si>
  <si>
    <t>De 3 à 4 Jeux</t>
  </si>
  <si>
    <t>2ème cellule</t>
  </si>
  <si>
    <t>A1</t>
  </si>
  <si>
    <t>B1</t>
  </si>
  <si>
    <t>C1</t>
  </si>
  <si>
    <t>D1</t>
  </si>
  <si>
    <t>E1</t>
  </si>
  <si>
    <t>A2</t>
  </si>
  <si>
    <t>B2</t>
  </si>
  <si>
    <t>C2</t>
  </si>
  <si>
    <t>D2</t>
  </si>
  <si>
    <t>=SI(A18+A19=3;SI(F17=F18;"résultat";SI(F17&gt;F18;E17;E18));SI($A$5+A19=4;SI(F17=F18;"résultat";SI(F17&gt;F18;E17;E18));SI(F17=F18;"résultet";SI($A$5+A19=5;$E$8;0))))</t>
  </si>
  <si>
    <t>=SI(A18+A19=3;SI(F19&gt;F20;E19;E20);SI(A18+A19=4;SI(F19&gt;F20;E19;E20);SI(A18+A19=5;SI((M19=2);E19;SI((N19=2);E20;SI((M20=2);E17;SI((N20=2);E18)))))))</t>
  </si>
  <si>
    <t>=SI(F17=F18;"résultat";SI(F17&lt;F18;E17;E18))</t>
  </si>
  <si>
    <t>DEROULEMENT POULES DE 3 , 4 OU 5 EQUIPES</t>
  </si>
  <si>
    <t>=SI(A12+A13=3;SI(F11&gt;F12;E11;E12);SI(A12=4;SI(F11&gt;F12;E11;E12);SI(A12+A13=5;SI((M13=2);E13;SI((N13=2);E14;SI((M14=2);E11;SI((N14=2);E12))))))))</t>
  </si>
  <si>
    <t>Catégorie</t>
  </si>
  <si>
    <t>Masculin</t>
  </si>
  <si>
    <t>Féminine</t>
  </si>
  <si>
    <t>Jeunes</t>
  </si>
  <si>
    <t>M1</t>
  </si>
  <si>
    <t>F1</t>
  </si>
  <si>
    <t>G-18</t>
  </si>
  <si>
    <t>M2</t>
  </si>
  <si>
    <t>F2</t>
  </si>
  <si>
    <t>F-18</t>
  </si>
  <si>
    <t>F3</t>
  </si>
  <si>
    <t>G-15</t>
  </si>
  <si>
    <t>M4</t>
  </si>
  <si>
    <t>F4</t>
  </si>
  <si>
    <t>F-15</t>
  </si>
  <si>
    <t xml:space="preserve">1/2  Finale </t>
  </si>
  <si>
    <t>5ème Phase  Poule de 5 à 1 Qualifié</t>
  </si>
  <si>
    <t>4ème partie ou barrage ou 4ème Phase</t>
  </si>
  <si>
    <t>3ème PARTIE ou 3ème Phase</t>
  </si>
  <si>
    <t>Quadrette</t>
  </si>
  <si>
    <t>Triple</t>
  </si>
  <si>
    <t>Double</t>
  </si>
  <si>
    <t>Simple</t>
  </si>
  <si>
    <t>Série</t>
  </si>
  <si>
    <t>Barrage</t>
  </si>
  <si>
    <t>1 à 3</t>
  </si>
  <si>
    <t>3ème PARTIE ou Barrage</t>
  </si>
  <si>
    <t>Barrage ou 4ème Partie</t>
  </si>
  <si>
    <t>jeu</t>
  </si>
  <si>
    <t>1 à 5</t>
  </si>
  <si>
    <t>Eliminé</t>
  </si>
  <si>
    <t>5ème partie ou barrage ou 5ème Phase</t>
  </si>
  <si>
    <t>Si 1 qualifié</t>
  </si>
  <si>
    <t>Si 2 qualifiés</t>
  </si>
  <si>
    <t>SI 3 qualifiés</t>
  </si>
  <si>
    <t>RESULTATS</t>
  </si>
  <si>
    <t>Score faits</t>
  </si>
  <si>
    <t>Score encaissé</t>
  </si>
  <si>
    <t>GA</t>
  </si>
  <si>
    <t>V/D/N</t>
  </si>
  <si>
    <t xml:space="preserve">TOTAL </t>
  </si>
  <si>
    <t>Class.</t>
  </si>
  <si>
    <t xml:space="preserve">N° Equipe </t>
  </si>
  <si>
    <t>EQUIPES</t>
  </si>
  <si>
    <t>Adversaire</t>
  </si>
  <si>
    <t>N° Eq.</t>
  </si>
  <si>
    <t>1ère Partie</t>
  </si>
  <si>
    <t>Pts</t>
  </si>
  <si>
    <t>2ème Partie</t>
  </si>
  <si>
    <t>3ème Partie</t>
  </si>
  <si>
    <t>4ème Partie</t>
  </si>
  <si>
    <t>P3</t>
  </si>
  <si>
    <t>P4</t>
  </si>
  <si>
    <t>Rang</t>
  </si>
  <si>
    <t>Class.1</t>
  </si>
  <si>
    <t>Adv.</t>
  </si>
  <si>
    <t xml:space="preserve">Total Score </t>
  </si>
  <si>
    <t>Scores faits</t>
  </si>
  <si>
    <t>P5</t>
  </si>
  <si>
    <t>5ème Partie</t>
  </si>
  <si>
    <t>CLASSEMENT</t>
  </si>
  <si>
    <t>OFFICE</t>
  </si>
  <si>
    <t xml:space="preserve">Barrage </t>
  </si>
  <si>
    <t>1 poule de 4  Equipes</t>
  </si>
  <si>
    <t>poule</t>
  </si>
  <si>
    <t>Cellule Jaune et cellule bleue Avec le curseur afficher le nombre d'équipes engagées cellule G10 et le nombre d'équipes qualifiées cellule G11</t>
  </si>
  <si>
    <t>1 à 4</t>
  </si>
  <si>
    <t>1 poule de 3  Equipes</t>
  </si>
  <si>
    <t>Cellule Jaune et cellule bleue avec le curseur afficher le nombre d'équipes engagées cellule G10 et le nombre d'équipes qualifiées cellule G11</t>
  </si>
  <si>
    <t>Enregistrer les résultats le déroulement de la poule se fait automatiquement et les équipes s'affichent jusqu'au classement</t>
  </si>
  <si>
    <t>Enregistrer les résultats le déroulement de la poule se fait automatiquement jusqu'au classement</t>
  </si>
  <si>
    <t>Scores encaissés</t>
  </si>
  <si>
    <t>V/D</t>
  </si>
  <si>
    <t>5 Equipes</t>
  </si>
  <si>
    <t>Ex.</t>
  </si>
  <si>
    <t>Effectuer le tirage en notant les numéros colonne O les noms des équipes s'affichent dans le tableau Poule 1 colonne U</t>
  </si>
  <si>
    <t>Enregistrer les résultats dans chaque partie le  classement se fait automatiquement colonne CN</t>
  </si>
  <si>
    <t>Calcul classement</t>
  </si>
  <si>
    <t>Pts colonne CG +  GA colonne BY + Total score colonne BP +Scores encaissés colonne BX</t>
  </si>
  <si>
    <t>Avec le curseur (J8) afficher le nombre d'équipes participantes qui correspond à la cellule G8 et le nombre d'équipes qualifiées cellule G9</t>
  </si>
  <si>
    <t>Effectuer le tirage en notant les numéros colonne V les noms des équipes s'affichent dans le tableau  poule dans la colonne AC</t>
  </si>
  <si>
    <t>Effectuer le tirage en notant les numéros colonne U les noms des équipes s'affichent dans le tableau  poule 1 colonne AB</t>
  </si>
  <si>
    <t>Effectuer le tirage en notant les numéros colonne U les noms des équipes s'affichent dans le tableau Poule 1 colonne AB</t>
  </si>
  <si>
    <t>de 71 à 73</t>
  </si>
  <si>
    <t>Score fait</t>
  </si>
  <si>
    <t>Alain</t>
  </si>
  <si>
    <t>Pierre</t>
  </si>
  <si>
    <t>Marcel</t>
  </si>
  <si>
    <t>André</t>
  </si>
  <si>
    <t>Marc</t>
  </si>
  <si>
    <t>Michel</t>
  </si>
  <si>
    <t>Guy</t>
  </si>
  <si>
    <t xml:space="preserve">7 équipes avec 4_5 ou 6 Q. </t>
  </si>
  <si>
    <t xml:space="preserve">6 équipes avec 4_5_Q. </t>
  </si>
  <si>
    <t>V/N/D</t>
  </si>
  <si>
    <t xml:space="preserve">de 61 à 63 </t>
  </si>
  <si>
    <t xml:space="preserve">Cellule Jaune et cellule bleue avec le curseur afficher le nombre d'équipes engagées  et le nombre d'équipes qualifiées </t>
  </si>
  <si>
    <t>Enregistrer les résultats le déroulement des poules ou des parties se fait automatiquement et les équipes s'affichent jusqu'au classement final</t>
  </si>
  <si>
    <t xml:space="preserve">Effectuer le tirage en notant les numéros dans la colonne correspondante les noms des équipes s'affichent dans le tableau </t>
  </si>
  <si>
    <t xml:space="preserve">3ème place </t>
  </si>
</sst>
</file>

<file path=xl/styles.xml><?xml version="1.0" encoding="utf-8"?>
<styleSheet xmlns="http://schemas.openxmlformats.org/spreadsheetml/2006/main">
  <numFmts count="1">
    <numFmt numFmtId="164" formatCode="[$-40C]d\-mmm;@"/>
  </numFmts>
  <fonts count="84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b/>
      <sz val="14"/>
      <color rgb="FFFF0000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name val="Times New Roman"/>
      <family val="1"/>
    </font>
    <font>
      <sz val="11"/>
      <color rgb="FFFFFF00"/>
      <name val="Times New Roman"/>
      <family val="1"/>
    </font>
    <font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B0F0"/>
      <name val="Times New Roman"/>
      <family val="1"/>
    </font>
    <font>
      <b/>
      <sz val="11"/>
      <color theme="1"/>
      <name val="Times New Roman"/>
      <family val="1"/>
    </font>
    <font>
      <sz val="26"/>
      <color theme="1"/>
      <name val="Times New Roman"/>
      <family val="1"/>
    </font>
    <font>
      <sz val="26"/>
      <color rgb="FF0070C0"/>
      <name val="Times New Roman"/>
      <family val="1"/>
    </font>
    <font>
      <b/>
      <sz val="11"/>
      <color theme="0"/>
      <name val="Times New Roman"/>
      <family val="1"/>
    </font>
    <font>
      <sz val="22"/>
      <color theme="1"/>
      <name val="Times New Roman"/>
      <family val="1"/>
    </font>
    <font>
      <sz val="20"/>
      <color theme="1"/>
      <name val="Times New Roman"/>
      <family val="1"/>
    </font>
    <font>
      <sz val="20"/>
      <color rgb="FFFF0000"/>
      <name val="Times New Roman"/>
      <family val="1"/>
    </font>
    <font>
      <b/>
      <sz val="16"/>
      <color rgb="FFFF0000"/>
      <name val="Times New Roman"/>
      <family val="1"/>
    </font>
    <font>
      <u/>
      <sz val="8.8000000000000007"/>
      <color theme="10"/>
      <name val="Calibri"/>
      <family val="2"/>
    </font>
    <font>
      <sz val="12"/>
      <color theme="1"/>
      <name val="Times New Roman"/>
      <family val="1"/>
    </font>
    <font>
      <b/>
      <sz val="16"/>
      <color theme="0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1"/>
      <color theme="0"/>
      <name val="Calibri"/>
      <family val="2"/>
      <scheme val="minor"/>
    </font>
    <font>
      <sz val="18"/>
      <color rgb="FFFF0000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color theme="0"/>
      <name val="Times New Roman"/>
      <family val="1"/>
    </font>
    <font>
      <sz val="10"/>
      <name val="Times New Roman"/>
      <family val="1"/>
    </font>
    <font>
      <b/>
      <sz val="2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  <scheme val="minor"/>
    </font>
    <font>
      <sz val="18"/>
      <color theme="0"/>
      <name val="Times New Roman"/>
      <family val="1"/>
    </font>
    <font>
      <sz val="26"/>
      <color theme="0"/>
      <name val="Times New Roman"/>
      <family val="1"/>
    </font>
    <font>
      <sz val="20"/>
      <color theme="1"/>
      <name val="Calibri"/>
      <family val="2"/>
      <scheme val="minor"/>
    </font>
    <font>
      <sz val="20"/>
      <name val="Times New Roman"/>
      <family val="1"/>
    </font>
    <font>
      <sz val="20"/>
      <color rgb="FFFF0000"/>
      <name val="Calibri"/>
      <family val="2"/>
      <scheme val="minor"/>
    </font>
    <font>
      <sz val="20"/>
      <color theme="1"/>
      <name val="Times New Roman"/>
      <family val="2"/>
    </font>
    <font>
      <sz val="18"/>
      <color rgb="FFFF0000"/>
      <name val="Calibri"/>
      <family val="2"/>
      <scheme val="minor"/>
    </font>
    <font>
      <sz val="26"/>
      <color rgb="FFFF0000"/>
      <name val="Times New Roman"/>
      <family val="1"/>
    </font>
    <font>
      <sz val="20"/>
      <color theme="0"/>
      <name val="Calibri"/>
      <family val="2"/>
      <scheme val="minor"/>
    </font>
    <font>
      <sz val="11"/>
      <color theme="0" tint="-0.14999847407452621"/>
      <name val="Times New Roman"/>
      <family val="1"/>
    </font>
    <font>
      <sz val="11"/>
      <color theme="0" tint="-0.14999847407452621"/>
      <name val="Calibri"/>
      <family val="2"/>
      <scheme val="minor"/>
    </font>
    <font>
      <u/>
      <sz val="8.8000000000000007"/>
      <color theme="10"/>
      <name val="Times New Roman"/>
      <family val="1"/>
    </font>
    <font>
      <b/>
      <sz val="20"/>
      <color theme="1"/>
      <name val="Times New Roman"/>
      <family val="1"/>
    </font>
    <font>
      <b/>
      <sz val="18"/>
      <name val="Times New Roman"/>
      <family val="1"/>
    </font>
    <font>
      <b/>
      <sz val="12"/>
      <color indexed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indexed="12"/>
      <name val="Times New Roman"/>
      <family val="1"/>
    </font>
    <font>
      <sz val="10"/>
      <color theme="0"/>
      <name val="Times New Roman"/>
      <family val="1"/>
    </font>
    <font>
      <sz val="18"/>
      <color indexed="12"/>
      <name val="Times New Roman"/>
      <family val="1"/>
    </font>
    <font>
      <b/>
      <sz val="12"/>
      <color theme="0"/>
      <name val="Times New Roman"/>
      <family val="1"/>
    </font>
    <font>
      <i/>
      <sz val="11"/>
      <color theme="1"/>
      <name val="Times New Roman"/>
      <family val="1"/>
    </font>
    <font>
      <i/>
      <u/>
      <sz val="18"/>
      <color theme="1"/>
      <name val="Times New Roman"/>
      <family val="1"/>
    </font>
    <font>
      <i/>
      <u/>
      <sz val="16"/>
      <color theme="1"/>
      <name val="Times New Roman"/>
      <family val="1"/>
    </font>
    <font>
      <i/>
      <u/>
      <sz val="11"/>
      <color theme="1"/>
      <name val="Times New Roman"/>
      <family val="1"/>
    </font>
    <font>
      <sz val="18"/>
      <color theme="0"/>
      <name val="Calibri"/>
      <family val="2"/>
      <scheme val="minor"/>
    </font>
    <font>
      <sz val="16"/>
      <color theme="0"/>
      <name val="Times New Roman"/>
      <family val="1"/>
    </font>
    <font>
      <sz val="14"/>
      <color theme="0" tint="-0.14999847407452621"/>
      <name val="Times New Roman"/>
      <family val="1"/>
    </font>
    <font>
      <sz val="20"/>
      <color theme="0"/>
      <name val="Times New Roman"/>
      <family val="1"/>
    </font>
    <font>
      <i/>
      <sz val="16"/>
      <color rgb="FFFF0000"/>
      <name val="Times New Roman"/>
      <family val="1"/>
    </font>
    <font>
      <i/>
      <sz val="11"/>
      <color rgb="FFFF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A90ED"/>
        <bgColor indexed="64"/>
      </patternFill>
    </fill>
    <fill>
      <patternFill patternType="solid">
        <fgColor rgb="FF57D3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73F42C"/>
        <bgColor indexed="64"/>
      </patternFill>
    </fill>
    <fill>
      <patternFill patternType="solid">
        <fgColor rgb="FF9A9CFC"/>
        <bgColor indexed="64"/>
      </patternFill>
    </fill>
    <fill>
      <patternFill patternType="solid">
        <fgColor rgb="FFFDBBF8"/>
        <bgColor indexed="64"/>
      </patternFill>
    </fill>
    <fill>
      <patternFill patternType="solid">
        <fgColor rgb="FF29A3FF"/>
        <bgColor indexed="64"/>
      </patternFill>
    </fill>
    <fill>
      <patternFill patternType="solid">
        <fgColor rgb="FFFC8EF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26FAA4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 style="medium">
        <color indexed="64"/>
      </right>
      <top style="double">
        <color rgb="FFFF0000"/>
      </top>
      <bottom/>
      <diagonal/>
    </border>
    <border>
      <left style="medium">
        <color indexed="64"/>
      </left>
      <right style="medium">
        <color indexed="64"/>
      </right>
      <top style="double">
        <color rgb="FFFF0000"/>
      </top>
      <bottom/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8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rgb="FFFF0000"/>
      </top>
      <bottom style="thin">
        <color indexed="8"/>
      </bottom>
      <diagonal/>
    </border>
    <border>
      <left style="double">
        <color rgb="FFFF0000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rgb="FFFF0000"/>
      </left>
      <right style="medium">
        <color indexed="64"/>
      </right>
      <top/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/>
      <bottom style="double">
        <color rgb="FFFF0000"/>
      </bottom>
      <diagonal/>
    </border>
    <border>
      <left style="medium">
        <color indexed="64"/>
      </left>
      <right/>
      <top/>
      <bottom style="double">
        <color rgb="FFFF0000"/>
      </bottom>
      <diagonal/>
    </border>
    <border>
      <left style="medium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/>
      <bottom style="double">
        <color rgb="FFFF0000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thin">
        <color indexed="8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rgb="FFFF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rgb="FFFF0000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double">
        <color rgb="FFFF0000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FF0000"/>
      </top>
      <bottom/>
      <diagonal/>
    </border>
    <border>
      <left style="thin">
        <color indexed="8"/>
      </left>
      <right style="thin">
        <color indexed="8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rgb="FFFF0000"/>
      </bottom>
      <diagonal/>
    </border>
    <border>
      <left style="thin">
        <color indexed="8"/>
      </left>
      <right/>
      <top style="double">
        <color rgb="FFFF0000"/>
      </top>
      <bottom style="thin">
        <color indexed="64"/>
      </bottom>
      <diagonal/>
    </border>
    <border>
      <left style="medium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double">
        <color rgb="FFFF0000"/>
      </right>
      <top/>
      <bottom style="double">
        <color rgb="FFFF0000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8"/>
      </left>
      <right style="thin">
        <color indexed="8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rgb="FFFF0000"/>
      </top>
      <bottom/>
      <diagonal/>
    </border>
    <border>
      <left/>
      <right style="medium">
        <color indexed="64"/>
      </right>
      <top/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 style="double">
        <color rgb="FFFF0000"/>
      </bottom>
      <diagonal/>
    </border>
    <border>
      <left style="medium">
        <color indexed="64"/>
      </left>
      <right/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 style="thin">
        <color indexed="8"/>
      </right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rgb="FFFF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double">
        <color rgb="FFFF0000"/>
      </bottom>
      <diagonal/>
    </border>
  </borders>
  <cellStyleXfs count="3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46" fillId="0" borderId="0"/>
  </cellStyleXfs>
  <cellXfs count="1532">
    <xf numFmtId="0" fontId="0" fillId="0" borderId="0" xfId="0"/>
    <xf numFmtId="0" fontId="0" fillId="0" borderId="0" xfId="0" applyProtection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7" borderId="1" xfId="0" applyFill="1" applyBorder="1" applyAlignment="1" applyProtection="1">
      <alignment horizontal="center"/>
    </xf>
    <xf numFmtId="0" fontId="3" fillId="6" borderId="1" xfId="0" applyFont="1" applyFill="1" applyBorder="1" applyAlignment="1" applyProtection="1"/>
    <xf numFmtId="0" fontId="0" fillId="3" borderId="1" xfId="0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0" fillId="3" borderId="1" xfId="0" applyFill="1" applyBorder="1" applyAlignment="1">
      <alignment horizontal="center"/>
    </xf>
    <xf numFmtId="0" fontId="0" fillId="3" borderId="9" xfId="0" applyFill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</xf>
    <xf numFmtId="0" fontId="13" fillId="0" borderId="0" xfId="0" applyFont="1" applyProtection="1"/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13" fillId="0" borderId="12" xfId="0" applyFont="1" applyBorder="1" applyProtection="1"/>
    <xf numFmtId="0" fontId="13" fillId="0" borderId="0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3" fillId="0" borderId="0" xfId="0" applyFont="1" applyBorder="1" applyProtection="1"/>
    <xf numFmtId="0" fontId="13" fillId="0" borderId="0" xfId="0" applyFont="1" applyFill="1" applyBorder="1" applyProtection="1"/>
    <xf numFmtId="0" fontId="13" fillId="0" borderId="12" xfId="0" applyFont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</xf>
    <xf numFmtId="0" fontId="13" fillId="0" borderId="20" xfId="0" applyFont="1" applyBorder="1" applyProtection="1"/>
    <xf numFmtId="0" fontId="13" fillId="0" borderId="0" xfId="0" applyFont="1" applyAlignment="1" applyProtection="1">
      <alignment horizontal="right" vertical="center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right"/>
    </xf>
    <xf numFmtId="0" fontId="13" fillId="13" borderId="1" xfId="0" applyFont="1" applyFill="1" applyBorder="1" applyProtection="1"/>
    <xf numFmtId="0" fontId="17" fillId="3" borderId="1" xfId="0" applyFont="1" applyFill="1" applyBorder="1" applyAlignment="1" applyProtection="1">
      <alignment horizontal="center" vertical="center"/>
    </xf>
    <xf numFmtId="0" fontId="13" fillId="0" borderId="16" xfId="0" applyFont="1" applyBorder="1"/>
    <xf numFmtId="0" fontId="13" fillId="0" borderId="0" xfId="0" applyFont="1"/>
    <xf numFmtId="0" fontId="13" fillId="0" borderId="12" xfId="0" applyFont="1" applyBorder="1" applyAlignment="1" applyProtection="1">
      <alignment horizontal="center"/>
      <protection locked="0"/>
    </xf>
    <xf numFmtId="0" fontId="13" fillId="0" borderId="1" xfId="0" applyFont="1" applyBorder="1" applyProtection="1"/>
    <xf numFmtId="0" fontId="13" fillId="0" borderId="8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</xf>
    <xf numFmtId="0" fontId="13" fillId="0" borderId="22" xfId="0" applyFont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  <protection locked="0"/>
    </xf>
    <xf numFmtId="0" fontId="18" fillId="0" borderId="0" xfId="0" quotePrefix="1" applyFont="1" applyBorder="1" applyAlignment="1" applyProtection="1">
      <alignment horizontal="center"/>
    </xf>
    <xf numFmtId="0" fontId="13" fillId="0" borderId="23" xfId="0" applyFont="1" applyBorder="1" applyAlignment="1" applyProtection="1">
      <alignment horizontal="center"/>
    </xf>
    <xf numFmtId="0" fontId="13" fillId="0" borderId="34" xfId="0" applyFont="1" applyBorder="1" applyAlignment="1" applyProtection="1">
      <alignment horizontal="center"/>
    </xf>
    <xf numFmtId="0" fontId="19" fillId="0" borderId="0" xfId="0" quotePrefix="1" applyFont="1" applyBorder="1" applyProtection="1"/>
    <xf numFmtId="0" fontId="13" fillId="0" borderId="0" xfId="0" quotePrefix="1" applyFont="1" applyBorder="1" applyProtection="1"/>
    <xf numFmtId="0" fontId="20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13" fillId="0" borderId="16" xfId="0" applyFont="1" applyBorder="1" applyProtection="1"/>
    <xf numFmtId="0" fontId="13" fillId="0" borderId="17" xfId="0" applyFont="1" applyBorder="1"/>
    <xf numFmtId="0" fontId="13" fillId="0" borderId="17" xfId="0" applyFont="1" applyBorder="1" applyProtection="1"/>
    <xf numFmtId="0" fontId="13" fillId="0" borderId="18" xfId="0" applyFont="1" applyBorder="1" applyProtection="1"/>
    <xf numFmtId="0" fontId="24" fillId="4" borderId="0" xfId="0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21" fillId="0" borderId="0" xfId="0" applyFont="1" applyBorder="1" applyProtection="1"/>
    <xf numFmtId="0" fontId="13" fillId="0" borderId="11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29" xfId="0" quotePrefix="1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</xf>
    <xf numFmtId="0" fontId="13" fillId="0" borderId="33" xfId="0" quotePrefix="1" applyFont="1" applyFill="1" applyBorder="1" applyAlignment="1" applyProtection="1">
      <alignment horizontal="center" vertical="center"/>
    </xf>
    <xf numFmtId="0" fontId="13" fillId="0" borderId="35" xfId="0" quotePrefix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/>
      <protection locked="0"/>
    </xf>
    <xf numFmtId="0" fontId="13" fillId="0" borderId="43" xfId="0" quotePrefix="1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/>
    </xf>
    <xf numFmtId="0" fontId="26" fillId="0" borderId="0" xfId="0" applyFont="1" applyFill="1" applyBorder="1" applyProtection="1">
      <protection locked="0"/>
    </xf>
    <xf numFmtId="0" fontId="26" fillId="0" borderId="0" xfId="0" applyFont="1" applyProtection="1"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28" fillId="3" borderId="1" xfId="0" applyFont="1" applyFill="1" applyBorder="1" applyAlignment="1" applyProtection="1">
      <alignment horizontal="center" vertical="center"/>
    </xf>
    <xf numFmtId="0" fontId="27" fillId="3" borderId="1" xfId="0" applyFont="1" applyFill="1" applyBorder="1" applyAlignment="1" applyProtection="1">
      <alignment horizontal="center" vertical="center"/>
    </xf>
    <xf numFmtId="0" fontId="28" fillId="10" borderId="1" xfId="0" applyFont="1" applyFill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12" xfId="0" applyFont="1" applyBorder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6" fillId="0" borderId="12" xfId="0" applyFont="1" applyBorder="1" applyProtection="1">
      <protection locked="0"/>
    </xf>
    <xf numFmtId="0" fontId="26" fillId="0" borderId="0" xfId="0" applyFont="1" applyBorder="1" applyProtection="1"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20" xfId="0" applyFont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3" fillId="0" borderId="20" xfId="0" applyFont="1" applyBorder="1" applyProtection="1">
      <protection locked="0"/>
    </xf>
    <xf numFmtId="0" fontId="13" fillId="13" borderId="1" xfId="0" applyFont="1" applyFill="1" applyBorder="1" applyProtection="1">
      <protection locked="0"/>
    </xf>
    <xf numFmtId="0" fontId="21" fillId="0" borderId="0" xfId="0" applyFont="1" applyBorder="1" applyProtection="1">
      <protection locked="0"/>
    </xf>
    <xf numFmtId="0" fontId="13" fillId="0" borderId="16" xfId="0" applyFont="1" applyBorder="1" applyProtection="1">
      <protection locked="0"/>
    </xf>
    <xf numFmtId="0" fontId="19" fillId="0" borderId="0" xfId="0" quotePrefix="1" applyFont="1" applyBorder="1" applyProtection="1">
      <protection locked="0"/>
    </xf>
    <xf numFmtId="0" fontId="13" fillId="0" borderId="0" xfId="0" quotePrefix="1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13" fillId="0" borderId="1" xfId="0" applyFont="1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17" xfId="0" applyFont="1" applyBorder="1" applyProtection="1">
      <protection locked="0"/>
    </xf>
    <xf numFmtId="0" fontId="13" fillId="0" borderId="18" xfId="0" applyFont="1" applyBorder="1" applyProtection="1"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2" fillId="0" borderId="0" xfId="0" quotePrefix="1" applyFont="1" applyProtection="1">
      <protection locked="0"/>
    </xf>
    <xf numFmtId="0" fontId="13" fillId="0" borderId="0" xfId="0" quotePrefix="1" applyFont="1" applyProtection="1">
      <protection locked="0"/>
    </xf>
    <xf numFmtId="0" fontId="13" fillId="0" borderId="0" xfId="0" quotePrefix="1" applyFont="1" applyAlignment="1" applyProtection="1">
      <alignment vertical="center"/>
      <protection locked="0"/>
    </xf>
    <xf numFmtId="0" fontId="6" fillId="0" borderId="0" xfId="0" quotePrefix="1" applyFo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quotePrefix="1" applyFont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2" fillId="11" borderId="19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29" fillId="0" borderId="0" xfId="1" quotePrefix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quotePrefix="1" applyFont="1" applyAlignment="1" applyProtection="1">
      <alignment horizontal="center"/>
      <protection locked="0"/>
    </xf>
    <xf numFmtId="0" fontId="18" fillId="0" borderId="0" xfId="0" quotePrefix="1" applyFont="1" applyFill="1" applyBorder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wrapText="1"/>
      <protection locked="0"/>
    </xf>
    <xf numFmtId="0" fontId="13" fillId="0" borderId="0" xfId="0" quotePrefix="1" applyNumberFormat="1" applyFont="1" applyAlignment="1" applyProtection="1">
      <alignment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14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30" fillId="0" borderId="0" xfId="0" applyNumberFormat="1" applyFont="1" applyAlignment="1" applyProtection="1">
      <protection locked="0"/>
    </xf>
    <xf numFmtId="0" fontId="13" fillId="0" borderId="0" xfId="0" quotePrefix="1" applyNumberFormat="1" applyFont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NumberFormat="1" applyFont="1" applyAlignment="1" applyProtection="1">
      <alignment vertical="center" wrapText="1"/>
      <protection locked="0"/>
    </xf>
    <xf numFmtId="0" fontId="13" fillId="0" borderId="0" xfId="0" quotePrefix="1" applyNumberFormat="1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3" fillId="19" borderId="1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8" fillId="0" borderId="0" xfId="0" applyFont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 vertical="center"/>
    </xf>
    <xf numFmtId="0" fontId="5" fillId="0" borderId="33" xfId="0" quotePrefix="1" applyFont="1" applyBorder="1" applyAlignment="1" applyProtection="1">
      <alignment horizontal="center" vertical="center"/>
    </xf>
    <xf numFmtId="0" fontId="6" fillId="0" borderId="35" xfId="0" quotePrefix="1" applyFont="1" applyFill="1" applyBorder="1" applyAlignment="1" applyProtection="1">
      <alignment horizontal="center" vertical="center"/>
    </xf>
    <xf numFmtId="0" fontId="6" fillId="14" borderId="29" xfId="0" quotePrefix="1" applyFont="1" applyFill="1" applyBorder="1" applyAlignment="1" applyProtection="1">
      <alignment horizontal="center" vertical="center"/>
    </xf>
    <xf numFmtId="0" fontId="6" fillId="14" borderId="32" xfId="0" quotePrefix="1" applyFont="1" applyFill="1" applyBorder="1" applyAlignment="1" applyProtection="1">
      <alignment horizontal="center" vertical="center"/>
    </xf>
    <xf numFmtId="0" fontId="13" fillId="0" borderId="11" xfId="0" quotePrefix="1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 applyProtection="1">
      <alignment horizontal="center" vertical="center"/>
      <protection locked="0"/>
    </xf>
    <xf numFmtId="0" fontId="13" fillId="13" borderId="1" xfId="0" applyFont="1" applyFill="1" applyBorder="1" applyAlignment="1" applyProtection="1">
      <alignment horizontal="center" vertical="center"/>
      <protection locked="0"/>
    </xf>
    <xf numFmtId="0" fontId="18" fillId="0" borderId="0" xfId="0" quotePrefix="1" applyFont="1" applyBorder="1" applyProtection="1"/>
    <xf numFmtId="0" fontId="18" fillId="0" borderId="0" xfId="0" applyFont="1" applyBorder="1" applyProtection="1"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/>
    <xf numFmtId="0" fontId="11" fillId="0" borderId="0" xfId="0" applyFont="1" applyProtection="1">
      <protection locked="0"/>
    </xf>
    <xf numFmtId="0" fontId="6" fillId="0" borderId="43" xfId="0" quotePrefix="1" applyFont="1" applyFill="1" applyBorder="1" applyAlignment="1" applyProtection="1">
      <alignment horizontal="center" vertical="center"/>
    </xf>
    <xf numFmtId="0" fontId="6" fillId="16" borderId="1" xfId="0" applyFont="1" applyFill="1" applyBorder="1" applyAlignment="1" applyProtection="1">
      <alignment horizontal="center" vertical="center"/>
    </xf>
    <xf numFmtId="0" fontId="6" fillId="15" borderId="1" xfId="0" applyFont="1" applyFill="1" applyBorder="1" applyAlignment="1" applyProtection="1">
      <alignment horizontal="center" vertical="center"/>
    </xf>
    <xf numFmtId="0" fontId="13" fillId="0" borderId="32" xfId="0" quotePrefix="1" applyFont="1" applyFill="1" applyBorder="1" applyAlignment="1" applyProtection="1">
      <alignment horizontal="center" vertical="center"/>
    </xf>
    <xf numFmtId="0" fontId="35" fillId="0" borderId="0" xfId="0" applyFont="1" applyBorder="1" applyProtection="1"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17" xfId="0" applyBorder="1" applyProtection="1">
      <protection locked="0"/>
    </xf>
    <xf numFmtId="0" fontId="19" fillId="0" borderId="1" xfId="0" applyFont="1" applyFill="1" applyBorder="1" applyAlignment="1" applyProtection="1">
      <alignment horizontal="center" vertical="center"/>
    </xf>
    <xf numFmtId="0" fontId="3" fillId="0" borderId="0" xfId="0" quotePrefix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14" borderId="19" xfId="0" applyFont="1" applyFill="1" applyBorder="1" applyAlignment="1" applyProtection="1">
      <alignment horizontal="center" vertical="center"/>
      <protection locked="0"/>
    </xf>
    <xf numFmtId="0" fontId="13" fillId="14" borderId="1" xfId="0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Protection="1">
      <protection locked="0"/>
    </xf>
    <xf numFmtId="0" fontId="13" fillId="0" borderId="25" xfId="0" applyFont="1" applyBorder="1" applyProtection="1">
      <protection locked="0"/>
    </xf>
    <xf numFmtId="0" fontId="3" fillId="0" borderId="0" xfId="0" quotePrefix="1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0" xfId="0" quotePrefix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34" fillId="0" borderId="20" xfId="0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protection locked="0"/>
    </xf>
    <xf numFmtId="0" fontId="13" fillId="0" borderId="13" xfId="0" applyFont="1" applyBorder="1" applyProtection="1"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/>
      <protection locked="0"/>
    </xf>
    <xf numFmtId="0" fontId="18" fillId="0" borderId="12" xfId="0" applyFont="1" applyBorder="1" applyProtection="1">
      <protection locked="0"/>
    </xf>
    <xf numFmtId="0" fontId="13" fillId="0" borderId="17" xfId="0" applyFont="1" applyBorder="1" applyAlignment="1" applyProtection="1">
      <alignment wrapText="1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34" fillId="0" borderId="0" xfId="0" applyFont="1" applyProtection="1">
      <protection locked="0"/>
    </xf>
    <xf numFmtId="0" fontId="34" fillId="0" borderId="0" xfId="0" quotePrefix="1" applyFont="1" applyFill="1" applyAlignment="1" applyProtection="1">
      <alignment horizontal="center"/>
      <protection locked="0"/>
    </xf>
    <xf numFmtId="0" fontId="13" fillId="0" borderId="11" xfId="0" applyFont="1" applyBorder="1" applyAlignment="1" applyProtection="1">
      <alignment vertical="center"/>
    </xf>
    <xf numFmtId="0" fontId="13" fillId="0" borderId="32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locked="0"/>
    </xf>
    <xf numFmtId="0" fontId="30" fillId="0" borderId="0" xfId="0" applyNumberFormat="1" applyFont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/>
      <protection locked="0"/>
    </xf>
    <xf numFmtId="0" fontId="14" fillId="19" borderId="1" xfId="0" applyFont="1" applyFill="1" applyBorder="1" applyAlignment="1" applyProtection="1">
      <alignment horizont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3" fillId="0" borderId="0" xfId="0" quotePrefix="1" applyFont="1" applyFill="1" applyBorder="1" applyAlignment="1" applyProtection="1">
      <alignment horizontal="center" vertical="center"/>
      <protection locked="0"/>
    </xf>
    <xf numFmtId="0" fontId="34" fillId="3" borderId="1" xfId="0" applyFont="1" applyFill="1" applyBorder="1" applyAlignment="1" applyProtection="1">
      <alignment horizontal="center" vertical="center"/>
    </xf>
    <xf numFmtId="0" fontId="35" fillId="0" borderId="0" xfId="0" applyFont="1" applyBorder="1" applyProtection="1"/>
    <xf numFmtId="0" fontId="0" fillId="0" borderId="0" xfId="0" applyBorder="1" applyProtection="1"/>
    <xf numFmtId="0" fontId="34" fillId="0" borderId="0" xfId="0" applyFont="1" applyFill="1" applyAlignment="1" applyProtection="1">
      <alignment horizontal="center" vertical="center"/>
    </xf>
    <xf numFmtId="0" fontId="8" fillId="0" borderId="0" xfId="0" applyFont="1" applyProtection="1">
      <protection locked="0"/>
    </xf>
    <xf numFmtId="0" fontId="28" fillId="0" borderId="0" xfId="0" applyFont="1" applyBorder="1" applyAlignment="1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0" fontId="34" fillId="0" borderId="1" xfId="0" applyFont="1" applyBorder="1" applyAlignment="1" applyProtection="1">
      <alignment horizontal="center"/>
      <protection locked="0"/>
    </xf>
    <xf numFmtId="0" fontId="34" fillId="0" borderId="11" xfId="0" applyFont="1" applyBorder="1" applyAlignment="1" applyProtection="1">
      <alignment horizontal="center"/>
      <protection locked="0"/>
    </xf>
    <xf numFmtId="0" fontId="37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36" fillId="0" borderId="0" xfId="0" applyNumberFormat="1" applyFont="1" applyAlignment="1" applyProtection="1">
      <alignment horizontal="center" vertical="center" wrapText="1"/>
      <protection locked="0"/>
    </xf>
    <xf numFmtId="0" fontId="34" fillId="0" borderId="0" xfId="0" quotePrefix="1" applyNumberFormat="1" applyFont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</xf>
    <xf numFmtId="0" fontId="36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18" fillId="0" borderId="0" xfId="0" quotePrefix="1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Protection="1"/>
    <xf numFmtId="0" fontId="18" fillId="0" borderId="0" xfId="0" applyFont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6" fillId="0" borderId="32" xfId="0" quotePrefix="1" applyFont="1" applyFill="1" applyBorder="1" applyAlignment="1" applyProtection="1">
      <alignment horizontal="center" vertical="center"/>
    </xf>
    <xf numFmtId="0" fontId="10" fillId="0" borderId="11" xfId="0" quotePrefix="1" applyNumberFormat="1" applyFont="1" applyFill="1" applyBorder="1" applyAlignment="1" applyProtection="1">
      <alignment horizontal="center" vertical="center" wrapText="1"/>
    </xf>
    <xf numFmtId="0" fontId="10" fillId="0" borderId="1" xfId="0" quotePrefix="1" applyNumberFormat="1" applyFont="1" applyBorder="1" applyAlignment="1" applyProtection="1">
      <alignment horizontal="center" vertical="center"/>
    </xf>
    <xf numFmtId="0" fontId="10" fillId="0" borderId="1" xfId="0" quotePrefix="1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/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40" fillId="3" borderId="1" xfId="0" applyFont="1" applyFill="1" applyBorder="1" applyAlignment="1" applyProtection="1">
      <alignment horizontal="center" vertical="center"/>
      <protection locked="0"/>
    </xf>
    <xf numFmtId="0" fontId="41" fillId="10" borderId="1" xfId="0" applyFont="1" applyFill="1" applyBorder="1" applyAlignment="1" applyProtection="1">
      <alignment horizontal="center" vertical="center"/>
      <protection locked="0"/>
    </xf>
    <xf numFmtId="0" fontId="43" fillId="0" borderId="49" xfId="0" applyFont="1" applyFill="1" applyBorder="1" applyAlignment="1" applyProtection="1">
      <alignment horizontal="center" vertical="center" wrapText="1"/>
      <protection locked="0"/>
    </xf>
    <xf numFmtId="0" fontId="44" fillId="0" borderId="49" xfId="0" applyFont="1" applyFill="1" applyBorder="1" applyAlignment="1" applyProtection="1">
      <alignment horizontal="center" vertical="center" wrapText="1"/>
      <protection locked="0"/>
    </xf>
    <xf numFmtId="0" fontId="43" fillId="0" borderId="51" xfId="0" applyFont="1" applyFill="1" applyBorder="1" applyAlignment="1" applyProtection="1">
      <alignment horizontal="center" vertical="center" wrapText="1"/>
      <protection locked="0"/>
    </xf>
    <xf numFmtId="0" fontId="44" fillId="0" borderId="51" xfId="0" applyFont="1" applyFill="1" applyBorder="1" applyAlignment="1" applyProtection="1">
      <alignment horizontal="center" vertical="center" wrapText="1"/>
      <protection locked="0"/>
    </xf>
    <xf numFmtId="0" fontId="13" fillId="0" borderId="51" xfId="0" applyFont="1" applyBorder="1"/>
    <xf numFmtId="0" fontId="9" fillId="0" borderId="54" xfId="0" applyFont="1" applyFill="1" applyBorder="1" applyAlignment="1" applyProtection="1">
      <alignment horizontal="center" vertical="center" wrapText="1"/>
      <protection locked="0"/>
    </xf>
    <xf numFmtId="0" fontId="43" fillId="0" borderId="56" xfId="0" applyFont="1" applyBorder="1" applyAlignment="1" applyProtection="1">
      <alignment horizontal="center" vertical="center" wrapText="1"/>
      <protection locked="0"/>
    </xf>
    <xf numFmtId="0" fontId="13" fillId="13" borderId="0" xfId="0" applyFont="1" applyFill="1" applyAlignment="1">
      <alignment horizontal="center" vertical="center"/>
    </xf>
    <xf numFmtId="0" fontId="45" fillId="13" borderId="54" xfId="0" applyFont="1" applyFill="1" applyBorder="1" applyAlignment="1" applyProtection="1">
      <alignment horizontal="center" vertical="center" wrapText="1"/>
      <protection locked="0"/>
    </xf>
    <xf numFmtId="0" fontId="43" fillId="0" borderId="57" xfId="2" quotePrefix="1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43" fillId="0" borderId="39" xfId="0" applyFont="1" applyFill="1" applyBorder="1" applyAlignment="1" applyProtection="1">
      <alignment horizontal="center" vertical="center" wrapText="1"/>
    </xf>
    <xf numFmtId="0" fontId="43" fillId="0" borderId="59" xfId="0" applyFont="1" applyBorder="1" applyAlignment="1" applyProtection="1">
      <alignment horizontal="center" vertical="center" wrapText="1"/>
      <protection locked="0"/>
    </xf>
    <xf numFmtId="0" fontId="45" fillId="13" borderId="23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43" fillId="0" borderId="61" xfId="0" applyFont="1" applyBorder="1" applyAlignment="1" applyProtection="1">
      <alignment horizontal="center" vertical="center" wrapText="1"/>
      <protection locked="0"/>
    </xf>
    <xf numFmtId="0" fontId="45" fillId="13" borderId="21" xfId="0" applyFont="1" applyFill="1" applyBorder="1" applyAlignment="1" applyProtection="1">
      <alignment horizontal="center" vertical="center" wrapText="1"/>
      <protection locked="0"/>
    </xf>
    <xf numFmtId="0" fontId="43" fillId="0" borderId="62" xfId="2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43" fillId="0" borderId="63" xfId="0" applyFont="1" applyBorder="1" applyAlignment="1" applyProtection="1">
      <alignment horizontal="center" vertical="center" wrapText="1"/>
      <protection locked="0"/>
    </xf>
    <xf numFmtId="0" fontId="5" fillId="0" borderId="67" xfId="0" applyFont="1" applyFill="1" applyBorder="1" applyAlignment="1" applyProtection="1">
      <alignment horizontal="center" vertical="center" wrapText="1"/>
      <protection locked="0"/>
    </xf>
    <xf numFmtId="0" fontId="9" fillId="10" borderId="68" xfId="0" applyFont="1" applyFill="1" applyBorder="1" applyAlignment="1" applyProtection="1">
      <alignment horizontal="center" vertical="center" wrapText="1"/>
      <protection locked="0"/>
    </xf>
    <xf numFmtId="0" fontId="43" fillId="13" borderId="70" xfId="0" applyFont="1" applyFill="1" applyBorder="1" applyAlignment="1" applyProtection="1">
      <alignment horizontal="center" vertical="center" wrapText="1"/>
      <protection locked="0"/>
    </xf>
    <xf numFmtId="0" fontId="13" fillId="13" borderId="50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9" fillId="1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quotePrefix="1" applyFont="1" applyAlignment="1">
      <alignment horizontal="center" vertical="center"/>
    </xf>
    <xf numFmtId="0" fontId="25" fillId="0" borderId="8" xfId="0" applyFont="1" applyBorder="1" applyAlignment="1" applyProtection="1">
      <alignment vertical="center"/>
      <protection locked="0"/>
    </xf>
    <xf numFmtId="0" fontId="25" fillId="0" borderId="9" xfId="0" applyFont="1" applyBorder="1" applyAlignment="1" applyProtection="1">
      <alignment vertical="center"/>
      <protection locked="0"/>
    </xf>
    <xf numFmtId="0" fontId="25" fillId="0" borderId="10" xfId="0" applyFont="1" applyBorder="1" applyAlignment="1" applyProtection="1">
      <alignment vertical="center"/>
      <protection locked="0"/>
    </xf>
    <xf numFmtId="0" fontId="5" fillId="21" borderId="8" xfId="0" applyFont="1" applyFill="1" applyBorder="1" applyAlignment="1" applyProtection="1">
      <alignment vertical="center" wrapText="1"/>
      <protection locked="0"/>
    </xf>
    <xf numFmtId="0" fontId="5" fillId="21" borderId="9" xfId="0" applyFont="1" applyFill="1" applyBorder="1" applyAlignment="1" applyProtection="1">
      <alignment vertical="center" wrapText="1"/>
      <protection locked="0"/>
    </xf>
    <xf numFmtId="0" fontId="5" fillId="21" borderId="10" xfId="0" applyFont="1" applyFill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43" fillId="0" borderId="72" xfId="0" applyFont="1" applyFill="1" applyBorder="1" applyAlignment="1" applyProtection="1">
      <alignment horizontal="center" vertical="center" wrapText="1"/>
    </xf>
    <xf numFmtId="0" fontId="43" fillId="0" borderId="73" xfId="0" applyFont="1" applyBorder="1" applyAlignment="1" applyProtection="1">
      <alignment horizontal="center" vertical="center" wrapText="1"/>
      <protection locked="0"/>
    </xf>
    <xf numFmtId="0" fontId="45" fillId="21" borderId="54" xfId="0" applyFont="1" applyFill="1" applyBorder="1" applyAlignment="1" applyProtection="1">
      <alignment horizontal="center" vertical="center" wrapText="1"/>
      <protection locked="0"/>
    </xf>
    <xf numFmtId="0" fontId="43" fillId="0" borderId="62" xfId="2" applyFont="1" applyFill="1" applyBorder="1" applyAlignment="1" applyProtection="1">
      <alignment horizontal="center" vertical="center" wrapText="1"/>
    </xf>
    <xf numFmtId="0" fontId="43" fillId="0" borderId="74" xfId="0" applyFont="1" applyBorder="1" applyAlignment="1" applyProtection="1">
      <alignment horizontal="center" vertical="center" wrapText="1"/>
      <protection locked="0"/>
    </xf>
    <xf numFmtId="0" fontId="45" fillId="21" borderId="23" xfId="0" applyFont="1" applyFill="1" applyBorder="1" applyAlignment="1" applyProtection="1">
      <alignment horizontal="center" vertical="center" wrapText="1"/>
      <protection locked="0"/>
    </xf>
    <xf numFmtId="0" fontId="43" fillId="0" borderId="60" xfId="2" applyFont="1" applyFill="1" applyBorder="1" applyAlignment="1" applyProtection="1">
      <alignment horizontal="center" vertical="center" wrapText="1"/>
    </xf>
    <xf numFmtId="0" fontId="45" fillId="23" borderId="21" xfId="0" applyFont="1" applyFill="1" applyBorder="1" applyAlignment="1" applyProtection="1">
      <alignment horizontal="center" vertical="center" wrapText="1"/>
      <protection locked="0"/>
    </xf>
    <xf numFmtId="0" fontId="45" fillId="23" borderId="72" xfId="0" applyFont="1" applyFill="1" applyBorder="1" applyAlignment="1" applyProtection="1">
      <alignment horizontal="center" vertical="center" wrapText="1"/>
      <protection locked="0"/>
    </xf>
    <xf numFmtId="0" fontId="43" fillId="0" borderId="75" xfId="2" applyFont="1" applyFill="1" applyBorder="1" applyAlignment="1" applyProtection="1">
      <alignment horizontal="center" vertical="center" wrapText="1"/>
    </xf>
    <xf numFmtId="0" fontId="43" fillId="0" borderId="76" xfId="0" applyFont="1" applyFill="1" applyBorder="1" applyAlignment="1" applyProtection="1">
      <alignment horizontal="center" wrapText="1"/>
      <protection locked="0"/>
    </xf>
    <xf numFmtId="0" fontId="48" fillId="0" borderId="0" xfId="0" applyFont="1" applyFill="1" applyBorder="1" applyAlignment="1" applyProtection="1">
      <alignment horizontal="center" wrapText="1"/>
    </xf>
    <xf numFmtId="0" fontId="42" fillId="0" borderId="13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0" fontId="42" fillId="0" borderId="16" xfId="0" applyFont="1" applyFill="1" applyBorder="1" applyAlignment="1" applyProtection="1">
      <alignment horizontal="center" vertical="center" wrapText="1"/>
      <protection locked="0"/>
    </xf>
    <xf numFmtId="0" fontId="43" fillId="0" borderId="51" xfId="2" applyFont="1" applyFill="1" applyBorder="1" applyAlignment="1" applyProtection="1">
      <alignment horizontal="center" vertical="center" wrapText="1"/>
    </xf>
    <xf numFmtId="0" fontId="43" fillId="0" borderId="76" xfId="2" applyFont="1" applyFill="1" applyBorder="1" applyAlignment="1" applyProtection="1">
      <alignment horizontal="center" wrapText="1"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3" fillId="0" borderId="0" xfId="2" applyFont="1" applyFill="1" applyBorder="1" applyAlignment="1" applyProtection="1">
      <alignment horizontal="center" vertical="center" wrapText="1"/>
    </xf>
    <xf numFmtId="0" fontId="10" fillId="0" borderId="51" xfId="0" applyFont="1" applyBorder="1" applyProtection="1"/>
    <xf numFmtId="0" fontId="10" fillId="0" borderId="0" xfId="0" applyFont="1" applyBorder="1" applyAlignment="1" applyProtection="1">
      <alignment horizontal="center" vertical="center"/>
    </xf>
    <xf numFmtId="0" fontId="10" fillId="0" borderId="29" xfId="0" quotePrefix="1" applyFont="1" applyFill="1" applyBorder="1" applyAlignment="1" applyProtection="1">
      <alignment horizontal="center" vertical="center"/>
    </xf>
    <xf numFmtId="0" fontId="0" fillId="0" borderId="0" xfId="0" applyFill="1"/>
    <xf numFmtId="0" fontId="6" fillId="0" borderId="32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10" fillId="0" borderId="33" xfId="0" quotePrefix="1" applyFont="1" applyFill="1" applyBorder="1" applyAlignment="1" applyProtection="1">
      <alignment horizontal="center" vertical="center"/>
    </xf>
    <xf numFmtId="0" fontId="48" fillId="0" borderId="51" xfId="0" applyFont="1" applyFill="1" applyBorder="1" applyAlignment="1" applyProtection="1">
      <alignment horizontal="center" vertical="center" wrapText="1"/>
      <protection locked="0"/>
    </xf>
    <xf numFmtId="0" fontId="0" fillId="0" borderId="51" xfId="0" applyFill="1" applyBorder="1"/>
    <xf numFmtId="0" fontId="6" fillId="0" borderId="35" xfId="0" applyFont="1" applyBorder="1" applyAlignment="1" applyProtection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0" fontId="37" fillId="0" borderId="0" xfId="0" applyFont="1"/>
    <xf numFmtId="0" fontId="43" fillId="0" borderId="0" xfId="0" applyFont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3" fillId="0" borderId="78" xfId="0" applyFont="1" applyBorder="1" applyAlignment="1" applyProtection="1">
      <alignment horizontal="center" vertical="center" wrapText="1"/>
      <protection locked="0"/>
    </xf>
    <xf numFmtId="0" fontId="43" fillId="0" borderId="48" xfId="0" applyFont="1" applyBorder="1" applyAlignment="1" applyProtection="1">
      <alignment horizontal="center" vertical="center" wrapText="1"/>
      <protection locked="0"/>
    </xf>
    <xf numFmtId="0" fontId="43" fillId="0" borderId="0" xfId="0" applyFont="1" applyProtection="1">
      <protection locked="0"/>
    </xf>
    <xf numFmtId="0" fontId="43" fillId="0" borderId="0" xfId="0" applyFont="1" applyFill="1" applyProtection="1">
      <protection locked="0"/>
    </xf>
    <xf numFmtId="0" fontId="36" fillId="0" borderId="0" xfId="0" applyFont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/>
    </xf>
    <xf numFmtId="0" fontId="10" fillId="0" borderId="0" xfId="0" applyFont="1" applyProtection="1"/>
    <xf numFmtId="0" fontId="10" fillId="0" borderId="32" xfId="0" applyFont="1" applyFill="1" applyBorder="1" applyAlignment="1" applyProtection="1">
      <alignment horizontal="center"/>
    </xf>
    <xf numFmtId="0" fontId="10" fillId="0" borderId="32" xfId="0" applyFont="1" applyBorder="1" applyAlignment="1" applyProtection="1">
      <alignment horizontal="center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/>
    </xf>
    <xf numFmtId="0" fontId="5" fillId="0" borderId="7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68" xfId="0" applyFont="1" applyFill="1" applyBorder="1" applyAlignment="1" applyProtection="1">
      <alignment horizontal="center" vertical="center" wrapText="1"/>
      <protection locked="0"/>
    </xf>
    <xf numFmtId="0" fontId="13" fillId="13" borderId="82" xfId="0" applyFont="1" applyFill="1" applyBorder="1" applyAlignment="1">
      <alignment horizontal="center" vertical="center"/>
    </xf>
    <xf numFmtId="0" fontId="13" fillId="13" borderId="83" xfId="0" applyFont="1" applyFill="1" applyBorder="1" applyAlignment="1">
      <alignment horizontal="center" vertical="center"/>
    </xf>
    <xf numFmtId="0" fontId="13" fillId="13" borderId="84" xfId="0" applyFont="1" applyFill="1" applyBorder="1" applyAlignment="1">
      <alignment horizontal="center" vertical="center"/>
    </xf>
    <xf numFmtId="0" fontId="13" fillId="0" borderId="85" xfId="0" applyFont="1" applyBorder="1" applyAlignment="1" applyProtection="1">
      <alignment horizontal="center" vertical="center"/>
    </xf>
    <xf numFmtId="0" fontId="13" fillId="0" borderId="81" xfId="0" applyFont="1" applyBorder="1" applyAlignment="1" applyProtection="1">
      <alignment horizontal="center" vertical="center"/>
    </xf>
    <xf numFmtId="0" fontId="43" fillId="0" borderId="86" xfId="0" applyFont="1" applyBorder="1" applyAlignment="1" applyProtection="1">
      <alignment horizontal="center" vertical="center" wrapText="1"/>
      <protection locked="0"/>
    </xf>
    <xf numFmtId="0" fontId="43" fillId="13" borderId="87" xfId="0" applyFont="1" applyFill="1" applyBorder="1" applyAlignment="1" applyProtection="1">
      <alignment horizontal="center" vertical="center" wrapText="1"/>
      <protection locked="0"/>
    </xf>
    <xf numFmtId="0" fontId="5" fillId="0" borderId="67" xfId="0" applyFont="1" applyFill="1" applyBorder="1" applyAlignment="1" applyProtection="1">
      <alignment horizontal="center" vertical="center" wrapText="1"/>
      <protection locked="0"/>
    </xf>
    <xf numFmtId="0" fontId="43" fillId="0" borderId="65" xfId="2" quotePrefix="1" applyFont="1" applyFill="1" applyBorder="1" applyAlignment="1" applyProtection="1">
      <alignment horizontal="center" vertical="center"/>
    </xf>
    <xf numFmtId="0" fontId="43" fillId="0" borderId="50" xfId="0" applyFont="1" applyBorder="1" applyAlignment="1" applyProtection="1">
      <alignment horizontal="center" vertical="center" wrapText="1"/>
      <protection locked="0"/>
    </xf>
    <xf numFmtId="0" fontId="51" fillId="13" borderId="6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43" fillId="0" borderId="0" xfId="0" applyFont="1" applyAlignment="1" applyProtection="1">
      <alignment vertical="center"/>
      <protection locked="0"/>
    </xf>
    <xf numFmtId="0" fontId="43" fillId="0" borderId="0" xfId="0" applyFont="1" applyFill="1" applyAlignment="1" applyProtection="1">
      <alignment vertical="center"/>
      <protection locked="0"/>
    </xf>
    <xf numFmtId="0" fontId="37" fillId="0" borderId="0" xfId="0" applyFont="1" applyAlignment="1">
      <alignment vertical="center"/>
    </xf>
    <xf numFmtId="0" fontId="10" fillId="0" borderId="32" xfId="0" applyFont="1" applyBorder="1" applyAlignment="1" applyProtection="1">
      <alignment horizontal="center" vertical="center"/>
    </xf>
    <xf numFmtId="0" fontId="43" fillId="0" borderId="0" xfId="0" applyFont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43" fillId="0" borderId="60" xfId="2" quotePrefix="1" applyNumberFormat="1" applyFont="1" applyFill="1" applyBorder="1" applyAlignment="1" applyProtection="1">
      <alignment horizontal="center" vertical="center" wrapText="1"/>
    </xf>
    <xf numFmtId="0" fontId="43" fillId="0" borderId="71" xfId="2" quotePrefix="1" applyNumberFormat="1" applyFont="1" applyFill="1" applyBorder="1" applyAlignment="1" applyProtection="1">
      <alignment horizontal="center" vertical="center" wrapText="1"/>
    </xf>
    <xf numFmtId="0" fontId="43" fillId="0" borderId="22" xfId="0" applyFont="1" applyBorder="1" applyAlignment="1" applyProtection="1">
      <alignment horizontal="center" vertical="center" wrapText="1"/>
      <protection locked="0"/>
    </xf>
    <xf numFmtId="0" fontId="43" fillId="0" borderId="89" xfId="0" applyFont="1" applyBorder="1" applyAlignment="1" applyProtection="1">
      <alignment horizontal="center" vertical="center" wrapText="1"/>
      <protection locked="0"/>
    </xf>
    <xf numFmtId="0" fontId="43" fillId="0" borderId="88" xfId="2" quotePrefix="1" applyFont="1" applyFill="1" applyBorder="1" applyAlignment="1" applyProtection="1">
      <alignment horizontal="center" vertical="center" wrapText="1"/>
    </xf>
    <xf numFmtId="0" fontId="43" fillId="0" borderId="13" xfId="0" quotePrefix="1" applyFont="1" applyFill="1" applyBorder="1" applyAlignment="1" applyProtection="1">
      <alignment horizontal="center" vertical="center" wrapText="1"/>
      <protection locked="0"/>
    </xf>
    <xf numFmtId="0" fontId="43" fillId="0" borderId="16" xfId="0" applyFont="1" applyFill="1" applyBorder="1" applyAlignment="1" applyProtection="1">
      <alignment horizontal="center" vertical="center" wrapText="1"/>
      <protection locked="0"/>
    </xf>
    <xf numFmtId="0" fontId="43" fillId="0" borderId="77" xfId="2" quotePrefix="1" applyFont="1" applyFill="1" applyBorder="1" applyAlignment="1" applyProtection="1">
      <alignment horizontal="center" vertical="center" wrapText="1"/>
    </xf>
    <xf numFmtId="0" fontId="43" fillId="0" borderId="79" xfId="2" quotePrefix="1" applyFont="1" applyFill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/>
    </xf>
    <xf numFmtId="0" fontId="10" fillId="0" borderId="11" xfId="0" quotePrefix="1" applyFont="1" applyFill="1" applyBorder="1" applyAlignment="1" applyProtection="1">
      <alignment horizontal="center" vertical="center"/>
    </xf>
    <xf numFmtId="0" fontId="52" fillId="0" borderId="0" xfId="0" applyFont="1"/>
    <xf numFmtId="0" fontId="18" fillId="0" borderId="0" xfId="0" applyFont="1"/>
    <xf numFmtId="0" fontId="43" fillId="0" borderId="55" xfId="0" applyFont="1" applyFill="1" applyBorder="1" applyAlignment="1" applyProtection="1">
      <alignment horizontal="center" vertical="center" wrapText="1"/>
    </xf>
    <xf numFmtId="0" fontId="43" fillId="0" borderId="28" xfId="0" applyFont="1" applyFill="1" applyBorder="1" applyAlignment="1" applyProtection="1">
      <alignment horizontal="center" vertical="center" wrapText="1"/>
    </xf>
    <xf numFmtId="0" fontId="43" fillId="0" borderId="44" xfId="0" applyFont="1" applyFill="1" applyBorder="1" applyAlignment="1" applyProtection="1">
      <alignment horizontal="center" vertical="center" wrapText="1"/>
    </xf>
    <xf numFmtId="0" fontId="43" fillId="0" borderId="69" xfId="0" applyFont="1" applyFill="1" applyBorder="1" applyAlignment="1" applyProtection="1">
      <alignment horizontal="center" vertical="center" wrapText="1"/>
    </xf>
    <xf numFmtId="0" fontId="43" fillId="0" borderId="37" xfId="0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13" borderId="0" xfId="0" applyFont="1" applyFill="1" applyAlignment="1">
      <alignment horizontal="center" vertical="center"/>
    </xf>
    <xf numFmtId="0" fontId="51" fillId="13" borderId="5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43" fillId="0" borderId="62" xfId="2" quotePrefix="1" applyFont="1" applyFill="1" applyBorder="1" applyAlignment="1" applyProtection="1">
      <alignment horizontal="center" vertical="center"/>
    </xf>
    <xf numFmtId="0" fontId="0" fillId="0" borderId="1" xfId="0" applyBorder="1"/>
    <xf numFmtId="0" fontId="13" fillId="13" borderId="16" xfId="0" applyFont="1" applyFill="1" applyBorder="1" applyAlignment="1" applyProtection="1">
      <alignment horizontal="center" vertical="center"/>
    </xf>
    <xf numFmtId="0" fontId="13" fillId="13" borderId="11" xfId="0" quotePrefix="1" applyFont="1" applyFill="1" applyBorder="1" applyAlignment="1" applyProtection="1">
      <alignment horizontal="center" vertical="center"/>
    </xf>
    <xf numFmtId="0" fontId="25" fillId="0" borderId="8" xfId="0" applyFont="1" applyBorder="1" applyAlignment="1" applyProtection="1">
      <protection locked="0"/>
    </xf>
    <xf numFmtId="0" fontId="25" fillId="0" borderId="9" xfId="0" applyFont="1" applyBorder="1" applyAlignment="1" applyProtection="1">
      <protection locked="0"/>
    </xf>
    <xf numFmtId="0" fontId="25" fillId="0" borderId="10" xfId="0" applyFont="1" applyBorder="1" applyAlignment="1" applyProtection="1">
      <protection locked="0"/>
    </xf>
    <xf numFmtId="0" fontId="42" fillId="0" borderId="12" xfId="0" applyFont="1" applyFill="1" applyBorder="1" applyAlignment="1" applyProtection="1">
      <alignment horizontal="center" vertical="center" wrapText="1"/>
      <protection locked="0"/>
    </xf>
    <xf numFmtId="0" fontId="43" fillId="0" borderId="90" xfId="2" quotePrefix="1" applyFont="1" applyFill="1" applyBorder="1" applyAlignment="1" applyProtection="1">
      <alignment horizontal="center" vertical="center" wrapText="1"/>
    </xf>
    <xf numFmtId="0" fontId="43" fillId="0" borderId="91" xfId="0" applyFont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 horizontal="center" wrapText="1"/>
      <protection locked="0"/>
    </xf>
    <xf numFmtId="0" fontId="0" fillId="0" borderId="51" xfId="0" applyBorder="1"/>
    <xf numFmtId="0" fontId="10" fillId="0" borderId="33" xfId="0" applyFont="1" applyBorder="1" applyAlignment="1" applyProtection="1">
      <alignment horizontal="center"/>
    </xf>
    <xf numFmtId="0" fontId="6" fillId="14" borderId="2" xfId="0" quotePrefix="1" applyFont="1" applyFill="1" applyBorder="1" applyAlignment="1" applyProtection="1">
      <alignment horizontal="center" vertical="center"/>
    </xf>
    <xf numFmtId="0" fontId="6" fillId="14" borderId="40" xfId="0" quotePrefix="1" applyFont="1" applyFill="1" applyBorder="1" applyAlignment="1" applyProtection="1">
      <alignment horizontal="center" vertical="center"/>
    </xf>
    <xf numFmtId="0" fontId="6" fillId="0" borderId="92" xfId="0" quotePrefix="1" applyFont="1" applyFill="1" applyBorder="1" applyAlignment="1" applyProtection="1">
      <alignment horizontal="center" vertical="center"/>
    </xf>
    <xf numFmtId="0" fontId="5" fillId="0" borderId="5" xfId="0" quotePrefix="1" applyFont="1" applyBorder="1" applyAlignment="1" applyProtection="1">
      <alignment horizontal="center" vertical="center"/>
    </xf>
    <xf numFmtId="0" fontId="6" fillId="0" borderId="93" xfId="0" quotePrefix="1" applyFont="1" applyFill="1" applyBorder="1" applyAlignment="1" applyProtection="1">
      <alignment horizontal="center" vertical="center"/>
    </xf>
    <xf numFmtId="0" fontId="6" fillId="0" borderId="40" xfId="0" quotePrefix="1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5" fillId="13" borderId="5" xfId="0" quotePrefix="1" applyFont="1" applyFill="1" applyBorder="1" applyAlignment="1" applyProtection="1">
      <alignment horizontal="center" vertical="center"/>
    </xf>
    <xf numFmtId="0" fontId="45" fillId="21" borderId="94" xfId="0" applyFont="1" applyFill="1" applyBorder="1" applyAlignment="1" applyProtection="1">
      <alignment horizontal="center" vertical="center" wrapText="1"/>
      <protection locked="0"/>
    </xf>
    <xf numFmtId="0" fontId="43" fillId="0" borderId="95" xfId="0" applyFont="1" applyBorder="1" applyAlignment="1" applyProtection="1">
      <alignment horizontal="center" vertical="center" wrapText="1"/>
      <protection locked="0"/>
    </xf>
    <xf numFmtId="0" fontId="9" fillId="10" borderId="96" xfId="0" applyFont="1" applyFill="1" applyBorder="1" applyAlignment="1" applyProtection="1">
      <alignment horizontal="center" vertical="center" wrapText="1"/>
      <protection locked="0"/>
    </xf>
    <xf numFmtId="0" fontId="43" fillId="13" borderId="98" xfId="0" applyFont="1" applyFill="1" applyBorder="1" applyAlignment="1" applyProtection="1">
      <alignment horizontal="center" vertical="center" wrapText="1"/>
      <protection locked="0"/>
    </xf>
    <xf numFmtId="0" fontId="43" fillId="0" borderId="99" xfId="2" quotePrefix="1" applyFont="1" applyFill="1" applyBorder="1" applyAlignment="1" applyProtection="1">
      <alignment horizontal="center" vertical="center" wrapText="1"/>
    </xf>
    <xf numFmtId="0" fontId="43" fillId="0" borderId="100" xfId="2" quotePrefix="1" applyFont="1" applyFill="1" applyBorder="1" applyAlignment="1" applyProtection="1">
      <alignment horizontal="center" vertical="center" wrapText="1"/>
    </xf>
    <xf numFmtId="0" fontId="43" fillId="0" borderId="29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55" fillId="0" borderId="0" xfId="0" applyFont="1"/>
    <xf numFmtId="0" fontId="2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7" fillId="0" borderId="0" xfId="0" applyFont="1"/>
    <xf numFmtId="0" fontId="55" fillId="0" borderId="0" xfId="0" quotePrefix="1" applyFont="1" applyAlignment="1">
      <alignment horizontal="left" vertical="center"/>
    </xf>
    <xf numFmtId="0" fontId="0" fillId="13" borderId="0" xfId="0" applyFill="1"/>
    <xf numFmtId="0" fontId="13" fillId="10" borderId="1" xfId="0" quotePrefix="1" applyFont="1" applyFill="1" applyBorder="1" applyAlignment="1" applyProtection="1">
      <alignment horizontal="center" vertical="center"/>
    </xf>
    <xf numFmtId="0" fontId="10" fillId="0" borderId="32" xfId="0" quotePrefix="1" applyFont="1" applyFill="1" applyBorder="1" applyAlignment="1" applyProtection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36" xfId="0" applyFill="1" applyBorder="1"/>
    <xf numFmtId="0" fontId="59" fillId="14" borderId="36" xfId="0" applyFont="1" applyFill="1" applyBorder="1" applyAlignment="1">
      <alignment horizontal="center" vertical="center"/>
    </xf>
    <xf numFmtId="0" fontId="43" fillId="10" borderId="97" xfId="2" quotePrefix="1" applyNumberFormat="1" applyFont="1" applyFill="1" applyBorder="1" applyAlignment="1" applyProtection="1">
      <alignment horizontal="center" vertical="center" wrapText="1"/>
    </xf>
    <xf numFmtId="0" fontId="13" fillId="13" borderId="82" xfId="0" applyFont="1" applyFill="1" applyBorder="1" applyAlignment="1">
      <alignment horizontal="center" vertical="center"/>
    </xf>
    <xf numFmtId="0" fontId="13" fillId="13" borderId="83" xfId="0" applyFont="1" applyFill="1" applyBorder="1" applyAlignment="1">
      <alignment horizontal="center" vertical="center"/>
    </xf>
    <xf numFmtId="0" fontId="13" fillId="13" borderId="84" xfId="0" applyFont="1" applyFill="1" applyBorder="1" applyAlignment="1">
      <alignment horizontal="center" vertical="center"/>
    </xf>
    <xf numFmtId="0" fontId="56" fillId="0" borderId="0" xfId="0" applyNumberFormat="1" applyFont="1" applyFill="1" applyProtection="1">
      <protection locked="0"/>
    </xf>
    <xf numFmtId="0" fontId="43" fillId="10" borderId="79" xfId="2" quotePrefix="1" applyFont="1" applyFill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/>
      <protection locked="0"/>
    </xf>
    <xf numFmtId="0" fontId="53" fillId="0" borderId="0" xfId="0" quotePrefix="1" applyNumberFormat="1" applyFont="1" applyAlignment="1">
      <alignment horizontal="center" vertical="center" wrapText="1"/>
    </xf>
    <xf numFmtId="0" fontId="53" fillId="0" borderId="0" xfId="0" applyNumberFormat="1" applyFont="1" applyAlignment="1">
      <alignment horizontal="center" vertical="center" wrapText="1"/>
    </xf>
    <xf numFmtId="0" fontId="11" fillId="0" borderId="0" xfId="0" applyFont="1" applyAlignment="1" applyProtection="1">
      <alignment horizontal="center" wrapText="1"/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9" fillId="3" borderId="23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42" fillId="0" borderId="101" xfId="0" applyFont="1" applyFill="1" applyBorder="1" applyAlignment="1" applyProtection="1">
      <alignment horizontal="center" vertical="center" wrapText="1"/>
      <protection locked="0"/>
    </xf>
    <xf numFmtId="0" fontId="43" fillId="0" borderId="102" xfId="2" quotePrefix="1" applyFont="1" applyFill="1" applyBorder="1" applyAlignment="1" applyProtection="1">
      <alignment horizontal="center" vertical="center" wrapText="1"/>
    </xf>
    <xf numFmtId="0" fontId="43" fillId="0" borderId="103" xfId="0" applyFont="1" applyBorder="1" applyAlignment="1" applyProtection="1">
      <alignment horizontal="center" vertical="center" wrapText="1"/>
      <protection locked="0"/>
    </xf>
    <xf numFmtId="0" fontId="42" fillId="0" borderId="68" xfId="0" applyFont="1" applyFill="1" applyBorder="1" applyAlignment="1" applyProtection="1">
      <alignment horizontal="center" vertical="center" wrapText="1"/>
      <protection locked="0"/>
    </xf>
    <xf numFmtId="0" fontId="43" fillId="0" borderId="104" xfId="2" quotePrefix="1" applyFont="1" applyFill="1" applyBorder="1" applyAlignment="1" applyProtection="1">
      <alignment horizontal="center" vertical="center" wrapText="1"/>
    </xf>
    <xf numFmtId="0" fontId="43" fillId="0" borderId="70" xfId="0" applyFont="1" applyBorder="1" applyAlignment="1" applyProtection="1">
      <alignment horizontal="center" vertical="center" wrapText="1"/>
      <protection locked="0"/>
    </xf>
    <xf numFmtId="0" fontId="43" fillId="0" borderId="101" xfId="0" quotePrefix="1" applyFont="1" applyFill="1" applyBorder="1" applyAlignment="1" applyProtection="1">
      <alignment horizontal="center" vertical="center" wrapText="1"/>
      <protection locked="0"/>
    </xf>
    <xf numFmtId="0" fontId="43" fillId="0" borderId="105" xfId="2" quotePrefix="1" applyFont="1" applyFill="1" applyBorder="1" applyAlignment="1" applyProtection="1">
      <alignment horizontal="center" vertical="center" wrapText="1"/>
    </xf>
    <xf numFmtId="0" fontId="43" fillId="0" borderId="106" xfId="0" applyFont="1" applyBorder="1" applyAlignment="1" applyProtection="1">
      <alignment horizontal="center" vertical="center" wrapText="1"/>
      <protection locked="0"/>
    </xf>
    <xf numFmtId="0" fontId="43" fillId="0" borderId="68" xfId="0" applyFont="1" applyFill="1" applyBorder="1" applyAlignment="1" applyProtection="1">
      <alignment horizontal="center" vertical="center" wrapText="1"/>
      <protection locked="0"/>
    </xf>
    <xf numFmtId="0" fontId="43" fillId="0" borderId="107" xfId="2" quotePrefix="1" applyFont="1" applyFill="1" applyBorder="1" applyAlignment="1" applyProtection="1">
      <alignment horizontal="center" vertical="center" wrapText="1"/>
    </xf>
    <xf numFmtId="0" fontId="43" fillId="0" borderId="108" xfId="0" applyFont="1" applyBorder="1" applyAlignment="1" applyProtection="1">
      <alignment horizontal="center" vertical="center" wrapText="1"/>
      <protection locked="0"/>
    </xf>
    <xf numFmtId="0" fontId="6" fillId="0" borderId="109" xfId="0" quotePrefix="1" applyFont="1" applyFill="1" applyBorder="1" applyAlignment="1" applyProtection="1">
      <alignment horizontal="center" vertical="center"/>
    </xf>
    <xf numFmtId="0" fontId="13" fillId="0" borderId="110" xfId="0" quotePrefix="1" applyFont="1" applyFill="1" applyBorder="1" applyAlignment="1" applyProtection="1">
      <alignment horizontal="center" vertical="center"/>
    </xf>
    <xf numFmtId="0" fontId="9" fillId="0" borderId="111" xfId="0" applyFont="1" applyFill="1" applyBorder="1" applyAlignment="1" applyProtection="1">
      <alignment horizontal="center" vertical="center" wrapText="1"/>
      <protection locked="0"/>
    </xf>
    <xf numFmtId="0" fontId="13" fillId="0" borderId="112" xfId="0" quotePrefix="1" applyFont="1" applyFill="1" applyBorder="1" applyAlignment="1" applyProtection="1">
      <alignment horizontal="center" vertical="center"/>
    </xf>
    <xf numFmtId="0" fontId="51" fillId="13" borderId="69" xfId="0" applyFont="1" applyFill="1" applyBorder="1" applyAlignment="1" applyProtection="1">
      <alignment horizontal="center" vertical="center" wrapText="1"/>
      <protection locked="0"/>
    </xf>
    <xf numFmtId="0" fontId="43" fillId="0" borderId="113" xfId="2" quotePrefix="1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/>
    </xf>
    <xf numFmtId="0" fontId="61" fillId="0" borderId="0" xfId="0" applyFont="1"/>
    <xf numFmtId="0" fontId="34" fillId="0" borderId="0" xfId="0" applyFont="1" applyAlignment="1">
      <alignment horizontal="center" vertical="center"/>
    </xf>
    <xf numFmtId="0" fontId="1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53" fillId="0" borderId="0" xfId="0" quotePrefix="1" applyNumberFormat="1" applyFont="1" applyAlignment="1">
      <alignment vertical="center" wrapText="1"/>
    </xf>
    <xf numFmtId="0" fontId="53" fillId="0" borderId="0" xfId="0" applyNumberFormat="1" applyFont="1" applyAlignment="1">
      <alignment vertical="center" wrapText="1"/>
    </xf>
    <xf numFmtId="0" fontId="10" fillId="0" borderId="11" xfId="0" quotePrefix="1" applyNumberFormat="1" applyFont="1" applyFill="1" applyBorder="1" applyAlignment="1" applyProtection="1">
      <alignment horizontal="center" vertical="center"/>
    </xf>
    <xf numFmtId="0" fontId="43" fillId="0" borderId="114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44" fillId="0" borderId="114" xfId="0" applyFont="1" applyFill="1" applyBorder="1" applyAlignment="1" applyProtection="1">
      <alignment horizontal="center" vertical="center" wrapText="1"/>
      <protection locked="0"/>
    </xf>
    <xf numFmtId="0" fontId="6" fillId="0" borderId="33" xfId="0" quotePrefix="1" applyFont="1" applyFill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13" fillId="13" borderId="82" xfId="0" applyFont="1" applyFill="1" applyBorder="1" applyAlignment="1">
      <alignment horizontal="center" vertical="center"/>
    </xf>
    <xf numFmtId="0" fontId="13" fillId="13" borderId="83" xfId="0" applyFont="1" applyFill="1" applyBorder="1" applyAlignment="1">
      <alignment horizontal="center" vertical="center"/>
    </xf>
    <xf numFmtId="0" fontId="13" fillId="13" borderId="84" xfId="0" applyFont="1" applyFill="1" applyBorder="1" applyAlignment="1">
      <alignment horizontal="center" vertical="center"/>
    </xf>
    <xf numFmtId="0" fontId="5" fillId="0" borderId="6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10" fillId="0" borderId="32" xfId="0" quotePrefix="1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4" fillId="0" borderId="0" xfId="1" quotePrefix="1" applyFont="1" applyAlignment="1" applyProtection="1">
      <alignment vertical="center"/>
      <protection locked="0"/>
    </xf>
    <xf numFmtId="0" fontId="65" fillId="10" borderId="1" xfId="0" applyFont="1" applyFill="1" applyBorder="1" applyAlignment="1">
      <alignment horizontal="center" vertical="center"/>
    </xf>
    <xf numFmtId="0" fontId="12" fillId="0" borderId="0" xfId="0" quotePrefix="1" applyNumberFormat="1" applyFont="1" applyAlignment="1" applyProtection="1">
      <alignment vertical="center"/>
      <protection locked="0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6" fillId="0" borderId="0" xfId="0" applyFont="1"/>
    <xf numFmtId="0" fontId="26" fillId="0" borderId="0" xfId="0" quotePrefix="1" applyFont="1" applyAlignment="1">
      <alignment horizontal="left" vertical="center"/>
    </xf>
    <xf numFmtId="0" fontId="27" fillId="0" borderId="0" xfId="0" applyFont="1"/>
    <xf numFmtId="0" fontId="42" fillId="0" borderId="0" xfId="2" applyFont="1" applyFill="1" applyBorder="1" applyAlignment="1" applyProtection="1">
      <alignment horizontal="center" vertical="center" wrapText="1"/>
    </xf>
    <xf numFmtId="0" fontId="13" fillId="0" borderId="0" xfId="0" applyFont="1" applyBorder="1"/>
    <xf numFmtId="0" fontId="11" fillId="0" borderId="0" xfId="0" applyFont="1" applyAlignment="1" applyProtection="1">
      <alignment horizontal="left" vertical="center"/>
      <protection locked="0"/>
    </xf>
    <xf numFmtId="0" fontId="67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117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3" borderId="24" xfId="0" applyFont="1" applyFill="1" applyBorder="1" applyAlignment="1">
      <alignment horizontal="center" vertical="center"/>
    </xf>
    <xf numFmtId="0" fontId="43" fillId="3" borderId="25" xfId="0" applyFont="1" applyFill="1" applyBorder="1" applyAlignment="1">
      <alignment horizontal="center" vertical="center"/>
    </xf>
    <xf numFmtId="0" fontId="43" fillId="3" borderId="117" xfId="0" applyFont="1" applyFill="1" applyBorder="1" applyAlignment="1">
      <alignment horizontal="center" vertical="center"/>
    </xf>
    <xf numFmtId="0" fontId="43" fillId="0" borderId="29" xfId="0" quotePrefix="1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27" borderId="3" xfId="0" applyFont="1" applyFill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27" borderId="4" xfId="0" applyFont="1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0" xfId="0" quotePrefix="1" applyFont="1" applyBorder="1" applyAlignment="1">
      <alignment horizontal="center" vertical="center"/>
    </xf>
    <xf numFmtId="0" fontId="42" fillId="0" borderId="3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9" xfId="0" quotePrefix="1" applyFont="1" applyFill="1" applyBorder="1" applyAlignment="1">
      <alignment horizontal="center" vertical="center"/>
    </xf>
    <xf numFmtId="0" fontId="43" fillId="0" borderId="21" xfId="0" quotePrefix="1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28" borderId="4" xfId="0" quotePrefix="1" applyFont="1" applyFill="1" applyBorder="1" applyAlignment="1">
      <alignment horizontal="center" vertical="center"/>
    </xf>
    <xf numFmtId="0" fontId="43" fillId="0" borderId="3" xfId="0" quotePrefix="1" applyFont="1" applyFill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1" xfId="0" quotePrefix="1" applyFont="1" applyBorder="1" applyAlignment="1">
      <alignment horizontal="center" vertical="center"/>
    </xf>
    <xf numFmtId="0" fontId="43" fillId="0" borderId="37" xfId="0" quotePrefix="1" applyFont="1" applyBorder="1" applyAlignment="1">
      <alignment horizontal="center" vertical="center"/>
    </xf>
    <xf numFmtId="0" fontId="43" fillId="0" borderId="28" xfId="0" quotePrefix="1" applyFont="1" applyBorder="1" applyAlignment="1">
      <alignment horizontal="center" vertical="center"/>
    </xf>
    <xf numFmtId="0" fontId="43" fillId="0" borderId="22" xfId="0" quotePrefix="1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27" borderId="17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118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27" borderId="18" xfId="0" applyFont="1" applyFill="1" applyBorder="1" applyAlignment="1">
      <alignment horizontal="center" vertical="center"/>
    </xf>
    <xf numFmtId="0" fontId="43" fillId="27" borderId="0" xfId="0" applyFont="1" applyFill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42" fillId="0" borderId="41" xfId="0" quotePrefix="1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28" borderId="42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119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0" xfId="0" quotePrefix="1" applyFont="1" applyBorder="1" applyAlignment="1">
      <alignment horizontal="center" vertical="center"/>
    </xf>
    <xf numFmtId="0" fontId="43" fillId="0" borderId="36" xfId="0" quotePrefix="1" applyFont="1" applyBorder="1" applyAlignment="1">
      <alignment horizontal="center" vertical="center"/>
    </xf>
    <xf numFmtId="0" fontId="43" fillId="0" borderId="38" xfId="0" quotePrefix="1" applyFont="1" applyBorder="1" applyAlignment="1">
      <alignment horizontal="center" vertical="center"/>
    </xf>
    <xf numFmtId="0" fontId="43" fillId="0" borderId="35" xfId="0" quotePrefix="1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27" borderId="118" xfId="0" applyFont="1" applyFill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0" fontId="43" fillId="0" borderId="120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27" borderId="121" xfId="0" applyFont="1" applyFill="1" applyBorder="1" applyAlignment="1">
      <alignment horizontal="center" vertical="center"/>
    </xf>
    <xf numFmtId="0" fontId="40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68" fillId="0" borderId="0" xfId="0" applyFont="1" applyAlignment="1">
      <alignment horizontal="center" vertical="center"/>
    </xf>
    <xf numFmtId="0" fontId="69" fillId="0" borderId="1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67" fillId="0" borderId="33" xfId="0" applyFont="1" applyBorder="1" applyAlignment="1">
      <alignment horizontal="center" vertical="center"/>
    </xf>
    <xf numFmtId="0" fontId="42" fillId="0" borderId="6" xfId="0" quotePrefix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13" borderId="19" xfId="0" applyFont="1" applyFill="1" applyBorder="1" applyAlignment="1">
      <alignment horizontal="center" vertical="center"/>
    </xf>
    <xf numFmtId="0" fontId="43" fillId="13" borderId="45" xfId="0" applyFont="1" applyFill="1" applyBorder="1" applyAlignment="1">
      <alignment horizontal="center" vertical="center"/>
    </xf>
    <xf numFmtId="0" fontId="43" fillId="13" borderId="11" xfId="0" applyFont="1" applyFill="1" applyBorder="1" applyAlignment="1">
      <alignment horizontal="center" vertical="center"/>
    </xf>
    <xf numFmtId="0" fontId="66" fillId="0" borderId="0" xfId="0" applyFont="1" applyAlignment="1" applyProtection="1">
      <alignment horizontal="center" vertical="center"/>
      <protection locked="0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43" fillId="13" borderId="36" xfId="0" applyFont="1" applyFill="1" applyBorder="1" applyAlignment="1">
      <alignment horizontal="center" vertical="center"/>
    </xf>
    <xf numFmtId="0" fontId="43" fillId="13" borderId="31" xfId="0" applyFont="1" applyFill="1" applyBorder="1" applyAlignment="1">
      <alignment horizontal="center" vertical="center"/>
    </xf>
    <xf numFmtId="0" fontId="43" fillId="13" borderId="30" xfId="0" applyFont="1" applyFill="1" applyBorder="1" applyAlignment="1">
      <alignment horizontal="center" vertical="center"/>
    </xf>
    <xf numFmtId="0" fontId="43" fillId="13" borderId="4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122" xfId="0" applyFont="1" applyBorder="1" applyAlignment="1">
      <alignment horizontal="center" vertical="center"/>
    </xf>
    <xf numFmtId="0" fontId="43" fillId="30" borderId="39" xfId="0" applyFont="1" applyFill="1" applyBorder="1" applyAlignment="1">
      <alignment horizontal="center" vertical="center"/>
    </xf>
    <xf numFmtId="0" fontId="43" fillId="30" borderId="44" xfId="0" applyFont="1" applyFill="1" applyBorder="1" applyAlignment="1">
      <alignment horizontal="center" vertical="center"/>
    </xf>
    <xf numFmtId="0" fontId="43" fillId="30" borderId="34" xfId="0" applyFont="1" applyFill="1" applyBorder="1" applyAlignment="1">
      <alignment horizontal="center" vertical="center"/>
    </xf>
    <xf numFmtId="0" fontId="43" fillId="13" borderId="37" xfId="0" applyFont="1" applyFill="1" applyBorder="1" applyAlignment="1">
      <alignment horizontal="center" vertical="center"/>
    </xf>
    <xf numFmtId="0" fontId="43" fillId="13" borderId="23" xfId="0" applyFont="1" applyFill="1" applyBorder="1" applyAlignment="1">
      <alignment horizontal="center" vertical="center"/>
    </xf>
    <xf numFmtId="0" fontId="43" fillId="13" borderId="39" xfId="0" applyFont="1" applyFill="1" applyBorder="1" applyAlignment="1">
      <alignment horizontal="center" vertical="center"/>
    </xf>
    <xf numFmtId="0" fontId="43" fillId="13" borderId="44" xfId="0" applyFont="1" applyFill="1" applyBorder="1" applyAlignment="1">
      <alignment horizontal="center" vertical="center"/>
    </xf>
    <xf numFmtId="0" fontId="43" fillId="13" borderId="7" xfId="0" applyFont="1" applyFill="1" applyBorder="1" applyAlignment="1">
      <alignment horizontal="center" vertical="center"/>
    </xf>
    <xf numFmtId="0" fontId="43" fillId="13" borderId="33" xfId="0" applyFont="1" applyFill="1" applyBorder="1" applyAlignment="1">
      <alignment horizontal="center" vertical="center"/>
    </xf>
    <xf numFmtId="0" fontId="43" fillId="13" borderId="28" xfId="0" applyFont="1" applyFill="1" applyBorder="1" applyAlignment="1">
      <alignment horizontal="center" vertical="center"/>
    </xf>
    <xf numFmtId="0" fontId="43" fillId="13" borderId="22" xfId="0" applyFont="1" applyFill="1" applyBorder="1" applyAlignment="1">
      <alignment horizontal="center" vertical="center"/>
    </xf>
    <xf numFmtId="0" fontId="43" fillId="13" borderId="42" xfId="0" applyFont="1" applyFill="1" applyBorder="1" applyAlignment="1">
      <alignment horizontal="center" vertical="center"/>
    </xf>
    <xf numFmtId="0" fontId="43" fillId="13" borderId="32" xfId="0" applyFont="1" applyFill="1" applyBorder="1" applyAlignment="1">
      <alignment horizontal="center" vertical="center"/>
    </xf>
    <xf numFmtId="0" fontId="43" fillId="13" borderId="40" xfId="0" applyFont="1" applyFill="1" applyBorder="1" applyAlignment="1">
      <alignment horizontal="center" vertical="center"/>
    </xf>
    <xf numFmtId="0" fontId="47" fillId="4" borderId="41" xfId="0" applyFont="1" applyFill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13" fillId="0" borderId="20" xfId="0" applyFont="1" applyBorder="1"/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27" borderId="29" xfId="0" applyFont="1" applyFill="1" applyBorder="1" applyAlignment="1">
      <alignment horizontal="center" vertical="center"/>
    </xf>
    <xf numFmtId="0" fontId="13" fillId="0" borderId="118" xfId="0" applyFont="1" applyBorder="1" applyAlignment="1">
      <alignment horizontal="center" vertical="center"/>
    </xf>
    <xf numFmtId="0" fontId="48" fillId="27" borderId="32" xfId="0" quotePrefix="1" applyFont="1" applyFill="1" applyBorder="1" applyAlignment="1">
      <alignment horizontal="center" vertical="center"/>
    </xf>
    <xf numFmtId="0" fontId="13" fillId="0" borderId="120" xfId="0" applyFont="1" applyBorder="1" applyAlignment="1">
      <alignment horizontal="center" vertical="center"/>
    </xf>
    <xf numFmtId="0" fontId="71" fillId="4" borderId="32" xfId="0" quotePrefix="1" applyFont="1" applyFill="1" applyBorder="1" applyAlignment="1">
      <alignment horizontal="center" vertical="center"/>
    </xf>
    <xf numFmtId="0" fontId="48" fillId="13" borderId="32" xfId="0" quotePrefix="1" applyFont="1" applyFill="1" applyBorder="1" applyAlignment="1">
      <alignment horizontal="center" vertical="center"/>
    </xf>
    <xf numFmtId="0" fontId="40" fillId="0" borderId="0" xfId="0" applyFont="1" applyAlignment="1" applyProtection="1">
      <alignment horizontal="left" vertical="center"/>
      <protection locked="0"/>
    </xf>
    <xf numFmtId="0" fontId="72" fillId="0" borderId="0" xfId="0" applyFont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center" vertical="center"/>
      <protection locked="0"/>
    </xf>
    <xf numFmtId="0" fontId="43" fillId="13" borderId="13" xfId="0" applyFont="1" applyFill="1" applyBorder="1" applyAlignment="1">
      <alignment horizontal="center" vertical="center"/>
    </xf>
    <xf numFmtId="0" fontId="43" fillId="13" borderId="12" xfId="0" applyFont="1" applyFill="1" applyBorder="1" applyAlignment="1">
      <alignment horizontal="center" vertical="center"/>
    </xf>
    <xf numFmtId="0" fontId="43" fillId="13" borderId="16" xfId="0" applyFont="1" applyFill="1" applyBorder="1" applyAlignment="1">
      <alignment horizontal="center" vertical="center"/>
    </xf>
    <xf numFmtId="0" fontId="43" fillId="13" borderId="14" xfId="0" applyFont="1" applyFill="1" applyBorder="1" applyAlignment="1">
      <alignment horizontal="center" vertical="center"/>
    </xf>
    <xf numFmtId="0" fontId="43" fillId="13" borderId="0" xfId="0" applyFont="1" applyFill="1" applyBorder="1" applyAlignment="1">
      <alignment horizontal="center" vertical="center"/>
    </xf>
    <xf numFmtId="0" fontId="43" fillId="13" borderId="17" xfId="0" applyFont="1" applyFill="1" applyBorder="1" applyAlignment="1">
      <alignment horizontal="center" vertical="center"/>
    </xf>
    <xf numFmtId="0" fontId="43" fillId="11" borderId="19" xfId="0" applyFont="1" applyFill="1" applyBorder="1" applyAlignment="1">
      <alignment horizontal="center" vertical="center"/>
    </xf>
    <xf numFmtId="0" fontId="43" fillId="11" borderId="11" xfId="0" applyFont="1" applyFill="1" applyBorder="1" applyAlignment="1">
      <alignment horizontal="center" vertical="center"/>
    </xf>
    <xf numFmtId="0" fontId="43" fillId="11" borderId="29" xfId="0" applyFont="1" applyFill="1" applyBorder="1" applyAlignment="1">
      <alignment horizontal="center" vertical="center"/>
    </xf>
    <xf numFmtId="0" fontId="43" fillId="11" borderId="3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3" fillId="29" borderId="36" xfId="0" applyFont="1" applyFill="1" applyBorder="1" applyAlignment="1">
      <alignment horizontal="center" vertical="center"/>
    </xf>
    <xf numFmtId="0" fontId="69" fillId="3" borderId="19" xfId="0" applyFont="1" applyFill="1" applyBorder="1" applyAlignment="1">
      <alignment horizontal="center" vertical="center"/>
    </xf>
    <xf numFmtId="0" fontId="69" fillId="3" borderId="11" xfId="0" applyFont="1" applyFill="1" applyBorder="1" applyAlignment="1">
      <alignment horizontal="center" vertical="center"/>
    </xf>
    <xf numFmtId="0" fontId="69" fillId="3" borderId="40" xfId="0" applyFont="1" applyFill="1" applyBorder="1" applyAlignment="1">
      <alignment horizontal="center" vertical="center"/>
    </xf>
    <xf numFmtId="0" fontId="43" fillId="13" borderId="29" xfId="0" quotePrefix="1" applyFont="1" applyFill="1" applyBorder="1" applyAlignment="1">
      <alignment horizontal="center" vertical="center"/>
    </xf>
    <xf numFmtId="0" fontId="43" fillId="13" borderId="29" xfId="0" applyFont="1" applyFill="1" applyBorder="1" applyAlignment="1">
      <alignment horizontal="center" vertical="center"/>
    </xf>
    <xf numFmtId="0" fontId="43" fillId="13" borderId="35" xfId="0" quotePrefix="1" applyFont="1" applyFill="1" applyBorder="1" applyAlignment="1">
      <alignment horizontal="center" vertical="center"/>
    </xf>
    <xf numFmtId="0" fontId="43" fillId="13" borderId="35" xfId="0" applyFont="1" applyFill="1" applyBorder="1" applyAlignment="1">
      <alignment horizontal="center" vertical="center"/>
    </xf>
    <xf numFmtId="0" fontId="5" fillId="13" borderId="19" xfId="0" applyFont="1" applyFill="1" applyBorder="1" applyAlignment="1" applyProtection="1">
      <alignment vertical="center" wrapText="1"/>
      <protection locked="0"/>
    </xf>
    <xf numFmtId="0" fontId="5" fillId="13" borderId="67" xfId="0" applyFont="1" applyFill="1" applyBorder="1" applyAlignment="1" applyProtection="1">
      <alignment vertical="center" wrapText="1"/>
      <protection locked="0"/>
    </xf>
    <xf numFmtId="0" fontId="6" fillId="14" borderId="123" xfId="0" quotePrefix="1" applyFont="1" applyFill="1" applyBorder="1" applyAlignment="1" applyProtection="1">
      <alignment horizontal="center" vertical="center"/>
    </xf>
    <xf numFmtId="0" fontId="6" fillId="14" borderId="124" xfId="0" quotePrefix="1" applyFont="1" applyFill="1" applyBorder="1" applyAlignment="1" applyProtection="1">
      <alignment horizontal="center" vertical="center"/>
    </xf>
    <xf numFmtId="0" fontId="6" fillId="0" borderId="125" xfId="0" quotePrefix="1" applyFont="1" applyFill="1" applyBorder="1" applyAlignment="1" applyProtection="1">
      <alignment horizontal="center" vertical="center"/>
    </xf>
    <xf numFmtId="0" fontId="6" fillId="0" borderId="123" xfId="0" quotePrefix="1" applyFont="1" applyFill="1" applyBorder="1" applyAlignment="1" applyProtection="1">
      <alignment horizontal="center" vertical="center"/>
    </xf>
    <xf numFmtId="0" fontId="13" fillId="0" borderId="126" xfId="0" applyFont="1" applyFill="1" applyBorder="1" applyAlignment="1" applyProtection="1">
      <alignment horizontal="center" vertical="center"/>
    </xf>
    <xf numFmtId="0" fontId="6" fillId="0" borderId="124" xfId="0" quotePrefix="1" applyFont="1" applyFill="1" applyBorder="1" applyAlignment="1" applyProtection="1">
      <alignment horizontal="center" vertical="center"/>
    </xf>
    <xf numFmtId="0" fontId="6" fillId="0" borderId="124" xfId="0" applyFont="1" applyFill="1" applyBorder="1" applyAlignment="1" applyProtection="1">
      <alignment horizontal="center" vertical="center"/>
    </xf>
    <xf numFmtId="0" fontId="5" fillId="13" borderId="125" xfId="0" quotePrefix="1" applyFont="1" applyFill="1" applyBorder="1" applyAlignment="1" applyProtection="1">
      <alignment horizontal="center" vertical="center"/>
    </xf>
    <xf numFmtId="0" fontId="13" fillId="13" borderId="68" xfId="0" applyFont="1" applyFill="1" applyBorder="1" applyAlignment="1" applyProtection="1">
      <alignment horizontal="center" vertical="center"/>
    </xf>
    <xf numFmtId="0" fontId="48" fillId="0" borderId="76" xfId="0" applyFont="1" applyFill="1" applyBorder="1" applyAlignment="1" applyProtection="1">
      <alignment horizont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76" xfId="0" applyFont="1" applyBorder="1"/>
    <xf numFmtId="0" fontId="34" fillId="0" borderId="0" xfId="0" applyFont="1"/>
    <xf numFmtId="0" fontId="13" fillId="0" borderId="0" xfId="0" quotePrefix="1" applyFont="1"/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8" xfId="0" quotePrefix="1" applyFont="1" applyBorder="1" applyAlignment="1" applyProtection="1">
      <alignment horizontal="center" vertical="center"/>
      <protection locked="0"/>
    </xf>
    <xf numFmtId="0" fontId="11" fillId="0" borderId="10" xfId="0" quotePrefix="1" applyFont="1" applyBorder="1" applyAlignment="1" applyProtection="1">
      <alignment horizontal="center" vertical="center"/>
      <protection locked="0"/>
    </xf>
    <xf numFmtId="0" fontId="13" fillId="13" borderId="82" xfId="0" applyFont="1" applyFill="1" applyBorder="1" applyAlignment="1">
      <alignment horizontal="center" vertical="center"/>
    </xf>
    <xf numFmtId="0" fontId="13" fillId="13" borderId="83" xfId="0" applyFont="1" applyFill="1" applyBorder="1" applyAlignment="1">
      <alignment horizontal="center" vertical="center"/>
    </xf>
    <xf numFmtId="0" fontId="13" fillId="13" borderId="84" xfId="0" applyFont="1" applyFill="1" applyBorder="1" applyAlignment="1">
      <alignment horizontal="center" vertical="center"/>
    </xf>
    <xf numFmtId="0" fontId="5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5" fillId="0" borderId="66" xfId="0" applyFont="1" applyBorder="1" applyAlignment="1" applyProtection="1">
      <alignment horizontal="center" vertical="center" wrapText="1"/>
      <protection locked="0"/>
    </xf>
    <xf numFmtId="0" fontId="5" fillId="0" borderId="67" xfId="0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/>
      <protection locked="0"/>
    </xf>
    <xf numFmtId="0" fontId="53" fillId="0" borderId="0" xfId="0" applyNumberFormat="1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43" fillId="0" borderId="11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0" fillId="0" borderId="1" xfId="0" quotePrefix="1" applyNumberFormat="1" applyFont="1" applyFill="1" applyBorder="1" applyAlignment="1" applyProtection="1">
      <alignment horizontal="center" vertical="center" wrapText="1"/>
    </xf>
    <xf numFmtId="0" fontId="74" fillId="0" borderId="0" xfId="0" applyFont="1" applyProtection="1">
      <protection locked="0"/>
    </xf>
    <xf numFmtId="0" fontId="75" fillId="10" borderId="0" xfId="0" applyFont="1" applyFill="1" applyAlignment="1" applyProtection="1">
      <alignment vertical="center"/>
      <protection locked="0"/>
    </xf>
    <xf numFmtId="0" fontId="76" fillId="10" borderId="0" xfId="0" applyFont="1" applyFill="1" applyAlignment="1" applyProtection="1">
      <alignment vertical="center"/>
      <protection locked="0"/>
    </xf>
    <xf numFmtId="0" fontId="77" fillId="10" borderId="0" xfId="0" applyFont="1" applyFill="1" applyProtection="1">
      <protection locked="0"/>
    </xf>
    <xf numFmtId="0" fontId="37" fillId="0" borderId="0" xfId="0" applyFont="1" applyFill="1" applyBorder="1" applyAlignment="1" applyProtection="1">
      <protection locked="0"/>
    </xf>
    <xf numFmtId="0" fontId="41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41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78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1" fillId="0" borderId="0" xfId="0" quotePrefix="1" applyFont="1" applyBorder="1" applyAlignment="1" applyProtection="1">
      <alignment horizontal="center" vertical="center"/>
      <protection locked="0"/>
    </xf>
    <xf numFmtId="0" fontId="11" fillId="0" borderId="1" xfId="0" quotePrefix="1" applyFont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>
      <alignment horizontal="center" vertical="center"/>
    </xf>
    <xf numFmtId="0" fontId="53" fillId="0" borderId="0" xfId="0" applyFont="1" applyAlignment="1" applyProtection="1">
      <alignment horizontal="left"/>
      <protection locked="0"/>
    </xf>
    <xf numFmtId="0" fontId="18" fillId="0" borderId="0" xfId="0" applyFont="1" applyAlignment="1">
      <alignment horizontal="center" vertical="center"/>
    </xf>
    <xf numFmtId="0" fontId="32" fillId="0" borderId="0" xfId="0" applyFont="1" applyFill="1" applyAlignment="1" applyProtection="1">
      <alignment horizontal="center" vertical="center"/>
    </xf>
    <xf numFmtId="0" fontId="32" fillId="0" borderId="0" xfId="0" applyFont="1" applyAlignment="1" applyProtection="1">
      <alignment horizontal="center" vertical="center"/>
    </xf>
    <xf numFmtId="0" fontId="18" fillId="0" borderId="0" xfId="0" applyFont="1" applyFill="1"/>
    <xf numFmtId="0" fontId="79" fillId="0" borderId="0" xfId="0" applyFont="1" applyFill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  <protection locked="0"/>
    </xf>
    <xf numFmtId="0" fontId="42" fillId="0" borderId="1" xfId="0" applyFont="1" applyBorder="1" applyAlignment="1">
      <alignment horizontal="center" vertical="center"/>
    </xf>
    <xf numFmtId="0" fontId="10" fillId="0" borderId="0" xfId="0" applyFont="1" applyBorder="1" applyProtection="1"/>
    <xf numFmtId="0" fontId="52" fillId="0" borderId="0" xfId="0" applyFont="1" applyFill="1" applyBorder="1"/>
    <xf numFmtId="0" fontId="50" fillId="8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43" fillId="0" borderId="4" xfId="0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/>
      <protection locked="0"/>
    </xf>
    <xf numFmtId="0" fontId="43" fillId="13" borderId="4" xfId="0" applyFont="1" applyFill="1" applyBorder="1" applyAlignment="1" applyProtection="1">
      <alignment horizontal="center" vertical="center"/>
      <protection locked="0"/>
    </xf>
    <xf numFmtId="0" fontId="43" fillId="13" borderId="18" xfId="0" applyFont="1" applyFill="1" applyBorder="1" applyAlignment="1" applyProtection="1">
      <alignment horizontal="center" vertical="center"/>
      <protection locked="0"/>
    </xf>
    <xf numFmtId="0" fontId="13" fillId="10" borderId="29" xfId="0" quotePrefix="1" applyFont="1" applyFill="1" applyBorder="1" applyAlignment="1" applyProtection="1">
      <alignment horizontal="center" vertical="center"/>
    </xf>
    <xf numFmtId="0" fontId="13" fillId="32" borderId="33" xfId="0" quotePrefix="1" applyFont="1" applyFill="1" applyBorder="1" applyAlignment="1" applyProtection="1">
      <alignment horizontal="center" vertical="center"/>
    </xf>
    <xf numFmtId="0" fontId="43" fillId="32" borderId="48" xfId="0" applyFont="1" applyFill="1" applyBorder="1" applyAlignment="1">
      <alignment horizontal="center" vertical="center"/>
    </xf>
    <xf numFmtId="0" fontId="43" fillId="32" borderId="5" xfId="0" applyFont="1" applyFill="1" applyBorder="1" applyAlignment="1">
      <alignment horizontal="center" vertical="center"/>
    </xf>
    <xf numFmtId="0" fontId="43" fillId="11" borderId="93" xfId="0" applyFont="1" applyFill="1" applyBorder="1" applyAlignment="1">
      <alignment horizontal="center" vertical="center"/>
    </xf>
    <xf numFmtId="0" fontId="43" fillId="0" borderId="0" xfId="0" quotePrefix="1" applyFont="1" applyAlignment="1">
      <alignment horizontal="center" vertical="center"/>
    </xf>
    <xf numFmtId="0" fontId="68" fillId="0" borderId="0" xfId="0" applyFont="1" applyFill="1" applyAlignment="1" applyProtection="1">
      <alignment horizontal="center" vertical="center"/>
      <protection locked="0"/>
    </xf>
    <xf numFmtId="0" fontId="34" fillId="0" borderId="0" xfId="0" applyFont="1" applyFill="1"/>
    <xf numFmtId="0" fontId="26" fillId="0" borderId="20" xfId="0" applyFont="1" applyBorder="1" applyAlignment="1">
      <alignment vertical="center"/>
    </xf>
    <xf numFmtId="0" fontId="2" fillId="0" borderId="0" xfId="0" applyFont="1"/>
    <xf numFmtId="0" fontId="4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1" fillId="0" borderId="0" xfId="0" applyFont="1" applyProtection="1">
      <protection locked="0"/>
    </xf>
    <xf numFmtId="0" fontId="41" fillId="0" borderId="0" xfId="0" applyFont="1" applyAlignment="1" applyProtection="1">
      <alignment horizontal="left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5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67" xfId="0" applyFont="1" applyFill="1" applyBorder="1" applyAlignment="1" applyProtection="1">
      <alignment horizontal="center" vertical="center" wrapText="1"/>
      <protection locked="0"/>
    </xf>
    <xf numFmtId="0" fontId="13" fillId="13" borderId="19" xfId="0" applyFont="1" applyFill="1" applyBorder="1" applyAlignment="1">
      <alignment horizontal="center" vertical="center"/>
    </xf>
    <xf numFmtId="0" fontId="13" fillId="13" borderId="11" xfId="0" applyFont="1" applyFill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0" fillId="13" borderId="11" xfId="0" applyFont="1" applyFill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34" fillId="0" borderId="0" xfId="0" applyFont="1" applyFill="1" applyBorder="1" applyProtection="1"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13" fillId="13" borderId="0" xfId="0" applyFont="1" applyFill="1" applyProtection="1">
      <protection locked="0"/>
    </xf>
    <xf numFmtId="0" fontId="13" fillId="13" borderId="0" xfId="0" applyFont="1" applyFill="1"/>
    <xf numFmtId="0" fontId="34" fillId="13" borderId="0" xfId="0" applyFont="1" applyFill="1"/>
    <xf numFmtId="0" fontId="50" fillId="13" borderId="0" xfId="0" applyFont="1" applyFill="1" applyBorder="1" applyAlignment="1" applyProtection="1">
      <alignment horizontal="center" vertical="center"/>
      <protection locked="0"/>
    </xf>
    <xf numFmtId="0" fontId="30" fillId="13" borderId="0" xfId="0" quotePrefix="1" applyFont="1" applyFill="1" applyBorder="1" applyAlignment="1" applyProtection="1">
      <alignment horizontal="center" vertical="center"/>
    </xf>
    <xf numFmtId="0" fontId="30" fillId="13" borderId="0" xfId="0" applyFont="1" applyFill="1" applyBorder="1" applyAlignment="1" applyProtection="1">
      <alignment horizontal="center" vertical="center"/>
    </xf>
    <xf numFmtId="0" fontId="43" fillId="13" borderId="0" xfId="0" applyFont="1" applyFill="1" applyBorder="1" applyAlignment="1" applyProtection="1">
      <alignment horizontal="center" vertical="center" wrapText="1"/>
      <protection locked="0"/>
    </xf>
    <xf numFmtId="0" fontId="34" fillId="13" borderId="0" xfId="0" applyFont="1" applyFill="1" applyAlignment="1">
      <alignment horizontal="center" vertical="center"/>
    </xf>
    <xf numFmtId="0" fontId="18" fillId="13" borderId="0" xfId="0" applyFont="1" applyFill="1" applyAlignment="1">
      <alignment horizontal="center" vertical="center"/>
    </xf>
    <xf numFmtId="0" fontId="5" fillId="0" borderId="27" xfId="0" applyFont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9" fillId="0" borderId="94" xfId="0" applyFont="1" applyFill="1" applyBorder="1" applyAlignment="1" applyProtection="1">
      <alignment horizontal="center" vertical="center"/>
      <protection locked="0"/>
    </xf>
    <xf numFmtId="0" fontId="42" fillId="0" borderId="18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3" fillId="0" borderId="51" xfId="0" applyFont="1" applyBorder="1" applyAlignment="1" applyProtection="1">
      <alignment horizontal="center" vertical="center" wrapText="1"/>
      <protection locked="0"/>
    </xf>
    <xf numFmtId="0" fontId="69" fillId="0" borderId="11" xfId="0" applyFont="1" applyBorder="1" applyAlignment="1">
      <alignment horizontal="center" vertical="center"/>
    </xf>
    <xf numFmtId="0" fontId="43" fillId="13" borderId="3" xfId="0" applyFont="1" applyFill="1" applyBorder="1" applyAlignment="1">
      <alignment horizontal="center" vertical="center"/>
    </xf>
    <xf numFmtId="0" fontId="43" fillId="13" borderId="118" xfId="0" applyFont="1" applyFill="1" applyBorder="1" applyAlignment="1">
      <alignment horizontal="center" vertical="center"/>
    </xf>
    <xf numFmtId="0" fontId="43" fillId="13" borderId="4" xfId="0" applyFont="1" applyFill="1" applyBorder="1" applyAlignment="1">
      <alignment horizontal="center" vertical="center"/>
    </xf>
    <xf numFmtId="0" fontId="43" fillId="13" borderId="18" xfId="0" applyFont="1" applyFill="1" applyBorder="1" applyAlignment="1">
      <alignment horizontal="center" vertical="center"/>
    </xf>
    <xf numFmtId="0" fontId="43" fillId="0" borderId="37" xfId="0" quotePrefix="1" applyFont="1" applyFill="1" applyBorder="1" applyAlignment="1">
      <alignment horizontal="center" vertical="center"/>
    </xf>
    <xf numFmtId="0" fontId="43" fillId="13" borderId="11" xfId="0" applyFont="1" applyFill="1" applyBorder="1" applyAlignment="1" applyProtection="1">
      <alignment horizontal="center" vertical="center"/>
      <protection locked="0"/>
    </xf>
    <xf numFmtId="0" fontId="43" fillId="0" borderId="4" xfId="0" quotePrefix="1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36" xfId="0" quotePrefix="1" applyFont="1" applyFill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/>
    </xf>
    <xf numFmtId="0" fontId="67" fillId="0" borderId="5" xfId="0" applyFont="1" applyBorder="1" applyAlignment="1">
      <alignment horizontal="center" vertical="center"/>
    </xf>
    <xf numFmtId="0" fontId="43" fillId="28" borderId="36" xfId="0" quotePrefix="1" applyFont="1" applyFill="1" applyBorder="1" applyAlignment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10" fillId="0" borderId="136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40" fillId="13" borderId="11" xfId="0" applyFont="1" applyFill="1" applyBorder="1" applyAlignment="1">
      <alignment vertical="center"/>
    </xf>
    <xf numFmtId="0" fontId="43" fillId="13" borderId="20" xfId="0" applyFont="1" applyFill="1" applyBorder="1" applyAlignment="1">
      <alignment horizontal="center" vertical="center"/>
    </xf>
    <xf numFmtId="0" fontId="70" fillId="0" borderId="92" xfId="0" applyFont="1" applyBorder="1" applyAlignment="1">
      <alignment horizontal="center" vertical="center"/>
    </xf>
    <xf numFmtId="0" fontId="43" fillId="11" borderId="36" xfId="0" quotePrefix="1" applyFont="1" applyFill="1" applyBorder="1" applyAlignment="1">
      <alignment horizontal="center" vertical="center"/>
    </xf>
    <xf numFmtId="0" fontId="50" fillId="0" borderId="19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42" fillId="7" borderId="8" xfId="0" applyFont="1" applyFill="1" applyBorder="1" applyAlignment="1">
      <alignment horizontal="center" vertical="center"/>
    </xf>
    <xf numFmtId="0" fontId="42" fillId="7" borderId="9" xfId="0" applyFont="1" applyFill="1" applyBorder="1" applyAlignment="1">
      <alignment horizontal="center" vertical="center"/>
    </xf>
    <xf numFmtId="0" fontId="42" fillId="7" borderId="10" xfId="0" applyFont="1" applyFill="1" applyBorder="1" applyAlignment="1">
      <alignment horizontal="center" vertical="center"/>
    </xf>
    <xf numFmtId="0" fontId="42" fillId="14" borderId="8" xfId="0" applyFont="1" applyFill="1" applyBorder="1" applyAlignment="1">
      <alignment horizontal="center" vertical="center"/>
    </xf>
    <xf numFmtId="0" fontId="42" fillId="14" borderId="9" xfId="0" applyFont="1" applyFill="1" applyBorder="1" applyAlignment="1">
      <alignment horizontal="center" vertical="center"/>
    </xf>
    <xf numFmtId="0" fontId="42" fillId="14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42" fillId="0" borderId="21" xfId="0" quotePrefix="1" applyFont="1" applyFill="1" applyBorder="1" applyAlignment="1">
      <alignment horizontal="center" vertical="center"/>
    </xf>
    <xf numFmtId="0" fontId="42" fillId="0" borderId="30" xfId="0" quotePrefix="1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40" fillId="13" borderId="1" xfId="0" applyFont="1" applyFill="1" applyBorder="1" applyAlignment="1">
      <alignment vertical="center"/>
    </xf>
    <xf numFmtId="0" fontId="43" fillId="0" borderId="1" xfId="0" applyFont="1" applyBorder="1" applyAlignment="1">
      <alignment horizontal="center" vertical="center"/>
    </xf>
    <xf numFmtId="0" fontId="43" fillId="13" borderId="9" xfId="0" applyFont="1" applyFill="1" applyBorder="1" applyAlignment="1">
      <alignment horizontal="center" vertical="center"/>
    </xf>
    <xf numFmtId="0" fontId="43" fillId="13" borderId="10" xfId="0" applyFont="1" applyFill="1" applyBorder="1" applyAlignment="1" applyProtection="1">
      <alignment horizontal="center" vertical="center"/>
      <protection locked="0"/>
    </xf>
    <xf numFmtId="0" fontId="43" fillId="13" borderId="1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/>
    </xf>
    <xf numFmtId="0" fontId="13" fillId="32" borderId="1" xfId="0" quotePrefix="1" applyFont="1" applyFill="1" applyBorder="1" applyAlignment="1" applyProtection="1">
      <alignment horizontal="center" vertical="center"/>
    </xf>
    <xf numFmtId="0" fontId="43" fillId="32" borderId="1" xfId="0" applyFont="1" applyFill="1" applyBorder="1" applyAlignment="1">
      <alignment horizontal="center" vertical="center"/>
    </xf>
    <xf numFmtId="0" fontId="43" fillId="32" borderId="11" xfId="0" applyFont="1" applyFill="1" applyBorder="1" applyAlignment="1">
      <alignment horizontal="center" vertical="center"/>
    </xf>
    <xf numFmtId="0" fontId="43" fillId="32" borderId="8" xfId="0" applyFont="1" applyFill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43" fillId="32" borderId="9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42" fillId="0" borderId="28" xfId="0" quotePrefix="1" applyFont="1" applyFill="1" applyBorder="1" applyAlignment="1">
      <alignment horizontal="center" vertical="center"/>
    </xf>
    <xf numFmtId="0" fontId="42" fillId="0" borderId="31" xfId="0" quotePrefix="1" applyFont="1" applyFill="1" applyBorder="1" applyAlignment="1">
      <alignment horizontal="center" vertical="center"/>
    </xf>
    <xf numFmtId="0" fontId="42" fillId="0" borderId="41" xfId="0" quotePrefix="1" applyFont="1" applyFill="1" applyBorder="1" applyAlignment="1">
      <alignment horizontal="center" vertical="center"/>
    </xf>
    <xf numFmtId="0" fontId="42" fillId="0" borderId="44" xfId="0" quotePrefix="1" applyFont="1" applyFill="1" applyBorder="1" applyAlignment="1">
      <alignment horizontal="center" vertical="center"/>
    </xf>
    <xf numFmtId="0" fontId="43" fillId="32" borderId="36" xfId="0" quotePrefix="1" applyFont="1" applyFill="1" applyBorder="1" applyAlignment="1">
      <alignment horizontal="center" vertical="center"/>
    </xf>
    <xf numFmtId="0" fontId="43" fillId="0" borderId="4" xfId="0" quotePrefix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48" fillId="0" borderId="40" xfId="0" quotePrefix="1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22" xfId="0" quotePrefix="1" applyFont="1" applyFill="1" applyBorder="1" applyAlignment="1">
      <alignment horizontal="center" vertical="center"/>
    </xf>
    <xf numFmtId="0" fontId="43" fillId="0" borderId="38" xfId="0" quotePrefix="1" applyFont="1" applyFill="1" applyBorder="1" applyAlignment="1">
      <alignment horizontal="center" vertical="center"/>
    </xf>
    <xf numFmtId="0" fontId="43" fillId="32" borderId="38" xfId="0" quotePrefix="1" applyFont="1" applyFill="1" applyBorder="1" applyAlignment="1">
      <alignment horizontal="center" vertical="center"/>
    </xf>
    <xf numFmtId="0" fontId="43" fillId="32" borderId="23" xfId="0" applyFont="1" applyFill="1" applyBorder="1" applyAlignment="1">
      <alignment horizontal="center" vertical="center"/>
    </xf>
    <xf numFmtId="0" fontId="43" fillId="0" borderId="39" xfId="0" quotePrefix="1" applyFont="1" applyFill="1" applyBorder="1" applyAlignment="1">
      <alignment horizontal="center" vertical="center"/>
    </xf>
    <xf numFmtId="0" fontId="43" fillId="0" borderId="34" xfId="0" quotePrefix="1" applyFont="1" applyFill="1" applyBorder="1" applyAlignment="1">
      <alignment horizontal="center" vertical="center"/>
    </xf>
    <xf numFmtId="0" fontId="43" fillId="0" borderId="30" xfId="0" quotePrefix="1" applyFont="1" applyFill="1" applyBorder="1" applyAlignment="1">
      <alignment horizontal="center" vertical="center"/>
    </xf>
    <xf numFmtId="0" fontId="43" fillId="32" borderId="23" xfId="0" quotePrefix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69" fillId="3" borderId="2" xfId="0" applyFont="1" applyFill="1" applyBorder="1" applyAlignment="1">
      <alignment horizontal="center" vertical="center"/>
    </xf>
    <xf numFmtId="0" fontId="48" fillId="0" borderId="5" xfId="0" quotePrefix="1" applyFont="1" applyFill="1" applyBorder="1" applyAlignment="1">
      <alignment horizontal="center" vertical="center"/>
    </xf>
    <xf numFmtId="0" fontId="69" fillId="3" borderId="5" xfId="0" applyFont="1" applyFill="1" applyBorder="1" applyAlignment="1">
      <alignment horizontal="center" vertical="center"/>
    </xf>
    <xf numFmtId="0" fontId="43" fillId="0" borderId="32" xfId="0" quotePrefix="1" applyFont="1" applyFill="1" applyBorder="1" applyAlignment="1">
      <alignment horizontal="center" vertical="center"/>
    </xf>
    <xf numFmtId="0" fontId="43" fillId="0" borderId="33" xfId="0" quotePrefix="1" applyFont="1" applyFill="1" applyBorder="1" applyAlignment="1">
      <alignment horizontal="center" vertical="center"/>
    </xf>
    <xf numFmtId="0" fontId="43" fillId="28" borderId="29" xfId="0" quotePrefix="1" applyFont="1" applyFill="1" applyBorder="1" applyAlignment="1">
      <alignment horizontal="center" vertical="center"/>
    </xf>
    <xf numFmtId="0" fontId="43" fillId="28" borderId="32" xfId="0" quotePrefix="1" applyFont="1" applyFill="1" applyBorder="1" applyAlignment="1">
      <alignment horizontal="center" vertical="center"/>
    </xf>
    <xf numFmtId="0" fontId="43" fillId="28" borderId="33" xfId="0" quotePrefix="1" applyFont="1" applyFill="1" applyBorder="1" applyAlignment="1">
      <alignment horizontal="center" vertical="center"/>
    </xf>
    <xf numFmtId="0" fontId="73" fillId="29" borderId="28" xfId="0" applyFont="1" applyFill="1" applyBorder="1" applyAlignment="1">
      <alignment horizontal="center" vertical="center"/>
    </xf>
    <xf numFmtId="0" fontId="73" fillId="29" borderId="31" xfId="0" applyFont="1" applyFill="1" applyBorder="1" applyAlignment="1">
      <alignment horizontal="center" vertical="center"/>
    </xf>
    <xf numFmtId="0" fontId="73" fillId="29" borderId="44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10" fillId="0" borderId="134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82" fillId="3" borderId="0" xfId="0" applyFont="1" applyFill="1" applyAlignment="1" applyProtection="1">
      <alignment vertical="center"/>
      <protection locked="0"/>
    </xf>
    <xf numFmtId="0" fontId="83" fillId="3" borderId="0" xfId="0" applyFont="1" applyFill="1" applyProtection="1">
      <protection locked="0"/>
    </xf>
    <xf numFmtId="0" fontId="82" fillId="3" borderId="0" xfId="0" applyFont="1" applyFill="1" applyBorder="1" applyAlignment="1" applyProtection="1">
      <protection locked="0"/>
    </xf>
    <xf numFmtId="0" fontId="70" fillId="0" borderId="33" xfId="0" applyFont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6" xfId="0" quotePrefix="1" applyFont="1" applyFill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" xfId="0" quotePrefix="1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69" fillId="3" borderId="36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39" fillId="20" borderId="0" xfId="0" applyFont="1" applyFill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Protection="1">
      <protection locked="0"/>
    </xf>
    <xf numFmtId="0" fontId="22" fillId="16" borderId="19" xfId="0" quotePrefix="1" applyNumberFormat="1" applyFont="1" applyFill="1" applyBorder="1" applyAlignment="1" applyProtection="1">
      <alignment horizontal="center" vertical="center"/>
    </xf>
    <xf numFmtId="0" fontId="22" fillId="16" borderId="11" xfId="0" quotePrefix="1" applyNumberFormat="1" applyFont="1" applyFill="1" applyBorder="1" applyAlignment="1" applyProtection="1">
      <alignment horizontal="center" vertical="center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6" fillId="3" borderId="8" xfId="0" applyFont="1" applyFill="1" applyBorder="1" applyAlignment="1" applyProtection="1">
      <alignment horizontal="center" vertical="center"/>
      <protection locked="0"/>
    </xf>
    <xf numFmtId="0" fontId="26" fillId="3" borderId="10" xfId="0" applyFont="1" applyFill="1" applyBorder="1" applyAlignment="1" applyProtection="1">
      <alignment horizontal="center" vertical="center"/>
      <protection locked="0"/>
    </xf>
    <xf numFmtId="0" fontId="26" fillId="17" borderId="8" xfId="0" applyFont="1" applyFill="1" applyBorder="1" applyAlignment="1" applyProtection="1">
      <alignment horizontal="center" vertical="center"/>
      <protection locked="0"/>
    </xf>
    <xf numFmtId="0" fontId="26" fillId="17" borderId="10" xfId="0" applyFont="1" applyFill="1" applyBorder="1" applyAlignment="1" applyProtection="1">
      <alignment horizontal="center" vertical="center"/>
      <protection locked="0"/>
    </xf>
    <xf numFmtId="0" fontId="25" fillId="0" borderId="8" xfId="0" applyFont="1" applyBorder="1" applyAlignment="1" applyProtection="1">
      <alignment horizontal="center"/>
      <protection locked="0"/>
    </xf>
    <xf numFmtId="0" fontId="25" fillId="0" borderId="9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8" xfId="0" quotePrefix="1" applyFont="1" applyBorder="1" applyAlignment="1" applyProtection="1">
      <alignment horizontal="center" vertical="center"/>
      <protection locked="0"/>
    </xf>
    <xf numFmtId="0" fontId="11" fillId="0" borderId="10" xfId="0" quotePrefix="1" applyFont="1" applyBorder="1" applyAlignment="1" applyProtection="1">
      <alignment horizontal="center" vertical="center"/>
      <protection locked="0"/>
    </xf>
    <xf numFmtId="164" fontId="11" fillId="0" borderId="8" xfId="0" applyNumberFormat="1" applyFont="1" applyBorder="1" applyAlignment="1" applyProtection="1">
      <alignment horizontal="center" vertical="center"/>
      <protection locked="0"/>
    </xf>
    <xf numFmtId="164" fontId="11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4" fillId="0" borderId="45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3" fillId="13" borderId="82" xfId="0" applyFont="1" applyFill="1" applyBorder="1" applyAlignment="1">
      <alignment horizontal="center" vertical="center"/>
    </xf>
    <xf numFmtId="0" fontId="13" fillId="13" borderId="83" xfId="0" applyFont="1" applyFill="1" applyBorder="1" applyAlignment="1">
      <alignment horizontal="center" vertical="center"/>
    </xf>
    <xf numFmtId="0" fontId="13" fillId="13" borderId="84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"/>
      <protection locked="0"/>
    </xf>
    <xf numFmtId="0" fontId="13" fillId="13" borderId="82" xfId="0" quotePrefix="1" applyFont="1" applyFill="1" applyBorder="1" applyAlignment="1">
      <alignment horizontal="center" vertical="center"/>
    </xf>
    <xf numFmtId="0" fontId="13" fillId="13" borderId="83" xfId="0" quotePrefix="1" applyFont="1" applyFill="1" applyBorder="1" applyAlignment="1">
      <alignment horizontal="center" vertical="center"/>
    </xf>
    <xf numFmtId="0" fontId="13" fillId="13" borderId="84" xfId="0" quotePrefix="1" applyFont="1" applyFill="1" applyBorder="1" applyAlignment="1">
      <alignment horizontal="center" vertical="center"/>
    </xf>
    <xf numFmtId="0" fontId="0" fillId="13" borderId="82" xfId="0" quotePrefix="1" applyFill="1" applyBorder="1" applyAlignment="1">
      <alignment horizontal="center" vertical="center"/>
    </xf>
    <xf numFmtId="0" fontId="0" fillId="13" borderId="83" xfId="0" quotePrefix="1" applyFill="1" applyBorder="1" applyAlignment="1">
      <alignment horizontal="center" vertical="center"/>
    </xf>
    <xf numFmtId="0" fontId="0" fillId="13" borderId="84" xfId="0" quotePrefix="1" applyFill="1" applyBorder="1" applyAlignment="1">
      <alignment horizontal="center" vertical="center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Protection="1"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30" fillId="25" borderId="2" xfId="0" quotePrefix="1" applyFont="1" applyFill="1" applyBorder="1" applyAlignment="1" applyProtection="1">
      <alignment horizontal="center" vertical="center"/>
    </xf>
    <xf numFmtId="0" fontId="30" fillId="25" borderId="3" xfId="0" applyFont="1" applyFill="1" applyBorder="1" applyAlignment="1" applyProtection="1">
      <alignment horizontal="center" vertical="center"/>
    </xf>
    <xf numFmtId="0" fontId="30" fillId="25" borderId="80" xfId="0" applyFont="1" applyFill="1" applyBorder="1" applyAlignment="1" applyProtection="1">
      <alignment horizontal="center" vertical="center"/>
    </xf>
    <xf numFmtId="0" fontId="30" fillId="25" borderId="5" xfId="0" quotePrefix="1" applyFont="1" applyFill="1" applyBorder="1" applyAlignment="1" applyProtection="1">
      <alignment horizontal="center" vertical="center"/>
    </xf>
    <xf numFmtId="0" fontId="30" fillId="25" borderId="6" xfId="0" applyFont="1" applyFill="1" applyBorder="1" applyAlignment="1" applyProtection="1">
      <alignment horizontal="center" vertical="center"/>
    </xf>
    <xf numFmtId="0" fontId="30" fillId="25" borderId="81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5" fillId="0" borderId="66" xfId="0" applyFont="1" applyBorder="1" applyAlignment="1" applyProtection="1">
      <alignment horizontal="center" vertical="center" wrapText="1"/>
      <protection locked="0"/>
    </xf>
    <xf numFmtId="0" fontId="40" fillId="14" borderId="19" xfId="0" applyFont="1" applyFill="1" applyBorder="1" applyAlignment="1" applyProtection="1">
      <alignment horizontal="center" vertical="center"/>
      <protection locked="0"/>
    </xf>
    <xf numFmtId="0" fontId="40" fillId="14" borderId="11" xfId="0" applyFont="1" applyFill="1" applyBorder="1" applyAlignment="1" applyProtection="1">
      <alignment horizontal="center" vertical="center"/>
      <protection locked="0"/>
    </xf>
    <xf numFmtId="0" fontId="53" fillId="0" borderId="0" xfId="0" quotePrefix="1" applyNumberFormat="1" applyFont="1" applyAlignment="1">
      <alignment horizontal="center" vertical="center" wrapText="1"/>
    </xf>
    <xf numFmtId="0" fontId="53" fillId="0" borderId="0" xfId="0" applyNumberFormat="1" applyFont="1" applyAlignment="1">
      <alignment horizontal="center" vertical="center" wrapText="1"/>
    </xf>
    <xf numFmtId="0" fontId="5" fillId="13" borderId="19" xfId="0" applyFont="1" applyFill="1" applyBorder="1" applyAlignment="1" applyProtection="1">
      <alignment horizontal="center" vertical="center" wrapText="1"/>
      <protection locked="0"/>
    </xf>
    <xf numFmtId="0" fontId="5" fillId="13" borderId="6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50" fillId="0" borderId="19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0" fillId="13" borderId="45" xfId="0" applyFill="1" applyBorder="1" applyAlignment="1">
      <alignment horizontal="center" vertical="center"/>
    </xf>
    <xf numFmtId="0" fontId="42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11" xfId="0" applyFont="1" applyFill="1" applyBorder="1" applyAlignment="1" applyProtection="1">
      <alignment horizontal="center" vertical="center" wrapText="1"/>
      <protection locked="0"/>
    </xf>
    <xf numFmtId="0" fontId="10" fillId="13" borderId="45" xfId="0" applyFont="1" applyFill="1" applyBorder="1" applyAlignment="1" applyProtection="1">
      <alignment horizontal="center" vertical="center"/>
    </xf>
    <xf numFmtId="0" fontId="5" fillId="0" borderId="67" xfId="0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 vertical="center"/>
    </xf>
    <xf numFmtId="0" fontId="30" fillId="0" borderId="80" xfId="0" applyFont="1" applyBorder="1" applyAlignment="1" applyProtection="1">
      <alignment horizontal="center" vertical="center"/>
    </xf>
    <xf numFmtId="0" fontId="30" fillId="0" borderId="5" xfId="0" applyFont="1" applyBorder="1" applyAlignment="1" applyProtection="1">
      <alignment horizontal="center" vertical="center"/>
    </xf>
    <xf numFmtId="0" fontId="30" fillId="0" borderId="6" xfId="0" applyFont="1" applyBorder="1" applyAlignment="1" applyProtection="1">
      <alignment horizontal="center" vertical="center"/>
    </xf>
    <xf numFmtId="0" fontId="30" fillId="0" borderId="81" xfId="0" applyFont="1" applyBorder="1" applyAlignment="1" applyProtection="1">
      <alignment horizontal="center" vertical="center"/>
    </xf>
    <xf numFmtId="0" fontId="10" fillId="13" borderId="53" xfId="0" applyFont="1" applyFill="1" applyBorder="1" applyAlignment="1" applyProtection="1">
      <alignment horizontal="center" vertical="center"/>
    </xf>
    <xf numFmtId="0" fontId="5" fillId="0" borderId="30" xfId="0" quotePrefix="1" applyNumberFormat="1" applyFont="1" applyFill="1" applyBorder="1" applyAlignment="1" applyProtection="1">
      <alignment horizontal="center" vertical="center"/>
    </xf>
    <xf numFmtId="0" fontId="5" fillId="0" borderId="36" xfId="0" quotePrefix="1" applyNumberFormat="1" applyFont="1" applyFill="1" applyBorder="1" applyAlignment="1" applyProtection="1">
      <alignment horizontal="center" vertical="center"/>
    </xf>
    <xf numFmtId="0" fontId="5" fillId="0" borderId="38" xfId="0" quotePrefix="1" applyNumberFormat="1" applyFont="1" applyFill="1" applyBorder="1" applyAlignment="1" applyProtection="1">
      <alignment horizontal="center" vertical="center"/>
    </xf>
    <xf numFmtId="0" fontId="5" fillId="0" borderId="23" xfId="0" quotePrefix="1" applyNumberFormat="1" applyFont="1" applyFill="1" applyBorder="1" applyAlignment="1" applyProtection="1">
      <alignment horizontal="center" vertical="center"/>
    </xf>
    <xf numFmtId="0" fontId="5" fillId="0" borderId="39" xfId="0" quotePrefix="1" applyNumberFormat="1" applyFont="1" applyFill="1" applyBorder="1" applyAlignment="1" applyProtection="1">
      <alignment horizontal="center" vertical="center"/>
    </xf>
    <xf numFmtId="0" fontId="5" fillId="0" borderId="34" xfId="0" quotePrefix="1" applyNumberFormat="1" applyFont="1" applyFill="1" applyBorder="1" applyAlignment="1" applyProtection="1">
      <alignment horizontal="center" vertical="center"/>
    </xf>
    <xf numFmtId="0" fontId="0" fillId="25" borderId="8" xfId="0" applyFill="1" applyBorder="1" applyAlignment="1">
      <alignment horizontal="center" vertical="center"/>
    </xf>
    <xf numFmtId="0" fontId="0" fillId="25" borderId="9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32" fillId="2" borderId="12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horizontal="center" vertical="center"/>
      <protection locked="0"/>
    </xf>
    <xf numFmtId="0" fontId="47" fillId="24" borderId="2" xfId="0" applyFont="1" applyFill="1" applyBorder="1" applyAlignment="1" applyProtection="1">
      <alignment horizontal="center" vertical="center"/>
    </xf>
    <xf numFmtId="0" fontId="47" fillId="24" borderId="3" xfId="0" applyFont="1" applyFill="1" applyBorder="1" applyAlignment="1" applyProtection="1">
      <alignment horizontal="center" vertical="center"/>
    </xf>
    <xf numFmtId="0" fontId="47" fillId="24" borderId="80" xfId="0" applyFont="1" applyFill="1" applyBorder="1" applyAlignment="1" applyProtection="1">
      <alignment horizontal="center" vertical="center"/>
    </xf>
    <xf numFmtId="0" fontId="47" fillId="24" borderId="5" xfId="0" applyFont="1" applyFill="1" applyBorder="1" applyAlignment="1" applyProtection="1">
      <alignment horizontal="center" vertical="center"/>
    </xf>
    <xf numFmtId="0" fontId="47" fillId="24" borderId="6" xfId="0" applyFont="1" applyFill="1" applyBorder="1" applyAlignment="1" applyProtection="1">
      <alignment horizontal="center" vertical="center"/>
    </xf>
    <xf numFmtId="0" fontId="47" fillId="24" borderId="81" xfId="0" applyFont="1" applyFill="1" applyBorder="1" applyAlignment="1" applyProtection="1">
      <alignment horizontal="center" vertical="center"/>
    </xf>
    <xf numFmtId="0" fontId="5" fillId="0" borderId="21" xfId="0" quotePrefix="1" applyNumberFormat="1" applyFont="1" applyFill="1" applyBorder="1" applyAlignment="1" applyProtection="1">
      <alignment horizontal="center" vertical="center"/>
    </xf>
    <xf numFmtId="0" fontId="5" fillId="0" borderId="37" xfId="0" quotePrefix="1" applyNumberFormat="1" applyFont="1" applyFill="1" applyBorder="1" applyAlignment="1" applyProtection="1">
      <alignment horizontal="center" vertical="center"/>
    </xf>
    <xf numFmtId="0" fontId="5" fillId="0" borderId="22" xfId="0" quotePrefix="1" applyNumberFormat="1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center" vertical="center"/>
    </xf>
    <xf numFmtId="0" fontId="50" fillId="3" borderId="8" xfId="0" applyFont="1" applyFill="1" applyBorder="1" applyAlignment="1" applyProtection="1">
      <alignment horizontal="center" vertical="center"/>
      <protection locked="0"/>
    </xf>
    <xf numFmtId="0" fontId="50" fillId="3" borderId="9" xfId="0" applyFont="1" applyFill="1" applyBorder="1" applyAlignment="1" applyProtection="1">
      <alignment horizontal="center" vertical="center"/>
      <protection locked="0"/>
    </xf>
    <xf numFmtId="0" fontId="50" fillId="3" borderId="10" xfId="0" applyFont="1" applyFill="1" applyBorder="1" applyAlignment="1" applyProtection="1">
      <alignment horizontal="center" vertical="center"/>
      <protection locked="0"/>
    </xf>
    <xf numFmtId="0" fontId="10" fillId="10" borderId="0" xfId="0" applyFont="1" applyFill="1" applyBorder="1" applyAlignment="1" applyProtection="1">
      <alignment horizontal="center" vertical="center"/>
    </xf>
    <xf numFmtId="0" fontId="42" fillId="22" borderId="2" xfId="0" applyFont="1" applyFill="1" applyBorder="1" applyAlignment="1" applyProtection="1">
      <alignment horizontal="center" vertical="center" wrapText="1"/>
      <protection locked="0"/>
    </xf>
    <xf numFmtId="0" fontId="42" fillId="22" borderId="3" xfId="0" applyFont="1" applyFill="1" applyBorder="1" applyAlignment="1" applyProtection="1">
      <alignment horizontal="center" vertical="center" wrapText="1"/>
      <protection locked="0"/>
    </xf>
    <xf numFmtId="0" fontId="42" fillId="22" borderId="4" xfId="0" applyFont="1" applyFill="1" applyBorder="1" applyAlignment="1" applyProtection="1">
      <alignment horizontal="center" vertical="center" wrapText="1"/>
      <protection locked="0"/>
    </xf>
    <xf numFmtId="0" fontId="42" fillId="14" borderId="8" xfId="0" applyFont="1" applyFill="1" applyBorder="1" applyAlignment="1" applyProtection="1">
      <alignment horizontal="center" vertical="center" wrapText="1"/>
      <protection locked="0"/>
    </xf>
    <xf numFmtId="0" fontId="42" fillId="14" borderId="9" xfId="0" applyFont="1" applyFill="1" applyBorder="1" applyAlignment="1" applyProtection="1">
      <alignment horizontal="center" vertical="center" wrapText="1"/>
      <protection locked="0"/>
    </xf>
    <xf numFmtId="0" fontId="42" fillId="14" borderId="10" xfId="0" applyFont="1" applyFill="1" applyBorder="1" applyAlignment="1" applyProtection="1">
      <alignment horizontal="center" vertical="center" wrapText="1"/>
      <protection locked="0"/>
    </xf>
    <xf numFmtId="0" fontId="0" fillId="0" borderId="58" xfId="0" applyBorder="1"/>
    <xf numFmtId="0" fontId="0" fillId="0" borderId="66" xfId="0" applyBorder="1"/>
    <xf numFmtId="0" fontId="42" fillId="0" borderId="20" xfId="0" applyFont="1" applyFill="1" applyBorder="1" applyAlignment="1" applyProtection="1">
      <alignment horizontal="center" vertical="center" wrapText="1"/>
      <protection locked="0"/>
    </xf>
    <xf numFmtId="0" fontId="42" fillId="0" borderId="18" xfId="0" applyFont="1" applyFill="1" applyBorder="1" applyAlignment="1" applyProtection="1">
      <alignment horizontal="center" vertical="center" wrapText="1"/>
      <protection locked="0"/>
    </xf>
    <xf numFmtId="0" fontId="42" fillId="0" borderId="15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42" fillId="12" borderId="8" xfId="0" applyFont="1" applyFill="1" applyBorder="1" applyAlignment="1" applyProtection="1">
      <alignment horizontal="center" vertical="center" wrapText="1"/>
      <protection locked="0"/>
    </xf>
    <xf numFmtId="0" fontId="42" fillId="12" borderId="9" xfId="0" applyFont="1" applyFill="1" applyBorder="1" applyAlignment="1" applyProtection="1">
      <alignment horizontal="center" vertical="center" wrapText="1"/>
      <protection locked="0"/>
    </xf>
    <xf numFmtId="0" fontId="42" fillId="12" borderId="10" xfId="0" applyFont="1" applyFill="1" applyBorder="1" applyAlignment="1" applyProtection="1">
      <alignment horizontal="center" vertical="center" wrapText="1"/>
      <protection locked="0"/>
    </xf>
    <xf numFmtId="0" fontId="42" fillId="3" borderId="8" xfId="0" applyFont="1" applyFill="1" applyBorder="1" applyAlignment="1" applyProtection="1">
      <alignment horizontal="center" vertical="center" wrapText="1"/>
      <protection locked="0"/>
    </xf>
    <xf numFmtId="0" fontId="42" fillId="3" borderId="9" xfId="0" applyFont="1" applyFill="1" applyBorder="1" applyAlignment="1" applyProtection="1">
      <alignment horizontal="center" vertical="center" wrapText="1"/>
      <protection locked="0"/>
    </xf>
    <xf numFmtId="0" fontId="42" fillId="3" borderId="10" xfId="0" applyFont="1" applyFill="1" applyBorder="1" applyAlignment="1" applyProtection="1">
      <alignment horizontal="center" vertical="center" wrapText="1"/>
      <protection locked="0"/>
    </xf>
    <xf numFmtId="0" fontId="40" fillId="3" borderId="8" xfId="0" applyFont="1" applyFill="1" applyBorder="1" applyAlignment="1" applyProtection="1">
      <alignment horizontal="center" vertical="center"/>
      <protection locked="0"/>
    </xf>
    <xf numFmtId="0" fontId="40" fillId="3" borderId="9" xfId="0" applyFont="1" applyFill="1" applyBorder="1" applyAlignment="1" applyProtection="1">
      <alignment horizontal="center" vertical="center"/>
      <protection locked="0"/>
    </xf>
    <xf numFmtId="0" fontId="40" fillId="3" borderId="10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Border="1" applyAlignment="1" applyProtection="1">
      <alignment horizontal="center" vertical="center"/>
    </xf>
    <xf numFmtId="0" fontId="62" fillId="13" borderId="82" xfId="0" applyFont="1" applyFill="1" applyBorder="1" applyAlignment="1">
      <alignment horizontal="center" vertical="center"/>
    </xf>
    <xf numFmtId="0" fontId="62" fillId="13" borderId="84" xfId="0" applyFont="1" applyFill="1" applyBorder="1" applyAlignment="1">
      <alignment horizontal="center" vertical="center"/>
    </xf>
    <xf numFmtId="0" fontId="42" fillId="0" borderId="53" xfId="0" applyFont="1" applyFill="1" applyBorder="1" applyAlignment="1" applyProtection="1">
      <alignment horizontal="center" vertical="center" wrapText="1"/>
      <protection locked="0"/>
    </xf>
    <xf numFmtId="0" fontId="42" fillId="0" borderId="67" xfId="0" applyFont="1" applyFill="1" applyBorder="1" applyAlignment="1" applyProtection="1">
      <alignment horizontal="center" vertical="center" wrapText="1"/>
      <protection locked="0"/>
    </xf>
    <xf numFmtId="0" fontId="5" fillId="14" borderId="8" xfId="0" applyFont="1" applyFill="1" applyBorder="1" applyAlignment="1" applyProtection="1">
      <alignment horizontal="left" vertical="center" wrapText="1"/>
      <protection locked="0"/>
    </xf>
    <xf numFmtId="0" fontId="5" fillId="14" borderId="9" xfId="0" applyFont="1" applyFill="1" applyBorder="1" applyAlignment="1" applyProtection="1">
      <alignment horizontal="left" vertical="center" wrapText="1"/>
      <protection locked="0"/>
    </xf>
    <xf numFmtId="0" fontId="5" fillId="14" borderId="10" xfId="0" applyFont="1" applyFill="1" applyBorder="1" applyAlignment="1" applyProtection="1">
      <alignment horizontal="left" vertical="center" wrapText="1"/>
      <protection locked="0"/>
    </xf>
    <xf numFmtId="0" fontId="10" fillId="13" borderId="19" xfId="0" applyFont="1" applyFill="1" applyBorder="1" applyAlignment="1" applyProtection="1">
      <alignment horizontal="center" vertical="center"/>
    </xf>
    <xf numFmtId="0" fontId="10" fillId="13" borderId="1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26" fillId="3" borderId="8" xfId="0" applyFont="1" applyFill="1" applyBorder="1" applyAlignment="1" applyProtection="1">
      <alignment horizontal="center" vertical="center"/>
    </xf>
    <xf numFmtId="0" fontId="26" fillId="3" borderId="10" xfId="0" applyFont="1" applyFill="1" applyBorder="1" applyAlignment="1" applyProtection="1">
      <alignment horizontal="center" vertical="center"/>
    </xf>
    <xf numFmtId="0" fontId="26" fillId="17" borderId="8" xfId="0" applyFont="1" applyFill="1" applyBorder="1" applyAlignment="1" applyProtection="1">
      <alignment horizontal="center" vertical="center"/>
    </xf>
    <xf numFmtId="0" fontId="26" fillId="17" borderId="10" xfId="0" applyFont="1" applyFill="1" applyBorder="1" applyAlignment="1" applyProtection="1">
      <alignment horizontal="center" vertical="center"/>
    </xf>
    <xf numFmtId="0" fontId="62" fillId="13" borderId="83" xfId="0" applyFont="1" applyFill="1" applyBorder="1" applyAlignment="1">
      <alignment horizontal="center" vertical="center"/>
    </xf>
    <xf numFmtId="0" fontId="62" fillId="13" borderId="82" xfId="0" quotePrefix="1" applyFont="1" applyFill="1" applyBorder="1" applyAlignment="1">
      <alignment horizontal="center" vertical="center"/>
    </xf>
    <xf numFmtId="0" fontId="62" fillId="13" borderId="83" xfId="0" quotePrefix="1" applyFont="1" applyFill="1" applyBorder="1" applyAlignment="1">
      <alignment horizontal="center" vertical="center"/>
    </xf>
    <xf numFmtId="0" fontId="62" fillId="13" borderId="84" xfId="0" quotePrefix="1" applyFont="1" applyFill="1" applyBorder="1" applyAlignment="1">
      <alignment horizontal="center" vertical="center"/>
    </xf>
    <xf numFmtId="0" fontId="63" fillId="13" borderId="52" xfId="0" applyFont="1" applyFill="1" applyBorder="1" applyAlignment="1">
      <alignment horizontal="center" vertical="center"/>
    </xf>
    <xf numFmtId="0" fontId="63" fillId="13" borderId="66" xfId="0" applyFont="1" applyFill="1" applyBorder="1" applyAlignment="1">
      <alignment horizontal="center" vertical="center"/>
    </xf>
    <xf numFmtId="0" fontId="25" fillId="10" borderId="8" xfId="0" applyFont="1" applyFill="1" applyBorder="1" applyAlignment="1" applyProtection="1">
      <alignment horizontal="center" vertical="center"/>
      <protection locked="0"/>
    </xf>
    <xf numFmtId="0" fontId="25" fillId="10" borderId="9" xfId="0" applyFont="1" applyFill="1" applyBorder="1" applyAlignment="1" applyProtection="1">
      <alignment horizontal="center" vertical="center"/>
      <protection locked="0"/>
    </xf>
    <xf numFmtId="0" fontId="25" fillId="10" borderId="10" xfId="0" applyFont="1" applyFill="1" applyBorder="1" applyAlignment="1" applyProtection="1">
      <alignment horizontal="center" vertical="center"/>
      <protection locked="0"/>
    </xf>
    <xf numFmtId="0" fontId="11" fillId="14" borderId="8" xfId="0" applyFont="1" applyFill="1" applyBorder="1" applyAlignment="1" applyProtection="1">
      <alignment horizontal="left" vertical="center"/>
      <protection locked="0"/>
    </xf>
    <xf numFmtId="0" fontId="11" fillId="14" borderId="9" xfId="0" applyFont="1" applyFill="1" applyBorder="1" applyAlignment="1" applyProtection="1">
      <alignment horizontal="left" vertical="center"/>
      <protection locked="0"/>
    </xf>
    <xf numFmtId="0" fontId="11" fillId="14" borderId="10" xfId="0" applyFont="1" applyFill="1" applyBorder="1" applyAlignment="1" applyProtection="1">
      <alignment horizontal="left" vertical="center"/>
      <protection locked="0"/>
    </xf>
    <xf numFmtId="164" fontId="12" fillId="0" borderId="8" xfId="0" applyNumberFormat="1" applyFont="1" applyBorder="1" applyAlignment="1" applyProtection="1">
      <alignment horizontal="center" vertical="center"/>
      <protection locked="0"/>
    </xf>
    <xf numFmtId="164" fontId="12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5" fillId="21" borderId="8" xfId="0" applyFont="1" applyFill="1" applyBorder="1" applyAlignment="1" applyProtection="1">
      <alignment horizontal="left" vertical="center"/>
      <protection locked="0"/>
    </xf>
    <xf numFmtId="0" fontId="5" fillId="21" borderId="9" xfId="0" applyFont="1" applyFill="1" applyBorder="1" applyAlignment="1" applyProtection="1">
      <alignment horizontal="left" vertical="center"/>
      <protection locked="0"/>
    </xf>
    <xf numFmtId="0" fontId="5" fillId="21" borderId="10" xfId="0" applyFont="1" applyFill="1" applyBorder="1" applyAlignment="1" applyProtection="1">
      <alignment horizontal="left" vertical="center"/>
      <protection locked="0"/>
    </xf>
    <xf numFmtId="0" fontId="25" fillId="10" borderId="8" xfId="0" applyFont="1" applyFill="1" applyBorder="1" applyAlignment="1" applyProtection="1">
      <alignment horizontal="center"/>
      <protection locked="0"/>
    </xf>
    <xf numFmtId="0" fontId="25" fillId="10" borderId="9" xfId="0" applyFont="1" applyFill="1" applyBorder="1" applyAlignment="1" applyProtection="1">
      <alignment horizontal="center"/>
      <protection locked="0"/>
    </xf>
    <xf numFmtId="0" fontId="25" fillId="10" borderId="10" xfId="0" applyFont="1" applyFill="1" applyBorder="1" applyAlignment="1" applyProtection="1">
      <alignment horizontal="center"/>
      <protection locked="0"/>
    </xf>
    <xf numFmtId="0" fontId="13" fillId="13" borderId="115" xfId="0" quotePrefix="1" applyFont="1" applyFill="1" applyBorder="1" applyAlignment="1">
      <alignment horizontal="center" vertical="center"/>
    </xf>
    <xf numFmtId="0" fontId="13" fillId="13" borderId="20" xfId="0" quotePrefix="1" applyFont="1" applyFill="1" applyBorder="1" applyAlignment="1">
      <alignment horizontal="center" vertical="center"/>
    </xf>
    <xf numFmtId="0" fontId="13" fillId="13" borderId="116" xfId="0" quotePrefix="1" applyFont="1" applyFill="1" applyBorder="1" applyAlignment="1">
      <alignment horizontal="center" vertical="center"/>
    </xf>
    <xf numFmtId="0" fontId="63" fillId="13" borderId="19" xfId="0" applyFont="1" applyFill="1" applyBorder="1" applyAlignment="1">
      <alignment horizontal="center" vertical="center"/>
    </xf>
    <xf numFmtId="0" fontId="63" fillId="13" borderId="11" xfId="0" applyFont="1" applyFill="1" applyBorder="1" applyAlignment="1">
      <alignment horizontal="center" vertical="center"/>
    </xf>
    <xf numFmtId="0" fontId="80" fillId="13" borderId="19" xfId="0" applyFont="1" applyFill="1" applyBorder="1" applyAlignment="1" applyProtection="1">
      <alignment horizontal="center" vertical="center"/>
    </xf>
    <xf numFmtId="0" fontId="80" fillId="13" borderId="45" xfId="0" applyFont="1" applyFill="1" applyBorder="1" applyAlignment="1" applyProtection="1">
      <alignment horizontal="center" vertical="center"/>
    </xf>
    <xf numFmtId="0" fontId="80" fillId="13" borderId="11" xfId="0" applyFont="1" applyFill="1" applyBorder="1" applyAlignment="1" applyProtection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 applyProtection="1">
      <alignment horizontal="center" vertical="center" wrapText="1"/>
      <protection locked="0"/>
    </xf>
    <xf numFmtId="0" fontId="13" fillId="0" borderId="58" xfId="0" applyFont="1" applyBorder="1"/>
    <xf numFmtId="0" fontId="13" fillId="0" borderId="66" xfId="0" applyFont="1" applyBorder="1"/>
    <xf numFmtId="0" fontId="24" fillId="20" borderId="0" xfId="0" applyFont="1" applyFill="1" applyAlignment="1" applyProtection="1">
      <alignment horizontal="center" vertical="center"/>
      <protection locked="0"/>
    </xf>
    <xf numFmtId="0" fontId="5" fillId="0" borderId="5" xfId="0" quotePrefix="1" applyNumberFormat="1" applyFont="1" applyFill="1" applyBorder="1" applyAlignment="1" applyProtection="1">
      <alignment horizontal="center" vertical="center"/>
    </xf>
    <xf numFmtId="0" fontId="0" fillId="0" borderId="6" xfId="0" applyBorder="1"/>
    <xf numFmtId="0" fontId="0" fillId="0" borderId="7" xfId="0" applyBorder="1"/>
    <xf numFmtId="0" fontId="30" fillId="0" borderId="2" xfId="0" quotePrefix="1" applyFont="1" applyBorder="1" applyAlignment="1" applyProtection="1">
      <alignment horizontal="center" vertical="center"/>
    </xf>
    <xf numFmtId="0" fontId="30" fillId="0" borderId="5" xfId="0" quotePrefix="1" applyFont="1" applyBorder="1" applyAlignment="1" applyProtection="1">
      <alignment horizontal="center" vertical="center"/>
    </xf>
    <xf numFmtId="0" fontId="13" fillId="13" borderId="19" xfId="0" applyFont="1" applyFill="1" applyBorder="1" applyAlignment="1">
      <alignment horizontal="center" vertical="center"/>
    </xf>
    <xf numFmtId="0" fontId="13" fillId="13" borderId="11" xfId="0" applyFont="1" applyFill="1" applyBorder="1" applyAlignment="1">
      <alignment horizontal="center" vertical="center"/>
    </xf>
    <xf numFmtId="0" fontId="42" fillId="10" borderId="8" xfId="0" applyFont="1" applyFill="1" applyBorder="1" applyAlignment="1" applyProtection="1">
      <alignment horizontal="center" vertical="center" wrapText="1"/>
      <protection locked="0"/>
    </xf>
    <xf numFmtId="0" fontId="42" fillId="10" borderId="9" xfId="0" applyFont="1" applyFill="1" applyBorder="1" applyAlignment="1" applyProtection="1">
      <alignment horizontal="center" vertical="center" wrapText="1"/>
      <protection locked="0"/>
    </xf>
    <xf numFmtId="0" fontId="42" fillId="10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Protection="1">
      <protection locked="0"/>
    </xf>
    <xf numFmtId="0" fontId="76" fillId="10" borderId="0" xfId="0" applyFont="1" applyFill="1" applyAlignment="1" applyProtection="1">
      <alignment horizontal="center" vertical="center"/>
      <protection locked="0"/>
    </xf>
    <xf numFmtId="0" fontId="26" fillId="0" borderId="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40" fillId="13" borderId="45" xfId="0" applyFont="1" applyFill="1" applyBorder="1" applyAlignment="1">
      <alignment horizontal="center" vertical="center"/>
    </xf>
    <xf numFmtId="0" fontId="40" fillId="13" borderId="11" xfId="0" applyFont="1" applyFill="1" applyBorder="1" applyAlignment="1">
      <alignment horizontal="center" vertical="center"/>
    </xf>
    <xf numFmtId="0" fontId="40" fillId="13" borderId="19" xfId="0" applyFont="1" applyFill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3" fillId="28" borderId="8" xfId="0" applyFont="1" applyFill="1" applyBorder="1" applyAlignment="1">
      <alignment horizontal="center" vertical="center"/>
    </xf>
    <xf numFmtId="0" fontId="43" fillId="28" borderId="9" xfId="0" applyFont="1" applyFill="1" applyBorder="1" applyAlignment="1">
      <alignment horizontal="center" vertical="center"/>
    </xf>
    <xf numFmtId="0" fontId="43" fillId="28" borderId="10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27" borderId="19" xfId="0" applyFont="1" applyFill="1" applyBorder="1" applyAlignment="1">
      <alignment horizontal="center" vertical="center"/>
    </xf>
    <xf numFmtId="0" fontId="43" fillId="27" borderId="11" xfId="0" applyFont="1" applyFill="1" applyBorder="1" applyAlignment="1">
      <alignment horizontal="center" vertical="center"/>
    </xf>
    <xf numFmtId="0" fontId="43" fillId="28" borderId="19" xfId="0" applyFont="1" applyFill="1" applyBorder="1" applyAlignment="1">
      <alignment horizontal="center" vertical="center" wrapText="1"/>
    </xf>
    <xf numFmtId="0" fontId="43" fillId="28" borderId="11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73" fillId="29" borderId="19" xfId="0" applyFont="1" applyFill="1" applyBorder="1" applyAlignment="1">
      <alignment horizontal="center" vertical="center"/>
    </xf>
    <xf numFmtId="0" fontId="73" fillId="29" borderId="11" xfId="0" applyFont="1" applyFill="1" applyBorder="1" applyAlignment="1">
      <alignment horizontal="center" vertical="center"/>
    </xf>
    <xf numFmtId="0" fontId="42" fillId="3" borderId="8" xfId="0" applyFont="1" applyFill="1" applyBorder="1" applyAlignment="1">
      <alignment horizontal="center" vertical="center"/>
    </xf>
    <xf numFmtId="0" fontId="42" fillId="3" borderId="9" xfId="0" applyFont="1" applyFill="1" applyBorder="1" applyAlignment="1">
      <alignment horizontal="center" vertical="center"/>
    </xf>
    <xf numFmtId="0" fontId="42" fillId="3" borderId="10" xfId="0" applyFont="1" applyFill="1" applyBorder="1" applyAlignment="1">
      <alignment horizontal="center" vertical="center"/>
    </xf>
    <xf numFmtId="0" fontId="42" fillId="14" borderId="8" xfId="0" applyFont="1" applyFill="1" applyBorder="1" applyAlignment="1">
      <alignment horizontal="center" vertical="center"/>
    </xf>
    <xf numFmtId="0" fontId="42" fillId="14" borderId="9" xfId="0" applyFont="1" applyFill="1" applyBorder="1" applyAlignment="1">
      <alignment horizontal="center" vertical="center"/>
    </xf>
    <xf numFmtId="0" fontId="42" fillId="14" borderId="10" xfId="0" applyFont="1" applyFill="1" applyBorder="1" applyAlignment="1">
      <alignment horizontal="center" vertical="center"/>
    </xf>
    <xf numFmtId="0" fontId="42" fillId="26" borderId="8" xfId="0" applyFont="1" applyFill="1" applyBorder="1" applyAlignment="1">
      <alignment horizontal="center" vertical="center"/>
    </xf>
    <xf numFmtId="0" fontId="42" fillId="26" borderId="9" xfId="0" applyFont="1" applyFill="1" applyBorder="1" applyAlignment="1">
      <alignment horizontal="center" vertical="center"/>
    </xf>
    <xf numFmtId="0" fontId="42" fillId="26" borderId="10" xfId="0" applyFont="1" applyFill="1" applyBorder="1" applyAlignment="1">
      <alignment horizontal="center" vertical="center"/>
    </xf>
    <xf numFmtId="0" fontId="42" fillId="10" borderId="8" xfId="0" applyFont="1" applyFill="1" applyBorder="1" applyAlignment="1">
      <alignment horizontal="center" vertical="center"/>
    </xf>
    <xf numFmtId="0" fontId="42" fillId="10" borderId="9" xfId="0" applyFont="1" applyFill="1" applyBorder="1" applyAlignment="1">
      <alignment horizontal="center" vertical="center"/>
    </xf>
    <xf numFmtId="0" fontId="42" fillId="10" borderId="10" xfId="0" applyFont="1" applyFill="1" applyBorder="1" applyAlignment="1">
      <alignment horizontal="center" vertical="center"/>
    </xf>
    <xf numFmtId="0" fontId="42" fillId="7" borderId="8" xfId="0" applyFont="1" applyFill="1" applyBorder="1" applyAlignment="1">
      <alignment horizontal="center" vertical="center"/>
    </xf>
    <xf numFmtId="0" fontId="42" fillId="7" borderId="9" xfId="0" applyFont="1" applyFill="1" applyBorder="1" applyAlignment="1">
      <alignment horizontal="center" vertical="center"/>
    </xf>
    <xf numFmtId="0" fontId="42" fillId="7" borderId="10" xfId="0" applyFont="1" applyFill="1" applyBorder="1" applyAlignment="1">
      <alignment horizontal="center" vertical="center"/>
    </xf>
    <xf numFmtId="0" fontId="27" fillId="31" borderId="13" xfId="0" applyFont="1" applyFill="1" applyBorder="1" applyAlignment="1">
      <alignment horizontal="center" vertical="center"/>
    </xf>
    <xf numFmtId="0" fontId="27" fillId="31" borderId="14" xfId="0" applyFont="1" applyFill="1" applyBorder="1" applyAlignment="1">
      <alignment horizontal="center" vertical="center"/>
    </xf>
    <xf numFmtId="0" fontId="27" fillId="31" borderId="15" xfId="0" applyFont="1" applyFill="1" applyBorder="1" applyAlignment="1">
      <alignment horizontal="center" vertical="center"/>
    </xf>
    <xf numFmtId="0" fontId="27" fillId="31" borderId="16" xfId="0" applyFont="1" applyFill="1" applyBorder="1" applyAlignment="1">
      <alignment horizontal="center" vertical="center"/>
    </xf>
    <xf numFmtId="0" fontId="27" fillId="31" borderId="17" xfId="0" applyFont="1" applyFill="1" applyBorder="1" applyAlignment="1">
      <alignment horizontal="center" vertical="center"/>
    </xf>
    <xf numFmtId="0" fontId="27" fillId="31" borderId="18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56" fillId="0" borderId="13" xfId="0" applyFont="1" applyBorder="1" applyAlignment="1" applyProtection="1">
      <alignment horizontal="center" vertical="center"/>
      <protection locked="0"/>
    </xf>
    <xf numFmtId="0" fontId="56" fillId="0" borderId="14" xfId="0" applyFont="1" applyBorder="1" applyAlignment="1" applyProtection="1">
      <alignment horizontal="center" vertical="center"/>
      <protection locked="0"/>
    </xf>
    <xf numFmtId="0" fontId="56" fillId="0" borderId="15" xfId="0" applyFont="1" applyBorder="1" applyAlignment="1" applyProtection="1">
      <alignment horizontal="center" vertical="center"/>
      <protection locked="0"/>
    </xf>
    <xf numFmtId="0" fontId="56" fillId="0" borderId="16" xfId="0" applyFont="1" applyBorder="1" applyAlignment="1" applyProtection="1">
      <alignment horizontal="center" vertical="center"/>
      <protection locked="0"/>
    </xf>
    <xf numFmtId="0" fontId="56" fillId="0" borderId="17" xfId="0" applyFont="1" applyBorder="1" applyAlignment="1" applyProtection="1">
      <alignment horizontal="center" vertical="center"/>
      <protection locked="0"/>
    </xf>
    <xf numFmtId="0" fontId="56" fillId="0" borderId="1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27" xfId="0" applyFont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5" xfId="0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119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81" xfId="0" applyFont="1" applyFill="1" applyBorder="1" applyAlignment="1" applyProtection="1">
      <alignment horizontal="center" vertical="center"/>
      <protection locked="0"/>
    </xf>
    <xf numFmtId="0" fontId="43" fillId="0" borderId="44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43" fillId="0" borderId="137" xfId="0" applyFont="1" applyBorder="1" applyAlignment="1">
      <alignment horizontal="center" vertical="center"/>
    </xf>
    <xf numFmtId="0" fontId="73" fillId="24" borderId="2" xfId="0" applyFont="1" applyFill="1" applyBorder="1" applyAlignment="1" applyProtection="1">
      <alignment horizontal="center" vertical="center"/>
    </xf>
    <xf numFmtId="0" fontId="73" fillId="24" borderId="3" xfId="0" applyFont="1" applyFill="1" applyBorder="1" applyAlignment="1" applyProtection="1">
      <alignment horizontal="center" vertical="center"/>
    </xf>
    <xf numFmtId="0" fontId="73" fillId="24" borderId="80" xfId="0" applyFont="1" applyFill="1" applyBorder="1" applyAlignment="1" applyProtection="1">
      <alignment horizontal="center" vertical="center"/>
    </xf>
    <xf numFmtId="0" fontId="13" fillId="25" borderId="8" xfId="0" applyFont="1" applyFill="1" applyBorder="1" applyAlignment="1">
      <alignment horizontal="center" vertical="center"/>
    </xf>
    <xf numFmtId="0" fontId="13" fillId="25" borderId="9" xfId="0" applyFont="1" applyFill="1" applyBorder="1" applyAlignment="1">
      <alignment horizontal="center" vertical="center"/>
    </xf>
    <xf numFmtId="0" fontId="13" fillId="25" borderId="10" xfId="0" applyFont="1" applyFill="1" applyBorder="1" applyAlignment="1">
      <alignment horizontal="center" vertical="center"/>
    </xf>
    <xf numFmtId="0" fontId="44" fillId="0" borderId="133" xfId="0" applyFont="1" applyFill="1" applyBorder="1" applyAlignment="1" applyProtection="1">
      <alignment horizontal="center" vertical="center" wrapText="1"/>
      <protection locked="0"/>
    </xf>
    <xf numFmtId="0" fontId="43" fillId="0" borderId="126" xfId="2" quotePrefix="1" applyFont="1" applyFill="1" applyBorder="1" applyAlignment="1" applyProtection="1">
      <alignment horizontal="center" vertical="center" wrapText="1"/>
    </xf>
    <xf numFmtId="0" fontId="43" fillId="0" borderId="138" xfId="2" quotePrefix="1" applyFont="1" applyFill="1" applyBorder="1" applyAlignment="1" applyProtection="1">
      <alignment horizontal="center" vertical="center" wrapText="1"/>
    </xf>
    <xf numFmtId="0" fontId="43" fillId="0" borderId="131" xfId="2" quotePrefix="1" applyFont="1" applyFill="1" applyBorder="1" applyAlignment="1" applyProtection="1">
      <alignment horizontal="center" vertical="center" wrapText="1"/>
    </xf>
    <xf numFmtId="0" fontId="43" fillId="0" borderId="5" xfId="2" quotePrefix="1" applyNumberFormat="1" applyFont="1" applyFill="1" applyBorder="1" applyAlignment="1" applyProtection="1">
      <alignment horizontal="center" vertical="center" wrapText="1"/>
    </xf>
    <xf numFmtId="0" fontId="43" fillId="0" borderId="6" xfId="2" quotePrefix="1" applyNumberFormat="1" applyFont="1" applyFill="1" applyBorder="1" applyAlignment="1" applyProtection="1">
      <alignment horizontal="center" vertical="center" wrapText="1"/>
    </xf>
    <xf numFmtId="0" fontId="43" fillId="0" borderId="81" xfId="2" quotePrefix="1" applyNumberFormat="1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35" xfId="0" applyFont="1" applyFill="1" applyBorder="1" applyAlignment="1" applyProtection="1">
      <alignment horizontal="center" vertical="center"/>
      <protection locked="0"/>
    </xf>
    <xf numFmtId="0" fontId="43" fillId="0" borderId="5" xfId="0" applyFont="1" applyBorder="1" applyAlignment="1">
      <alignment horizontal="center" vertical="center"/>
    </xf>
    <xf numFmtId="0" fontId="10" fillId="26" borderId="19" xfId="0" applyFont="1" applyFill="1" applyBorder="1" applyAlignment="1">
      <alignment horizontal="center" vertical="center" wrapText="1"/>
    </xf>
    <xf numFmtId="0" fontId="10" fillId="26" borderId="11" xfId="0" applyFont="1" applyFill="1" applyBorder="1" applyAlignment="1">
      <alignment horizontal="center" vertical="center" wrapText="1"/>
    </xf>
    <xf numFmtId="0" fontId="9" fillId="27" borderId="19" xfId="0" applyFont="1" applyFill="1" applyBorder="1" applyAlignment="1">
      <alignment horizontal="center" vertical="center"/>
    </xf>
    <xf numFmtId="0" fontId="9" fillId="27" borderId="11" xfId="0" applyFont="1" applyFill="1" applyBorder="1" applyAlignment="1">
      <alignment horizontal="center" vertical="center"/>
    </xf>
    <xf numFmtId="0" fontId="9" fillId="28" borderId="19" xfId="0" applyFont="1" applyFill="1" applyBorder="1" applyAlignment="1">
      <alignment horizontal="center" vertical="center" wrapText="1"/>
    </xf>
    <xf numFmtId="0" fontId="9" fillId="28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3" fillId="29" borderId="19" xfId="0" applyFont="1" applyFill="1" applyBorder="1" applyAlignment="1">
      <alignment horizontal="center" vertical="center"/>
    </xf>
    <xf numFmtId="0" fontId="33" fillId="29" borderId="11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4" fillId="0" borderId="0" xfId="0" applyFont="1" applyFill="1" applyBorder="1" applyProtection="1">
      <protection locked="0"/>
    </xf>
    <xf numFmtId="0" fontId="43" fillId="32" borderId="16" xfId="0" applyFont="1" applyFill="1" applyBorder="1" applyAlignment="1">
      <alignment horizontal="center" vertical="center"/>
    </xf>
    <xf numFmtId="0" fontId="43" fillId="32" borderId="18" xfId="0" applyFont="1" applyFill="1" applyBorder="1" applyAlignment="1">
      <alignment horizontal="center" vertical="center"/>
    </xf>
    <xf numFmtId="0" fontId="26" fillId="3" borderId="8" xfId="0" quotePrefix="1" applyFont="1" applyFill="1" applyBorder="1" applyAlignment="1" applyProtection="1">
      <alignment horizontal="center" vertical="center"/>
      <protection locked="0"/>
    </xf>
    <xf numFmtId="0" fontId="26" fillId="17" borderId="8" xfId="0" quotePrefix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 vertical="center"/>
    </xf>
    <xf numFmtId="0" fontId="44" fillId="0" borderId="129" xfId="0" applyFont="1" applyFill="1" applyBorder="1" applyAlignment="1" applyProtection="1">
      <alignment horizontal="center" vertical="center" wrapText="1"/>
      <protection locked="0"/>
    </xf>
    <xf numFmtId="0" fontId="44" fillId="0" borderId="130" xfId="0" applyFont="1" applyFill="1" applyBorder="1" applyAlignment="1" applyProtection="1">
      <alignment horizontal="center" vertical="center" wrapText="1"/>
      <protection locked="0"/>
    </xf>
    <xf numFmtId="0" fontId="13" fillId="0" borderId="126" xfId="0" quotePrefix="1" applyFont="1" applyFill="1" applyBorder="1" applyAlignment="1" applyProtection="1">
      <alignment horizontal="center" vertical="center"/>
    </xf>
    <xf numFmtId="0" fontId="13" fillId="0" borderId="131" xfId="0" quotePrefix="1" applyFont="1" applyFill="1" applyBorder="1" applyAlignment="1" applyProtection="1">
      <alignment horizontal="center" vertical="center"/>
    </xf>
    <xf numFmtId="0" fontId="13" fillId="0" borderId="5" xfId="0" quotePrefix="1" applyFont="1" applyFill="1" applyBorder="1" applyAlignment="1" applyProtection="1">
      <alignment horizontal="center" vertical="center"/>
    </xf>
    <xf numFmtId="0" fontId="13" fillId="0" borderId="81" xfId="0" quotePrefix="1" applyFont="1" applyFill="1" applyBorder="1" applyAlignment="1" applyProtection="1">
      <alignment horizontal="center" vertical="center"/>
    </xf>
    <xf numFmtId="0" fontId="13" fillId="13" borderId="111" xfId="0" applyFont="1" applyFill="1" applyBorder="1" applyAlignment="1" applyProtection="1">
      <alignment horizontal="center" vertical="center"/>
    </xf>
    <xf numFmtId="0" fontId="13" fillId="13" borderId="130" xfId="0" applyFont="1" applyFill="1" applyBorder="1" applyAlignment="1" applyProtection="1">
      <alignment horizontal="center" vertical="center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13" fillId="0" borderId="93" xfId="0" quotePrefix="1" applyFont="1" applyFill="1" applyBorder="1" applyAlignment="1" applyProtection="1">
      <alignment horizontal="center" vertical="center"/>
    </xf>
    <xf numFmtId="0" fontId="13" fillId="0" borderId="132" xfId="0" quotePrefix="1" applyFont="1" applyFill="1" applyBorder="1" applyAlignment="1" applyProtection="1">
      <alignment horizontal="center" vertical="center"/>
    </xf>
    <xf numFmtId="0" fontId="13" fillId="0" borderId="111" xfId="0" quotePrefix="1" applyFont="1" applyFill="1" applyBorder="1" applyAlignment="1" applyProtection="1">
      <alignment horizontal="center" vertical="center"/>
    </xf>
    <xf numFmtId="0" fontId="13" fillId="0" borderId="130" xfId="0" quotePrefix="1" applyFont="1" applyFill="1" applyBorder="1" applyAlignment="1" applyProtection="1">
      <alignment horizontal="center" vertical="center"/>
    </xf>
    <xf numFmtId="0" fontId="13" fillId="0" borderId="2" xfId="0" quotePrefix="1" applyFont="1" applyFill="1" applyBorder="1" applyAlignment="1" applyProtection="1">
      <alignment horizontal="center" vertical="center"/>
    </xf>
    <xf numFmtId="0" fontId="13" fillId="0" borderId="85" xfId="0" quotePrefix="1" applyFont="1" applyFill="1" applyBorder="1" applyAlignment="1" applyProtection="1">
      <alignment horizontal="center" vertical="center"/>
    </xf>
    <xf numFmtId="0" fontId="27" fillId="3" borderId="0" xfId="0" applyFont="1" applyFill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8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93" xfId="0" applyFont="1" applyFill="1" applyBorder="1" applyAlignment="1" applyProtection="1">
      <alignment horizontal="center" vertical="center"/>
      <protection locked="0"/>
    </xf>
    <xf numFmtId="0" fontId="9" fillId="0" borderId="118" xfId="0" applyFont="1" applyFill="1" applyBorder="1" applyAlignment="1" applyProtection="1">
      <alignment horizontal="center" vertical="center"/>
      <protection locked="0"/>
    </xf>
    <xf numFmtId="0" fontId="9" fillId="0" borderId="132" xfId="0" applyFont="1" applyFill="1" applyBorder="1" applyAlignment="1" applyProtection="1">
      <alignment horizontal="center" vertical="center"/>
      <protection locked="0"/>
    </xf>
    <xf numFmtId="0" fontId="43" fillId="32" borderId="122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/>
    </xf>
    <xf numFmtId="0" fontId="43" fillId="0" borderId="2" xfId="2" applyFont="1" applyFill="1" applyBorder="1" applyAlignment="1" applyProtection="1">
      <alignment horizontal="center" vertical="center"/>
    </xf>
    <xf numFmtId="0" fontId="43" fillId="0" borderId="3" xfId="2" applyFont="1" applyFill="1" applyBorder="1" applyAlignment="1" applyProtection="1">
      <alignment horizontal="center" vertical="center"/>
    </xf>
    <xf numFmtId="0" fontId="43" fillId="0" borderId="85" xfId="2" applyFont="1" applyFill="1" applyBorder="1" applyAlignment="1" applyProtection="1">
      <alignment horizontal="center" vertical="center"/>
    </xf>
    <xf numFmtId="0" fontId="43" fillId="0" borderId="111" xfId="2" quotePrefix="1" applyFont="1" applyFill="1" applyBorder="1" applyAlignment="1" applyProtection="1">
      <alignment horizontal="center" vertical="center"/>
    </xf>
    <xf numFmtId="0" fontId="43" fillId="0" borderId="139" xfId="2" quotePrefix="1" applyFont="1" applyFill="1" applyBorder="1" applyAlignment="1" applyProtection="1">
      <alignment horizontal="center" vertical="center"/>
    </xf>
    <xf numFmtId="0" fontId="43" fillId="0" borderId="130" xfId="2" quotePrefix="1" applyFont="1" applyFill="1" applyBorder="1" applyAlignment="1" applyProtection="1">
      <alignment horizontal="center" vertical="center"/>
    </xf>
    <xf numFmtId="0" fontId="43" fillId="0" borderId="126" xfId="2" applyFont="1" applyFill="1" applyBorder="1" applyAlignment="1" applyProtection="1">
      <alignment horizontal="center" vertical="center" wrapText="1"/>
    </xf>
    <xf numFmtId="0" fontId="43" fillId="0" borderId="138" xfId="2" applyFont="1" applyFill="1" applyBorder="1" applyAlignment="1" applyProtection="1">
      <alignment horizontal="center" vertical="center" wrapText="1"/>
    </xf>
    <xf numFmtId="0" fontId="43" fillId="0" borderId="131" xfId="2" applyFont="1" applyFill="1" applyBorder="1" applyAlignment="1" applyProtection="1">
      <alignment horizontal="center" vertical="center" wrapText="1"/>
    </xf>
    <xf numFmtId="0" fontId="43" fillId="0" borderId="5" xfId="2" applyFont="1" applyFill="1" applyBorder="1" applyAlignment="1" applyProtection="1">
      <alignment horizontal="center" vertical="center" wrapText="1"/>
    </xf>
    <xf numFmtId="0" fontId="43" fillId="0" borderId="6" xfId="2" applyFont="1" applyFill="1" applyBorder="1" applyAlignment="1" applyProtection="1">
      <alignment horizontal="center" vertical="center" wrapText="1"/>
    </xf>
    <xf numFmtId="0" fontId="43" fillId="0" borderId="81" xfId="2" applyFont="1" applyFill="1" applyBorder="1" applyAlignment="1" applyProtection="1">
      <alignment horizontal="center" vertical="center" wrapText="1"/>
    </xf>
    <xf numFmtId="0" fontId="43" fillId="0" borderId="2" xfId="2" applyFont="1" applyFill="1" applyBorder="1" applyAlignment="1" applyProtection="1">
      <alignment horizontal="center" vertical="center" wrapText="1"/>
    </xf>
    <xf numFmtId="0" fontId="43" fillId="0" borderId="3" xfId="2" applyFont="1" applyFill="1" applyBorder="1" applyAlignment="1" applyProtection="1">
      <alignment horizontal="center" vertical="center" wrapText="1"/>
    </xf>
    <xf numFmtId="0" fontId="43" fillId="0" borderId="85" xfId="2" applyFont="1" applyFill="1" applyBorder="1" applyAlignment="1" applyProtection="1">
      <alignment horizontal="center" vertical="center" wrapText="1"/>
    </xf>
    <xf numFmtId="0" fontId="43" fillId="0" borderId="111" xfId="2" applyFont="1" applyFill="1" applyBorder="1" applyAlignment="1" applyProtection="1">
      <alignment horizontal="center" vertical="center" wrapText="1"/>
    </xf>
    <xf numFmtId="0" fontId="43" fillId="0" borderId="139" xfId="2" applyFont="1" applyFill="1" applyBorder="1" applyAlignment="1" applyProtection="1">
      <alignment horizontal="center" vertical="center" wrapText="1"/>
    </xf>
    <xf numFmtId="0" fontId="43" fillId="0" borderId="130" xfId="2" applyFont="1" applyFill="1" applyBorder="1" applyAlignment="1" applyProtection="1">
      <alignment horizontal="center" vertical="center" wrapText="1"/>
    </xf>
    <xf numFmtId="0" fontId="43" fillId="0" borderId="2" xfId="2" quotePrefix="1" applyFont="1" applyFill="1" applyBorder="1" applyAlignment="1" applyProtection="1">
      <alignment horizontal="center" vertical="center" wrapText="1"/>
    </xf>
    <xf numFmtId="0" fontId="43" fillId="0" borderId="3" xfId="2" quotePrefix="1" applyFont="1" applyFill="1" applyBorder="1" applyAlignment="1" applyProtection="1">
      <alignment horizontal="center" vertical="center" wrapText="1"/>
    </xf>
    <xf numFmtId="0" fontId="43" fillId="0" borderId="4" xfId="2" quotePrefix="1" applyFont="1" applyFill="1" applyBorder="1" applyAlignment="1" applyProtection="1">
      <alignment horizontal="center" vertical="center" wrapText="1"/>
    </xf>
    <xf numFmtId="0" fontId="43" fillId="0" borderId="5" xfId="2" quotePrefix="1" applyFont="1" applyFill="1" applyBorder="1" applyAlignment="1" applyProtection="1">
      <alignment horizontal="center" vertical="center" wrapText="1"/>
    </xf>
    <xf numFmtId="0" fontId="43" fillId="0" borderId="6" xfId="2" quotePrefix="1" applyFont="1" applyFill="1" applyBorder="1" applyAlignment="1" applyProtection="1">
      <alignment horizontal="center" vertical="center" wrapText="1"/>
    </xf>
    <xf numFmtId="0" fontId="43" fillId="0" borderId="7" xfId="2" quotePrefix="1" applyFont="1" applyFill="1" applyBorder="1" applyAlignment="1" applyProtection="1">
      <alignment horizontal="center" vertical="center" wrapText="1"/>
    </xf>
    <xf numFmtId="0" fontId="10" fillId="3" borderId="2" xfId="0" quotePrefix="1" applyFont="1" applyFill="1" applyBorder="1" applyAlignment="1" applyProtection="1">
      <alignment horizontal="center" vertical="center"/>
    </xf>
    <xf numFmtId="0" fontId="10" fillId="3" borderId="3" xfId="0" quotePrefix="1" applyFont="1" applyFill="1" applyBorder="1" applyAlignment="1" applyProtection="1">
      <alignment horizontal="center" vertical="center"/>
    </xf>
    <xf numFmtId="0" fontId="10" fillId="3" borderId="4" xfId="0" quotePrefix="1" applyFont="1" applyFill="1" applyBorder="1" applyAlignment="1" applyProtection="1">
      <alignment horizontal="center" vertical="center"/>
    </xf>
    <xf numFmtId="0" fontId="10" fillId="21" borderId="5" xfId="0" quotePrefix="1" applyFont="1" applyFill="1" applyBorder="1" applyAlignment="1" applyProtection="1">
      <alignment horizontal="center" vertical="center"/>
    </xf>
    <xf numFmtId="0" fontId="10" fillId="21" borderId="6" xfId="0" quotePrefix="1" applyFont="1" applyFill="1" applyBorder="1" applyAlignment="1" applyProtection="1">
      <alignment horizontal="center" vertical="center"/>
    </xf>
    <xf numFmtId="0" fontId="10" fillId="21" borderId="7" xfId="0" quotePrefix="1" applyFont="1" applyFill="1" applyBorder="1" applyAlignment="1" applyProtection="1">
      <alignment horizontal="center" vertical="center"/>
    </xf>
    <xf numFmtId="0" fontId="9" fillId="3" borderId="2" xfId="0" quotePrefix="1" applyFont="1" applyFill="1" applyBorder="1" applyAlignment="1" applyProtection="1">
      <alignment horizontal="center" vertical="center"/>
    </xf>
    <xf numFmtId="0" fontId="9" fillId="3" borderId="3" xfId="0" quotePrefix="1" applyFont="1" applyFill="1" applyBorder="1" applyAlignment="1" applyProtection="1">
      <alignment horizontal="center" vertical="center"/>
    </xf>
    <xf numFmtId="0" fontId="9" fillId="3" borderId="4" xfId="0" quotePrefix="1" applyFont="1" applyFill="1" applyBorder="1" applyAlignment="1" applyProtection="1">
      <alignment horizontal="center" vertical="center"/>
    </xf>
    <xf numFmtId="0" fontId="34" fillId="3" borderId="13" xfId="0" applyFont="1" applyFill="1" applyBorder="1" applyAlignment="1" applyProtection="1">
      <alignment horizontal="center" vertical="center" wrapText="1"/>
      <protection locked="0"/>
    </xf>
    <xf numFmtId="0" fontId="34" fillId="3" borderId="15" xfId="0" applyFont="1" applyFill="1" applyBorder="1" applyAlignment="1" applyProtection="1">
      <alignment horizontal="center" vertical="center" wrapText="1"/>
      <protection locked="0"/>
    </xf>
    <xf numFmtId="0" fontId="34" fillId="3" borderId="16" xfId="0" applyFont="1" applyFill="1" applyBorder="1" applyAlignment="1" applyProtection="1">
      <alignment horizontal="center" vertical="center" wrapText="1"/>
      <protection locked="0"/>
    </xf>
    <xf numFmtId="0" fontId="34" fillId="3" borderId="18" xfId="0" applyFont="1" applyFill="1" applyBorder="1" applyAlignment="1" applyProtection="1">
      <alignment horizontal="center" vertical="center" wrapText="1"/>
      <protection locked="0"/>
    </xf>
    <xf numFmtId="0" fontId="16" fillId="12" borderId="8" xfId="0" applyFont="1" applyFill="1" applyBorder="1" applyAlignment="1" applyProtection="1">
      <alignment horizontal="center"/>
      <protection locked="0"/>
    </xf>
    <xf numFmtId="0" fontId="16" fillId="12" borderId="9" xfId="0" applyFont="1" applyFill="1" applyBorder="1" applyAlignment="1" applyProtection="1">
      <alignment horizontal="center"/>
      <protection locked="0"/>
    </xf>
    <xf numFmtId="0" fontId="16" fillId="12" borderId="10" xfId="0" applyFont="1" applyFill="1" applyBorder="1" applyAlignment="1" applyProtection="1">
      <alignment horizontal="center"/>
      <protection locked="0"/>
    </xf>
    <xf numFmtId="0" fontId="21" fillId="0" borderId="30" xfId="0" applyFont="1" applyBorder="1" applyAlignment="1" applyProtection="1">
      <alignment horizontal="center"/>
      <protection locked="0"/>
    </xf>
    <xf numFmtId="0" fontId="21" fillId="0" borderId="36" xfId="0" applyFont="1" applyBorder="1" applyAlignment="1" applyProtection="1">
      <alignment horizontal="center"/>
      <protection locked="0"/>
    </xf>
    <xf numFmtId="0" fontId="21" fillId="0" borderId="38" xfId="0" applyFont="1" applyBorder="1" applyAlignment="1" applyProtection="1">
      <alignment horizontal="center"/>
      <protection locked="0"/>
    </xf>
    <xf numFmtId="0" fontId="13" fillId="0" borderId="2" xfId="0" quotePrefix="1" applyFont="1" applyFill="1" applyBorder="1" applyAlignment="1" applyProtection="1">
      <alignment horizontal="center"/>
    </xf>
    <xf numFmtId="0" fontId="13" fillId="0" borderId="3" xfId="0" quotePrefix="1" applyFont="1" applyFill="1" applyBorder="1" applyAlignment="1" applyProtection="1">
      <alignment horizontal="center"/>
    </xf>
    <xf numFmtId="0" fontId="13" fillId="0" borderId="4" xfId="0" quotePrefix="1" applyFont="1" applyFill="1" applyBorder="1" applyAlignment="1" applyProtection="1">
      <alignment horizontal="center"/>
    </xf>
    <xf numFmtId="0" fontId="13" fillId="0" borderId="40" xfId="0" quotePrefix="1" applyFont="1" applyFill="1" applyBorder="1" applyAlignment="1" applyProtection="1">
      <alignment horizontal="center"/>
    </xf>
    <xf numFmtId="0" fontId="13" fillId="0" borderId="41" xfId="0" quotePrefix="1" applyFont="1" applyFill="1" applyBorder="1" applyAlignment="1" applyProtection="1">
      <alignment horizontal="center"/>
    </xf>
    <xf numFmtId="0" fontId="13" fillId="0" borderId="42" xfId="0" quotePrefix="1" applyFont="1" applyFill="1" applyBorder="1" applyAlignment="1" applyProtection="1">
      <alignment horizontal="center"/>
    </xf>
    <xf numFmtId="0" fontId="13" fillId="0" borderId="40" xfId="0" quotePrefix="1" applyFont="1" applyFill="1" applyBorder="1" applyAlignment="1" applyProtection="1">
      <alignment horizontal="center" vertical="center"/>
    </xf>
    <xf numFmtId="0" fontId="13" fillId="0" borderId="41" xfId="0" quotePrefix="1" applyFont="1" applyFill="1" applyBorder="1" applyAlignment="1" applyProtection="1">
      <alignment horizontal="center" vertical="center"/>
    </xf>
    <xf numFmtId="0" fontId="13" fillId="0" borderId="42" xfId="0" quotePrefix="1" applyFont="1" applyFill="1" applyBorder="1" applyAlignment="1" applyProtection="1">
      <alignment horizontal="center" vertical="center"/>
    </xf>
    <xf numFmtId="0" fontId="13" fillId="0" borderId="6" xfId="0" quotePrefix="1" applyFont="1" applyFill="1" applyBorder="1" applyAlignment="1" applyProtection="1">
      <alignment horizontal="center" vertical="center"/>
    </xf>
    <xf numFmtId="0" fontId="13" fillId="0" borderId="7" xfId="0" quotePrefix="1" applyFont="1" applyFill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center"/>
      <protection locked="0"/>
    </xf>
    <xf numFmtId="0" fontId="21" fillId="0" borderId="37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/>
      <protection locked="0"/>
    </xf>
    <xf numFmtId="0" fontId="21" fillId="0" borderId="23" xfId="0" applyFont="1" applyBorder="1" applyAlignment="1" applyProtection="1">
      <alignment horizontal="center"/>
      <protection locked="0"/>
    </xf>
    <xf numFmtId="0" fontId="21" fillId="0" borderId="39" xfId="0" applyFont="1" applyBorder="1" applyAlignment="1" applyProtection="1">
      <alignment horizontal="center"/>
      <protection locked="0"/>
    </xf>
    <xf numFmtId="0" fontId="21" fillId="0" borderId="34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6" fillId="0" borderId="20" xfId="0" applyFont="1" applyFill="1" applyBorder="1" applyAlignment="1" applyProtection="1">
      <alignment horizontal="center"/>
      <protection locked="0"/>
    </xf>
    <xf numFmtId="0" fontId="13" fillId="0" borderId="5" xfId="0" quotePrefix="1" applyFont="1" applyFill="1" applyBorder="1" applyAlignment="1" applyProtection="1">
      <alignment horizontal="center"/>
    </xf>
    <xf numFmtId="0" fontId="13" fillId="0" borderId="6" xfId="0" quotePrefix="1" applyFont="1" applyFill="1" applyBorder="1" applyAlignment="1" applyProtection="1">
      <alignment horizontal="center"/>
    </xf>
    <xf numFmtId="0" fontId="13" fillId="0" borderId="7" xfId="0" quotePrefix="1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13" fillId="0" borderId="8" xfId="0" quotePrefix="1" applyFont="1" applyFill="1" applyBorder="1" applyAlignment="1" applyProtection="1">
      <alignment horizontal="center" vertical="center"/>
    </xf>
    <xf numFmtId="0" fontId="13" fillId="0" borderId="9" xfId="0" quotePrefix="1" applyFont="1" applyFill="1" applyBorder="1" applyAlignment="1" applyProtection="1">
      <alignment horizontal="center" vertical="center"/>
    </xf>
    <xf numFmtId="0" fontId="13" fillId="0" borderId="10" xfId="0" quotePrefix="1" applyFont="1" applyFill="1" applyBorder="1" applyAlignment="1" applyProtection="1">
      <alignment horizontal="center" vertical="center"/>
    </xf>
    <xf numFmtId="0" fontId="13" fillId="0" borderId="8" xfId="0" quotePrefix="1" applyFont="1" applyFill="1" applyBorder="1" applyAlignment="1" applyProtection="1">
      <alignment horizontal="center"/>
    </xf>
    <xf numFmtId="0" fontId="13" fillId="0" borderId="9" xfId="0" quotePrefix="1" applyFont="1" applyFill="1" applyBorder="1" applyAlignment="1" applyProtection="1">
      <alignment horizontal="center"/>
    </xf>
    <xf numFmtId="0" fontId="13" fillId="0" borderId="10" xfId="0" quotePrefix="1" applyFont="1" applyFill="1" applyBorder="1" applyAlignment="1" applyProtection="1">
      <alignment horizontal="center"/>
    </xf>
    <xf numFmtId="0" fontId="13" fillId="0" borderId="8" xfId="0" applyFont="1" applyFill="1" applyBorder="1" applyAlignment="1" applyProtection="1">
      <alignment horizontal="center"/>
    </xf>
    <xf numFmtId="0" fontId="13" fillId="0" borderId="9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/>
    </xf>
    <xf numFmtId="0" fontId="13" fillId="0" borderId="16" xfId="0" quotePrefix="1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3" xfId="0" quotePrefix="1" applyFont="1" applyFill="1" applyBorder="1" applyAlignment="1" applyProtection="1">
      <alignment horizontal="center" vertical="center"/>
    </xf>
    <xf numFmtId="0" fontId="13" fillId="0" borderId="4" xfId="0" quotePrefix="1" applyFont="1" applyFill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3" fillId="9" borderId="8" xfId="0" applyFont="1" applyFill="1" applyBorder="1" applyAlignment="1" applyProtection="1">
      <alignment horizontal="center" vertical="center"/>
    </xf>
    <xf numFmtId="0" fontId="13" fillId="9" borderId="9" xfId="0" applyFont="1" applyFill="1" applyBorder="1" applyAlignment="1" applyProtection="1">
      <alignment horizontal="center" vertical="center"/>
    </xf>
    <xf numFmtId="0" fontId="13" fillId="9" borderId="10" xfId="0" applyFont="1" applyFill="1" applyBorder="1" applyAlignment="1" applyProtection="1">
      <alignment horizontal="center" vertical="center"/>
    </xf>
    <xf numFmtId="0" fontId="13" fillId="9" borderId="2" xfId="0" quotePrefix="1" applyFont="1" applyFill="1" applyBorder="1" applyAlignment="1" applyProtection="1">
      <alignment horizontal="center"/>
    </xf>
    <xf numFmtId="0" fontId="13" fillId="9" borderId="3" xfId="0" applyFont="1" applyFill="1" applyBorder="1" applyAlignment="1" applyProtection="1">
      <alignment horizontal="center"/>
    </xf>
    <xf numFmtId="0" fontId="13" fillId="9" borderId="4" xfId="0" applyFont="1" applyFill="1" applyBorder="1" applyAlignment="1" applyProtection="1">
      <alignment horizontal="center"/>
    </xf>
    <xf numFmtId="0" fontId="13" fillId="10" borderId="8" xfId="0" quotePrefix="1" applyFont="1" applyFill="1" applyBorder="1" applyAlignment="1" applyProtection="1">
      <alignment horizontal="center"/>
    </xf>
    <xf numFmtId="0" fontId="13" fillId="10" borderId="9" xfId="0" quotePrefix="1" applyFont="1" applyFill="1" applyBorder="1" applyAlignment="1" applyProtection="1">
      <alignment horizontal="center"/>
    </xf>
    <xf numFmtId="0" fontId="13" fillId="10" borderId="10" xfId="0" quotePrefix="1" applyFont="1" applyFill="1" applyBorder="1" applyAlignment="1" applyProtection="1">
      <alignment horizontal="center"/>
    </xf>
    <xf numFmtId="0" fontId="13" fillId="11" borderId="8" xfId="0" quotePrefix="1" applyFont="1" applyFill="1" applyBorder="1" applyAlignment="1" applyProtection="1">
      <alignment horizontal="center"/>
    </xf>
    <xf numFmtId="0" fontId="13" fillId="11" borderId="9" xfId="0" applyFont="1" applyFill="1" applyBorder="1" applyAlignment="1" applyProtection="1">
      <alignment horizontal="center"/>
    </xf>
    <xf numFmtId="0" fontId="13" fillId="11" borderId="10" xfId="0" applyFont="1" applyFill="1" applyBorder="1" applyAlignment="1" applyProtection="1">
      <alignment horizontal="center"/>
    </xf>
    <xf numFmtId="0" fontId="18" fillId="0" borderId="8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3" fillId="0" borderId="16" xfId="0" quotePrefix="1" applyFont="1" applyFill="1" applyBorder="1" applyAlignment="1" applyProtection="1">
      <alignment horizontal="center"/>
    </xf>
    <xf numFmtId="0" fontId="13" fillId="0" borderId="17" xfId="0" quotePrefix="1" applyFont="1" applyFill="1" applyBorder="1" applyAlignment="1" applyProtection="1">
      <alignment horizontal="center"/>
    </xf>
    <xf numFmtId="0" fontId="13" fillId="0" borderId="18" xfId="0" quotePrefix="1" applyFont="1" applyFill="1" applyBorder="1" applyAlignment="1" applyProtection="1">
      <alignment horizontal="center"/>
    </xf>
    <xf numFmtId="0" fontId="21" fillId="0" borderId="30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46" xfId="0" applyFont="1" applyBorder="1" applyAlignment="1" applyProtection="1">
      <alignment horizontal="center" vertical="center"/>
      <protection locked="0"/>
    </xf>
    <xf numFmtId="0" fontId="21" fillId="0" borderId="47" xfId="0" applyFont="1" applyBorder="1" applyAlignment="1" applyProtection="1">
      <alignment horizontal="center" vertical="center"/>
      <protection locked="0"/>
    </xf>
    <xf numFmtId="0" fontId="21" fillId="0" borderId="48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/>
    </xf>
    <xf numFmtId="0" fontId="21" fillId="0" borderId="39" xfId="0" applyFont="1" applyBorder="1" applyAlignment="1" applyProtection="1">
      <alignment horizontal="center"/>
    </xf>
    <xf numFmtId="0" fontId="21" fillId="0" borderId="34" xfId="0" applyFont="1" applyBorder="1" applyAlignment="1" applyProtection="1">
      <alignment horizontal="center"/>
    </xf>
    <xf numFmtId="0" fontId="13" fillId="0" borderId="23" xfId="0" quotePrefix="1" applyFont="1" applyFill="1" applyBorder="1" applyAlignment="1" applyProtection="1">
      <alignment horizontal="center" vertical="center"/>
    </xf>
    <xf numFmtId="0" fontId="13" fillId="0" borderId="39" xfId="0" quotePrefix="1" applyFont="1" applyFill="1" applyBorder="1" applyAlignment="1" applyProtection="1">
      <alignment horizontal="center" vertical="center"/>
    </xf>
    <xf numFmtId="0" fontId="13" fillId="0" borderId="34" xfId="0" quotePrefix="1" applyFont="1" applyFill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/>
    </xf>
    <xf numFmtId="0" fontId="21" fillId="0" borderId="36" xfId="0" applyFont="1" applyBorder="1" applyAlignment="1" applyProtection="1">
      <alignment horizontal="center"/>
    </xf>
    <xf numFmtId="0" fontId="21" fillId="0" borderId="38" xfId="0" applyFont="1" applyBorder="1" applyAlignment="1" applyProtection="1">
      <alignment horizontal="center"/>
    </xf>
    <xf numFmtId="0" fontId="13" fillId="0" borderId="30" xfId="0" quotePrefix="1" applyFont="1" applyFill="1" applyBorder="1" applyAlignment="1" applyProtection="1">
      <alignment horizontal="center"/>
    </xf>
    <xf numFmtId="0" fontId="13" fillId="0" borderId="36" xfId="0" quotePrefix="1" applyFont="1" applyFill="1" applyBorder="1" applyAlignment="1" applyProtection="1">
      <alignment horizontal="center"/>
    </xf>
    <xf numFmtId="0" fontId="13" fillId="0" borderId="38" xfId="0" quotePrefix="1" applyFont="1" applyFill="1" applyBorder="1" applyAlignment="1" applyProtection="1">
      <alignment horizontal="center"/>
    </xf>
    <xf numFmtId="0" fontId="13" fillId="0" borderId="40" xfId="0" quotePrefix="1" applyNumberFormat="1" applyFont="1" applyFill="1" applyBorder="1" applyAlignment="1" applyProtection="1">
      <alignment horizontal="center" vertical="center"/>
    </xf>
    <xf numFmtId="0" fontId="13" fillId="0" borderId="41" xfId="0" quotePrefix="1" applyNumberFormat="1" applyFont="1" applyFill="1" applyBorder="1" applyAlignment="1" applyProtection="1">
      <alignment horizontal="center" vertical="center"/>
    </xf>
    <xf numFmtId="0" fontId="13" fillId="0" borderId="42" xfId="0" quotePrefix="1" applyNumberFormat="1" applyFont="1" applyFill="1" applyBorder="1" applyAlignment="1" applyProtection="1">
      <alignment horizontal="center" vertical="center"/>
    </xf>
    <xf numFmtId="0" fontId="13" fillId="0" borderId="30" xfId="0" quotePrefix="1" applyFont="1" applyFill="1" applyBorder="1" applyAlignment="1" applyProtection="1">
      <alignment horizontal="center" vertical="center"/>
    </xf>
    <xf numFmtId="0" fontId="13" fillId="0" borderId="36" xfId="0" quotePrefix="1" applyFont="1" applyFill="1" applyBorder="1" applyAlignment="1" applyProtection="1">
      <alignment horizontal="center" vertical="center"/>
    </xf>
    <xf numFmtId="0" fontId="13" fillId="0" borderId="38" xfId="0" quotePrefix="1" applyFont="1" applyFill="1" applyBorder="1" applyAlignment="1" applyProtection="1">
      <alignment horizontal="center" vertical="center"/>
    </xf>
    <xf numFmtId="0" fontId="2" fillId="12" borderId="8" xfId="0" applyFont="1" applyFill="1" applyBorder="1" applyAlignment="1" applyProtection="1">
      <alignment horizontal="center"/>
    </xf>
    <xf numFmtId="0" fontId="2" fillId="12" borderId="9" xfId="0" applyFont="1" applyFill="1" applyBorder="1" applyAlignment="1" applyProtection="1">
      <alignment horizontal="center"/>
    </xf>
    <xf numFmtId="0" fontId="2" fillId="12" borderId="10" xfId="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13" fillId="9" borderId="8" xfId="0" quotePrefix="1" applyFont="1" applyFill="1" applyBorder="1" applyAlignment="1" applyProtection="1">
      <alignment horizontal="center"/>
    </xf>
    <xf numFmtId="0" fontId="13" fillId="9" borderId="9" xfId="0" quotePrefix="1" applyFont="1" applyFill="1" applyBorder="1" applyAlignment="1" applyProtection="1">
      <alignment horizontal="center"/>
    </xf>
    <xf numFmtId="0" fontId="13" fillId="9" borderId="10" xfId="0" quotePrefix="1" applyFont="1" applyFill="1" applyBorder="1" applyAlignment="1" applyProtection="1">
      <alignment horizontal="center"/>
    </xf>
    <xf numFmtId="0" fontId="13" fillId="9" borderId="8" xfId="0" quotePrefix="1" applyFont="1" applyFill="1" applyBorder="1" applyAlignment="1" applyProtection="1">
      <alignment horizontal="center" vertical="center"/>
    </xf>
    <xf numFmtId="0" fontId="13" fillId="9" borderId="9" xfId="0" quotePrefix="1" applyFont="1" applyFill="1" applyBorder="1" applyAlignment="1" applyProtection="1">
      <alignment horizontal="center" vertical="center"/>
    </xf>
    <xf numFmtId="0" fontId="13" fillId="9" borderId="10" xfId="0" quotePrefix="1" applyFont="1" applyFill="1" applyBorder="1" applyAlignment="1" applyProtection="1">
      <alignment horizontal="center" vertical="center"/>
    </xf>
    <xf numFmtId="0" fontId="13" fillId="10" borderId="8" xfId="0" applyFont="1" applyFill="1" applyBorder="1" applyAlignment="1" applyProtection="1">
      <alignment horizontal="center"/>
    </xf>
    <xf numFmtId="0" fontId="13" fillId="10" borderId="8" xfId="0" applyFont="1" applyFill="1" applyBorder="1" applyAlignment="1" applyProtection="1">
      <alignment horizontal="center"/>
      <protection locked="0"/>
    </xf>
    <xf numFmtId="0" fontId="13" fillId="10" borderId="9" xfId="0" quotePrefix="1" applyFont="1" applyFill="1" applyBorder="1" applyAlignment="1" applyProtection="1">
      <alignment horizontal="center"/>
      <protection locked="0"/>
    </xf>
    <xf numFmtId="0" fontId="13" fillId="10" borderId="10" xfId="0" quotePrefix="1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</xf>
    <xf numFmtId="0" fontId="13" fillId="11" borderId="8" xfId="0" applyFont="1" applyFill="1" applyBorder="1" applyAlignment="1" applyProtection="1">
      <alignment horizontal="center"/>
    </xf>
    <xf numFmtId="0" fontId="13" fillId="0" borderId="21" xfId="0" quotePrefix="1" applyFont="1" applyFill="1" applyBorder="1" applyAlignment="1" applyProtection="1">
      <alignment horizontal="center"/>
    </xf>
    <xf numFmtId="0" fontId="0" fillId="0" borderId="37" xfId="0" applyBorder="1" applyProtection="1"/>
    <xf numFmtId="0" fontId="0" fillId="0" borderId="22" xfId="0" applyBorder="1" applyProtection="1"/>
    <xf numFmtId="0" fontId="21" fillId="0" borderId="21" xfId="0" applyFont="1" applyBorder="1" applyAlignment="1" applyProtection="1">
      <alignment horizontal="center"/>
    </xf>
    <xf numFmtId="0" fontId="21" fillId="0" borderId="37" xfId="0" applyFont="1" applyBorder="1" applyAlignment="1" applyProtection="1">
      <alignment horizontal="center"/>
    </xf>
    <xf numFmtId="0" fontId="21" fillId="0" borderId="22" xfId="0" applyFont="1" applyBorder="1" applyAlignment="1" applyProtection="1">
      <alignment horizontal="center"/>
    </xf>
    <xf numFmtId="0" fontId="13" fillId="0" borderId="8" xfId="0" quotePrefix="1" applyFont="1" applyFill="1" applyBorder="1" applyAlignment="1" applyProtection="1">
      <alignment horizontal="center"/>
      <protection locked="0"/>
    </xf>
    <xf numFmtId="0" fontId="13" fillId="0" borderId="9" xfId="0" quotePrefix="1" applyFont="1" applyFill="1" applyBorder="1" applyAlignment="1" applyProtection="1">
      <alignment horizontal="center"/>
      <protection locked="0"/>
    </xf>
    <xf numFmtId="0" fontId="13" fillId="0" borderId="10" xfId="0" quotePrefix="1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16" fillId="0" borderId="20" xfId="0" applyFont="1" applyFill="1" applyBorder="1" applyAlignment="1" applyProtection="1">
      <alignment horizontal="center"/>
    </xf>
    <xf numFmtId="0" fontId="13" fillId="0" borderId="5" xfId="0" quotePrefix="1" applyNumberFormat="1" applyFont="1" applyFill="1" applyBorder="1" applyAlignment="1" applyProtection="1">
      <alignment horizontal="center" vertical="center"/>
    </xf>
    <xf numFmtId="0" fontId="13" fillId="0" borderId="6" xfId="0" quotePrefix="1" applyNumberFormat="1" applyFont="1" applyFill="1" applyBorder="1" applyAlignment="1" applyProtection="1">
      <alignment horizontal="center" vertical="center"/>
    </xf>
    <xf numFmtId="0" fontId="13" fillId="0" borderId="7" xfId="0" quotePrefix="1" applyNumberFormat="1" applyFont="1" applyFill="1" applyBorder="1" applyAlignment="1" applyProtection="1">
      <alignment horizontal="center" vertical="center"/>
    </xf>
    <xf numFmtId="0" fontId="0" fillId="0" borderId="37" xfId="0" applyBorder="1"/>
    <xf numFmtId="0" fontId="0" fillId="0" borderId="22" xfId="0" applyBorder="1"/>
    <xf numFmtId="0" fontId="13" fillId="10" borderId="8" xfId="0" quotePrefix="1" applyFont="1" applyFill="1" applyBorder="1" applyAlignment="1" applyProtection="1">
      <alignment horizontal="center" vertical="center"/>
    </xf>
    <xf numFmtId="0" fontId="13" fillId="10" borderId="9" xfId="0" quotePrefix="1" applyFont="1" applyFill="1" applyBorder="1" applyAlignment="1" applyProtection="1">
      <alignment horizontal="center" vertical="center"/>
    </xf>
    <xf numFmtId="0" fontId="13" fillId="10" borderId="10" xfId="0" quotePrefix="1" applyFont="1" applyFill="1" applyBorder="1" applyAlignment="1" applyProtection="1">
      <alignment horizontal="center" vertical="center"/>
    </xf>
    <xf numFmtId="0" fontId="13" fillId="14" borderId="16" xfId="0" applyFont="1" applyFill="1" applyBorder="1" applyAlignment="1" applyProtection="1">
      <alignment horizontal="center"/>
    </xf>
    <xf numFmtId="0" fontId="13" fillId="14" borderId="17" xfId="0" applyFont="1" applyFill="1" applyBorder="1" applyAlignment="1" applyProtection="1">
      <alignment horizontal="center"/>
    </xf>
    <xf numFmtId="0" fontId="13" fillId="14" borderId="18" xfId="0" applyFont="1" applyFill="1" applyBorder="1" applyAlignment="1" applyProtection="1">
      <alignment horizontal="center"/>
    </xf>
    <xf numFmtId="0" fontId="13" fillId="11" borderId="16" xfId="0" applyFont="1" applyFill="1" applyBorder="1" applyAlignment="1" applyProtection="1">
      <alignment horizontal="center"/>
    </xf>
    <xf numFmtId="0" fontId="13" fillId="11" borderId="17" xfId="0" applyFont="1" applyFill="1" applyBorder="1" applyAlignment="1" applyProtection="1">
      <alignment horizontal="center"/>
    </xf>
    <xf numFmtId="0" fontId="13" fillId="11" borderId="18" xfId="0" applyFont="1" applyFill="1" applyBorder="1" applyAlignment="1" applyProtection="1">
      <alignment horizontal="center"/>
    </xf>
    <xf numFmtId="0" fontId="13" fillId="14" borderId="8" xfId="0" quotePrefix="1" applyFont="1" applyFill="1" applyBorder="1" applyAlignment="1" applyProtection="1">
      <alignment horizontal="center"/>
    </xf>
    <xf numFmtId="0" fontId="13" fillId="14" borderId="9" xfId="0" applyFont="1" applyFill="1" applyBorder="1" applyAlignment="1" applyProtection="1">
      <alignment horizontal="center"/>
    </xf>
    <xf numFmtId="0" fontId="13" fillId="14" borderId="10" xfId="0" applyFont="1" applyFill="1" applyBorder="1" applyAlignment="1" applyProtection="1">
      <alignment horizontal="center"/>
    </xf>
    <xf numFmtId="0" fontId="13" fillId="12" borderId="8" xfId="0" quotePrefix="1" applyFont="1" applyFill="1" applyBorder="1" applyAlignment="1" applyProtection="1">
      <alignment horizontal="center"/>
    </xf>
    <xf numFmtId="0" fontId="13" fillId="12" borderId="9" xfId="0" applyFont="1" applyFill="1" applyBorder="1" applyAlignment="1" applyProtection="1">
      <alignment horizontal="center"/>
    </xf>
    <xf numFmtId="0" fontId="13" fillId="12" borderId="10" xfId="0" applyFont="1" applyFill="1" applyBorder="1" applyAlignment="1" applyProtection="1">
      <alignment horizontal="center"/>
    </xf>
    <xf numFmtId="0" fontId="21" fillId="12" borderId="8" xfId="0" applyFont="1" applyFill="1" applyBorder="1" applyAlignment="1" applyProtection="1">
      <alignment horizontal="center"/>
      <protection locked="0"/>
    </xf>
    <xf numFmtId="0" fontId="21" fillId="12" borderId="9" xfId="0" applyFont="1" applyFill="1" applyBorder="1" applyAlignment="1" applyProtection="1">
      <alignment horizontal="center"/>
      <protection locked="0"/>
    </xf>
    <xf numFmtId="0" fontId="21" fillId="12" borderId="10" xfId="0" applyFont="1" applyFill="1" applyBorder="1" applyAlignment="1" applyProtection="1">
      <alignment horizontal="center"/>
      <protection locked="0"/>
    </xf>
    <xf numFmtId="0" fontId="5" fillId="0" borderId="46" xfId="0" quotePrefix="1" applyNumberFormat="1" applyFont="1" applyFill="1" applyBorder="1" applyAlignment="1" applyProtection="1">
      <alignment horizontal="center" vertical="center"/>
    </xf>
    <xf numFmtId="0" fontId="5" fillId="0" borderId="47" xfId="0" quotePrefix="1" applyNumberFormat="1" applyFont="1" applyFill="1" applyBorder="1" applyAlignment="1" applyProtection="1">
      <alignment horizontal="center" vertical="center"/>
    </xf>
    <xf numFmtId="0" fontId="5" fillId="0" borderId="48" xfId="0" quotePrefix="1" applyNumberFormat="1" applyFont="1" applyFill="1" applyBorder="1" applyAlignment="1" applyProtection="1">
      <alignment horizontal="center" vertical="center"/>
    </xf>
    <xf numFmtId="0" fontId="32" fillId="2" borderId="8" xfId="0" applyFont="1" applyFill="1" applyBorder="1" applyAlignment="1" applyProtection="1">
      <alignment horizontal="center"/>
      <protection locked="0"/>
    </xf>
    <xf numFmtId="0" fontId="32" fillId="2" borderId="9" xfId="0" applyFont="1" applyFill="1" applyBorder="1" applyAlignment="1" applyProtection="1">
      <alignment horizontal="center"/>
      <protection locked="0"/>
    </xf>
    <xf numFmtId="0" fontId="32" fillId="2" borderId="10" xfId="0" applyFont="1" applyFill="1" applyBorder="1" applyAlignment="1" applyProtection="1">
      <alignment horizontal="center"/>
      <protection locked="0"/>
    </xf>
    <xf numFmtId="0" fontId="13" fillId="5" borderId="8" xfId="0" quotePrefix="1" applyFont="1" applyFill="1" applyBorder="1" applyAlignment="1" applyProtection="1">
      <alignment horizontal="center" vertical="center"/>
    </xf>
    <xf numFmtId="0" fontId="13" fillId="5" borderId="9" xfId="0" quotePrefix="1" applyFont="1" applyFill="1" applyBorder="1" applyAlignment="1" applyProtection="1">
      <alignment horizontal="center" vertical="center"/>
    </xf>
    <xf numFmtId="0" fontId="13" fillId="5" borderId="10" xfId="0" quotePrefix="1" applyFont="1" applyFill="1" applyBorder="1" applyAlignment="1" applyProtection="1">
      <alignment horizontal="center" vertical="center"/>
    </xf>
    <xf numFmtId="0" fontId="13" fillId="5" borderId="8" xfId="0" quotePrefix="1" applyFont="1" applyFill="1" applyBorder="1" applyAlignment="1" applyProtection="1">
      <alignment horizontal="center"/>
    </xf>
    <xf numFmtId="0" fontId="13" fillId="5" borderId="9" xfId="0" applyFont="1" applyFill="1" applyBorder="1" applyAlignment="1" applyProtection="1">
      <alignment horizontal="center"/>
    </xf>
    <xf numFmtId="0" fontId="13" fillId="5" borderId="10" xfId="0" applyFont="1" applyFill="1" applyBorder="1" applyAlignment="1" applyProtection="1">
      <alignment horizontal="center"/>
    </xf>
    <xf numFmtId="0" fontId="24" fillId="18" borderId="14" xfId="0" quotePrefix="1" applyFont="1" applyFill="1" applyBorder="1" applyAlignment="1" applyProtection="1">
      <alignment horizontal="center"/>
    </xf>
    <xf numFmtId="0" fontId="24" fillId="18" borderId="14" xfId="0" applyFont="1" applyFill="1" applyBorder="1" applyAlignment="1" applyProtection="1">
      <alignment horizontal="center"/>
    </xf>
    <xf numFmtId="0" fontId="24" fillId="18" borderId="15" xfId="0" applyFont="1" applyFill="1" applyBorder="1" applyAlignment="1" applyProtection="1">
      <alignment horizontal="center"/>
    </xf>
    <xf numFmtId="0" fontId="24" fillId="18" borderId="8" xfId="0" quotePrefix="1" applyFont="1" applyFill="1" applyBorder="1" applyAlignment="1" applyProtection="1">
      <alignment horizontal="center"/>
    </xf>
    <xf numFmtId="0" fontId="24" fillId="18" borderId="9" xfId="0" applyFont="1" applyFill="1" applyBorder="1" applyAlignment="1" applyProtection="1">
      <alignment horizontal="center"/>
    </xf>
    <xf numFmtId="0" fontId="24" fillId="18" borderId="10" xfId="0" applyFont="1" applyFill="1" applyBorder="1" applyAlignment="1" applyProtection="1">
      <alignment horizontal="center"/>
    </xf>
    <xf numFmtId="0" fontId="5" fillId="10" borderId="21" xfId="0" quotePrefix="1" applyNumberFormat="1" applyFont="1" applyFill="1" applyBorder="1" applyAlignment="1" applyProtection="1">
      <alignment horizontal="center" vertical="center"/>
    </xf>
    <xf numFmtId="0" fontId="5" fillId="10" borderId="37" xfId="0" quotePrefix="1" applyNumberFormat="1" applyFont="1" applyFill="1" applyBorder="1" applyAlignment="1" applyProtection="1">
      <alignment horizontal="center" vertical="center"/>
    </xf>
    <xf numFmtId="0" fontId="5" fillId="10" borderId="22" xfId="0" quotePrefix="1" applyNumberFormat="1" applyFont="1" applyFill="1" applyBorder="1" applyAlignment="1" applyProtection="1">
      <alignment horizontal="center" vertical="center"/>
    </xf>
    <xf numFmtId="0" fontId="5" fillId="0" borderId="40" xfId="0" quotePrefix="1" applyNumberFormat="1" applyFont="1" applyFill="1" applyBorder="1" applyAlignment="1" applyProtection="1">
      <alignment horizontal="center" vertical="center"/>
    </xf>
    <xf numFmtId="0" fontId="5" fillId="0" borderId="41" xfId="0" quotePrefix="1" applyNumberFormat="1" applyFont="1" applyFill="1" applyBorder="1" applyAlignment="1" applyProtection="1">
      <alignment horizontal="center" vertical="center"/>
    </xf>
    <xf numFmtId="0" fontId="5" fillId="0" borderId="42" xfId="0" quotePrefix="1" applyNumberFormat="1" applyFont="1" applyFill="1" applyBorder="1" applyAlignment="1" applyProtection="1">
      <alignment horizontal="center" vertical="center"/>
    </xf>
    <xf numFmtId="0" fontId="13" fillId="12" borderId="9" xfId="0" quotePrefix="1" applyFont="1" applyFill="1" applyBorder="1" applyAlignment="1" applyProtection="1">
      <alignment horizontal="center"/>
    </xf>
    <xf numFmtId="0" fontId="13" fillId="12" borderId="10" xfId="0" quotePrefix="1" applyFont="1" applyFill="1" applyBorder="1" applyAlignment="1" applyProtection="1">
      <alignment horizontal="center"/>
    </xf>
    <xf numFmtId="0" fontId="13" fillId="10" borderId="9" xfId="0" applyFont="1" applyFill="1" applyBorder="1" applyAlignment="1" applyProtection="1">
      <alignment horizontal="center" vertical="center"/>
    </xf>
    <xf numFmtId="0" fontId="13" fillId="10" borderId="10" xfId="0" applyFont="1" applyFill="1" applyBorder="1" applyAlignment="1" applyProtection="1">
      <alignment horizontal="center" vertical="center"/>
    </xf>
    <xf numFmtId="0" fontId="13" fillId="5" borderId="9" xfId="0" quotePrefix="1" applyFont="1" applyFill="1" applyBorder="1" applyAlignment="1" applyProtection="1">
      <alignment horizontal="center"/>
    </xf>
    <xf numFmtId="0" fontId="13" fillId="5" borderId="10" xfId="0" quotePrefix="1" applyFont="1" applyFill="1" applyBorder="1" applyAlignment="1" applyProtection="1">
      <alignment horizontal="center"/>
    </xf>
    <xf numFmtId="0" fontId="13" fillId="10" borderId="9" xfId="0" applyFont="1" applyFill="1" applyBorder="1" applyAlignment="1" applyProtection="1">
      <alignment horizontal="center"/>
    </xf>
    <xf numFmtId="0" fontId="13" fillId="10" borderId="1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6" fillId="20" borderId="8" xfId="0" applyFont="1" applyFill="1" applyBorder="1" applyAlignment="1" applyProtection="1">
      <alignment horizontal="center"/>
      <protection locked="0"/>
    </xf>
    <xf numFmtId="0" fontId="6" fillId="20" borderId="9" xfId="0" applyFont="1" applyFill="1" applyBorder="1" applyAlignment="1" applyProtection="1">
      <alignment horizontal="center"/>
      <protection locked="0"/>
    </xf>
    <xf numFmtId="0" fontId="6" fillId="20" borderId="10" xfId="0" applyFont="1" applyFill="1" applyBorder="1" applyAlignment="1" applyProtection="1">
      <alignment horizontal="center"/>
      <protection locked="0"/>
    </xf>
    <xf numFmtId="0" fontId="13" fillId="14" borderId="2" xfId="0" quotePrefix="1" applyFont="1" applyFill="1" applyBorder="1" applyAlignment="1" applyProtection="1">
      <alignment horizontal="center"/>
    </xf>
    <xf numFmtId="0" fontId="13" fillId="14" borderId="3" xfId="0" applyFont="1" applyFill="1" applyBorder="1" applyAlignment="1" applyProtection="1">
      <alignment horizontal="center"/>
    </xf>
    <xf numFmtId="0" fontId="13" fillId="14" borderId="4" xfId="0" applyFont="1" applyFill="1" applyBorder="1" applyAlignment="1" applyProtection="1">
      <alignment horizont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31" fillId="2" borderId="8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/>
      <protection locked="0"/>
    </xf>
    <xf numFmtId="0" fontId="31" fillId="2" borderId="10" xfId="0" applyFont="1" applyFill="1" applyBorder="1" applyAlignment="1" applyProtection="1">
      <alignment horizontal="center" vertical="center"/>
      <protection locked="0"/>
    </xf>
    <xf numFmtId="0" fontId="6" fillId="10" borderId="8" xfId="0" applyFont="1" applyFill="1" applyBorder="1" applyAlignment="1" applyProtection="1">
      <alignment horizontal="center"/>
      <protection locked="0"/>
    </xf>
    <xf numFmtId="0" fontId="6" fillId="10" borderId="9" xfId="0" applyFont="1" applyFill="1" applyBorder="1" applyAlignment="1" applyProtection="1">
      <alignment horizontal="center"/>
      <protection locked="0"/>
    </xf>
    <xf numFmtId="0" fontId="6" fillId="10" borderId="10" xfId="0" applyFont="1" applyFill="1" applyBorder="1" applyAlignment="1" applyProtection="1">
      <alignment horizontal="center"/>
      <protection locked="0"/>
    </xf>
    <xf numFmtId="0" fontId="6" fillId="5" borderId="16" xfId="0" applyFont="1" applyFill="1" applyBorder="1" applyAlignment="1" applyProtection="1">
      <alignment horizontal="center"/>
      <protection locked="0"/>
    </xf>
    <xf numFmtId="0" fontId="6" fillId="5" borderId="17" xfId="0" applyFont="1" applyFill="1" applyBorder="1" applyAlignment="1" applyProtection="1">
      <alignment horizontal="center"/>
      <protection locked="0"/>
    </xf>
    <xf numFmtId="0" fontId="6" fillId="5" borderId="18" xfId="0" applyFont="1" applyFill="1" applyBorder="1" applyAlignment="1" applyProtection="1">
      <alignment horizontal="center"/>
      <protection locked="0"/>
    </xf>
    <xf numFmtId="0" fontId="33" fillId="18" borderId="16" xfId="0" applyFont="1" applyFill="1" applyBorder="1" applyAlignment="1" applyProtection="1">
      <alignment horizontal="center"/>
      <protection locked="0"/>
    </xf>
    <xf numFmtId="0" fontId="33" fillId="18" borderId="17" xfId="0" applyFont="1" applyFill="1" applyBorder="1" applyAlignment="1" applyProtection="1">
      <alignment horizontal="center"/>
      <protection locked="0"/>
    </xf>
    <xf numFmtId="0" fontId="33" fillId="18" borderId="18" xfId="0" applyFont="1" applyFill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38" fillId="12" borderId="8" xfId="0" applyFont="1" applyFill="1" applyBorder="1" applyAlignment="1" applyProtection="1">
      <alignment horizontal="center"/>
      <protection locked="0"/>
    </xf>
    <xf numFmtId="0" fontId="38" fillId="12" borderId="9" xfId="0" applyFont="1" applyFill="1" applyBorder="1" applyAlignment="1" applyProtection="1">
      <alignment horizontal="center"/>
      <protection locked="0"/>
    </xf>
    <xf numFmtId="0" fontId="38" fillId="12" borderId="10" xfId="0" applyFont="1" applyFill="1" applyBorder="1" applyAlignment="1" applyProtection="1">
      <alignment horizontal="center"/>
      <protection locked="0"/>
    </xf>
  </cellXfs>
  <cellStyles count="3">
    <cellStyle name="Lien hypertexte" xfId="1" builtinId="8"/>
    <cellStyle name="Normal" xfId="0" builtinId="0"/>
    <cellStyle name="Normal 2" xfId="2"/>
  </cellStyles>
  <dxfs count="83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rgb="FFFFCC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 patternType="gray125"/>
      </fill>
    </dxf>
    <dxf>
      <fill>
        <patternFill>
          <bgColor rgb="FF00B0F0"/>
        </patternFill>
      </fill>
    </dxf>
    <dxf>
      <fill>
        <patternFill patternType="lightUp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rgb="FFFFCC66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/>
      </fill>
    </dxf>
    <dxf>
      <fill>
        <patternFill>
          <bgColor rgb="FFFFCC99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CC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>
          <bgColor theme="9" tint="0.39994506668294322"/>
        </patternFill>
      </fill>
    </dxf>
    <dxf>
      <fill>
        <patternFill>
          <bgColor rgb="FFFFCC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00B0F0"/>
        </patternFill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theme="9" tint="0.39994506668294322"/>
        </patternFill>
      </fill>
    </dxf>
    <dxf>
      <fill>
        <patternFill>
          <bgColor rgb="FFFFCC66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C99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CC99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rgb="FFFFCC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 patternType="gray125"/>
      </fill>
    </dxf>
    <dxf>
      <fill>
        <patternFill>
          <bgColor rgb="FF00B0F0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CC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00B0F0"/>
        </patternFill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CC99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rgb="FFFFCC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 patternType="gray125"/>
      </fill>
    </dxf>
    <dxf>
      <fill>
        <patternFill>
          <bgColor rgb="FF00B0F0"/>
        </patternFill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rgb="FFFFCC66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/>
      </fill>
    </dxf>
    <dxf>
      <fill>
        <patternFill>
          <bgColor rgb="FFFFCC99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CC99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rgb="FFFFCC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 patternType="gray125"/>
      </fill>
    </dxf>
    <dxf>
      <fill>
        <patternFill>
          <bgColor rgb="FF00B0F0"/>
        </patternFill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CC99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9FF33"/>
        </patternFill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rgb="FFFFCC66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CC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rgb="FFFFCC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66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FFCC9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rgb="FFFFCC66"/>
        </patternFill>
      </fill>
    </dxf>
    <dxf>
      <fill>
        <patternFill>
          <bgColor rgb="FFFA8AED"/>
        </patternFill>
      </fill>
    </dxf>
    <dxf>
      <fill>
        <patternFill>
          <bgColor rgb="FFF1A9DC"/>
        </patternFill>
      </fill>
    </dxf>
    <dxf>
      <fill>
        <patternFill>
          <bgColor rgb="FFFF99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 patternType="gray125"/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 patternType="lightUp"/>
      </fill>
    </dxf>
    <dxf>
      <fill>
        <patternFill>
          <bgColor rgb="FF57D3FF"/>
        </patternFill>
      </fill>
    </dxf>
    <dxf>
      <fill>
        <patternFill patternType="lightUp"/>
      </fill>
    </dxf>
    <dxf>
      <fill>
        <patternFill>
          <bgColor rgb="FF47CFFF"/>
        </patternFill>
      </fill>
    </dxf>
    <dxf>
      <fill>
        <patternFill patternType="lightUp"/>
      </fill>
    </dxf>
    <dxf>
      <fill>
        <patternFill>
          <bgColor theme="9" tint="0.59996337778862885"/>
        </patternFill>
      </fill>
    </dxf>
    <dxf>
      <fill>
        <patternFill patternType="gray125"/>
      </fill>
    </dxf>
    <dxf>
      <fill>
        <patternFill>
          <bgColor rgb="FFFA90ED"/>
        </patternFill>
      </fill>
    </dxf>
    <dxf>
      <fill>
        <patternFill>
          <bgColor rgb="FFF7B3EA"/>
        </patternFill>
      </fill>
    </dxf>
    <dxf>
      <fill>
        <patternFill>
          <bgColor rgb="FFFFCCFF"/>
        </patternFill>
      </fill>
    </dxf>
    <dxf>
      <fill>
        <patternFill patternType="gray125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99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FF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ont>
        <condense val="0"/>
        <extend val="0"/>
        <color rgb="FF9C0006"/>
      </font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66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rgb="FF66FF33"/>
        </patternFill>
      </fill>
    </dxf>
    <dxf>
      <fill>
        <patternFill>
          <bgColor rgb="FF99FF66"/>
        </patternFill>
      </fill>
    </dxf>
    <dxf>
      <fill>
        <patternFill>
          <bgColor rgb="FF99FF33"/>
        </patternFill>
      </fill>
    </dxf>
    <dxf>
      <fill>
        <patternFill>
          <bgColor rgb="FF99FF33"/>
        </patternFill>
      </fill>
    </dxf>
    <dxf>
      <fill>
        <patternFill patternType="lightUp"/>
      </fill>
    </dxf>
    <dxf>
      <fill>
        <patternFill patternType="solid">
          <bgColor rgb="FFFFFF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Horizontal"/>
      </fill>
    </dxf>
    <dxf>
      <fill>
        <patternFill patternType="lightUp"/>
      </fill>
    </dxf>
    <dxf>
      <fill>
        <patternFill>
          <bgColor rgb="FF66FFFF"/>
        </patternFill>
      </fill>
    </dxf>
    <dxf>
      <fill>
        <patternFill>
          <bgColor rgb="FF99FF3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66FF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66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9FFCC"/>
        </patternFill>
      </fill>
    </dxf>
    <dxf>
      <font>
        <color rgb="FFFF0000"/>
      </font>
    </dxf>
    <dxf>
      <font>
        <color rgb="FF0070C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33CC33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CFF"/>
        </patternFill>
      </fill>
    </dxf>
    <dxf>
      <fill>
        <patternFill>
          <bgColor rgb="FF66FF3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0"/>
      </font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66FF33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ont>
        <color theme="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0"/>
      </font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66FF33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ont>
        <color theme="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0"/>
      </font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CFF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ill>
        <patternFill>
          <bgColor rgb="FF66FF33"/>
        </patternFill>
      </fill>
    </dxf>
    <dxf>
      <fill>
        <patternFill>
          <bgColor rgb="FF99FF33"/>
        </patternFill>
      </fill>
    </dxf>
    <dxf>
      <font>
        <color theme="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0"/>
      </font>
    </dxf>
    <dxf>
      <fill>
        <patternFill>
          <bgColor rgb="FFFFCCFF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</dxfs>
  <tableStyles count="0" defaultTableStyle="TableStyleMedium2" defaultPivotStyle="PivotStyleLight16"/>
  <colors>
    <mruColors>
      <color rgb="FF26FAA4"/>
      <color rgb="FF00FFFF"/>
      <color rgb="FFFFCCFF"/>
      <color rgb="FF66FFFF"/>
      <color rgb="FF73F42C"/>
      <color rgb="FFFFFF66"/>
      <color rgb="FF66FF33"/>
      <color rgb="FFFF99FF"/>
      <color rgb="FF33CCFF"/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J32" sqref="J32"/>
    </sheetView>
  </sheetViews>
  <sheetFormatPr baseColWidth="10" defaultRowHeight="15"/>
  <cols>
    <col min="1" max="1" width="13.5703125" customWidth="1"/>
    <col min="2" max="2" width="13.140625" customWidth="1"/>
    <col min="3" max="3" width="13" customWidth="1"/>
    <col min="4" max="4" width="12.42578125" customWidth="1"/>
    <col min="5" max="5" width="13.7109375" customWidth="1"/>
  </cols>
  <sheetData>
    <row r="1" spans="1:5" ht="18.75">
      <c r="A1" s="459" t="s">
        <v>122</v>
      </c>
      <c r="B1" s="460" t="s">
        <v>123</v>
      </c>
      <c r="C1" s="461" t="s">
        <v>124</v>
      </c>
      <c r="D1" s="461" t="s">
        <v>125</v>
      </c>
      <c r="E1" s="461" t="s">
        <v>145</v>
      </c>
    </row>
    <row r="2" spans="1:5" ht="18.75">
      <c r="A2" s="462" t="s">
        <v>123</v>
      </c>
      <c r="B2" s="463" t="s">
        <v>126</v>
      </c>
      <c r="C2" s="463" t="s">
        <v>127</v>
      </c>
      <c r="D2" s="463" t="s">
        <v>128</v>
      </c>
      <c r="E2" s="463" t="s">
        <v>141</v>
      </c>
    </row>
    <row r="3" spans="1:5" ht="18.75">
      <c r="A3" s="463" t="s">
        <v>124</v>
      </c>
      <c r="B3" s="463" t="s">
        <v>129</v>
      </c>
      <c r="C3" s="463" t="s">
        <v>130</v>
      </c>
      <c r="D3" s="463" t="s">
        <v>131</v>
      </c>
      <c r="E3" s="463" t="s">
        <v>142</v>
      </c>
    </row>
    <row r="4" spans="1:5" ht="18.75">
      <c r="A4" s="463" t="s">
        <v>125</v>
      </c>
      <c r="B4" s="463" t="s">
        <v>93</v>
      </c>
      <c r="C4" s="463" t="s">
        <v>132</v>
      </c>
      <c r="D4" s="463" t="s">
        <v>133</v>
      </c>
      <c r="E4" s="463" t="s">
        <v>143</v>
      </c>
    </row>
    <row r="5" spans="1:5" ht="18.75">
      <c r="A5" s="464"/>
      <c r="B5" s="463" t="s">
        <v>134</v>
      </c>
      <c r="C5" s="463" t="s">
        <v>135</v>
      </c>
      <c r="D5" s="463" t="s">
        <v>136</v>
      </c>
      <c r="E5" s="463" t="s">
        <v>144</v>
      </c>
    </row>
    <row r="6" spans="1:5" ht="18.75">
      <c r="A6" s="464"/>
      <c r="B6" s="462"/>
      <c r="C6" s="463"/>
      <c r="D6" s="463">
        <v>-13</v>
      </c>
      <c r="E6" s="464"/>
    </row>
    <row r="7" spans="1:5" ht="18.75">
      <c r="A7" s="464"/>
      <c r="B7" s="462"/>
      <c r="C7" s="463"/>
      <c r="D7" s="463">
        <v>-11</v>
      </c>
      <c r="E7" s="464"/>
    </row>
    <row r="8" spans="1:5" ht="18.75">
      <c r="A8" s="464"/>
      <c r="B8" s="462"/>
      <c r="C8" s="463"/>
      <c r="D8" s="463">
        <v>-9</v>
      </c>
      <c r="E8" s="464"/>
    </row>
    <row r="9" spans="1:5" ht="18.75">
      <c r="A9" s="464"/>
      <c r="B9" s="464"/>
      <c r="C9" s="464"/>
      <c r="D9" s="464"/>
      <c r="E9" s="46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4">
    <tabColor rgb="FF66FFFF"/>
    <pageSetUpPr fitToPage="1"/>
  </sheetPr>
  <dimension ref="A1:AR37"/>
  <sheetViews>
    <sheetView workbookViewId="0">
      <selection activeCell="AL8" sqref="AL8"/>
    </sheetView>
  </sheetViews>
  <sheetFormatPr baseColWidth="10" defaultRowHeight="15"/>
  <cols>
    <col min="1" max="1" width="4" style="126" customWidth="1"/>
    <col min="2" max="2" width="5.140625" style="126" customWidth="1"/>
    <col min="3" max="3" width="6.42578125" style="126" customWidth="1"/>
    <col min="4" max="4" width="11.28515625" style="126" customWidth="1"/>
    <col min="5" max="5" width="4.42578125" style="126" customWidth="1"/>
    <col min="6" max="6" width="7.42578125" style="126" customWidth="1"/>
    <col min="7" max="7" width="6" style="126" customWidth="1"/>
    <col min="8" max="8" width="8.42578125" style="126" customWidth="1"/>
    <col min="9" max="9" width="5.5703125" style="126" customWidth="1"/>
    <col min="10" max="10" width="5" style="126" customWidth="1"/>
    <col min="11" max="11" width="6.28515625" style="126" customWidth="1"/>
    <col min="12" max="12" width="4.42578125" style="126" customWidth="1"/>
    <col min="13" max="13" width="13" style="126" customWidth="1"/>
    <col min="14" max="14" width="6.28515625" style="126" customWidth="1"/>
    <col min="15" max="16" width="6" style="126" customWidth="1"/>
    <col min="17" max="17" width="7.7109375" style="126" customWidth="1"/>
    <col min="18" max="18" width="5.28515625" style="126" customWidth="1"/>
    <col min="19" max="19" width="12.28515625" style="126" customWidth="1"/>
    <col min="20" max="20" width="7.85546875" style="126" customWidth="1"/>
    <col min="21" max="21" width="6.28515625" style="126" hidden="1" customWidth="1"/>
    <col min="22" max="22" width="6.140625" style="126" hidden="1" customWidth="1"/>
    <col min="23" max="23" width="6.42578125" style="126" customWidth="1"/>
    <col min="24" max="24" width="5.140625" style="126" customWidth="1"/>
    <col min="25" max="25" width="6.42578125" style="126" customWidth="1"/>
    <col min="26" max="26" width="11.28515625" style="126" customWidth="1"/>
    <col min="27" max="27" width="4.42578125" style="126" customWidth="1"/>
    <col min="28" max="28" width="7.42578125" style="126" customWidth="1"/>
    <col min="29" max="29" width="6" style="126" customWidth="1"/>
    <col min="30" max="30" width="8.42578125" style="126" customWidth="1"/>
    <col min="31" max="31" width="5.5703125" style="126" customWidth="1"/>
    <col min="32" max="32" width="5" style="126" customWidth="1"/>
    <col min="33" max="33" width="6.28515625" style="126" customWidth="1"/>
    <col min="34" max="34" width="4.42578125" style="126" customWidth="1"/>
    <col min="35" max="35" width="13" style="126" customWidth="1"/>
    <col min="36" max="38" width="6" style="126" customWidth="1"/>
    <col min="39" max="39" width="7.7109375" style="126" customWidth="1"/>
    <col min="40" max="40" width="5.28515625" style="126" customWidth="1"/>
    <col min="41" max="41" width="12.28515625" style="126" customWidth="1"/>
    <col min="42" max="42" width="6" style="126" customWidth="1"/>
    <col min="43" max="43" width="7.28515625" style="126" hidden="1" customWidth="1"/>
    <col min="44" max="44" width="9" style="126" hidden="1" customWidth="1"/>
    <col min="45" max="16384" width="11.42578125" style="126"/>
  </cols>
  <sheetData>
    <row r="1" spans="1:44" ht="23.25" customHeight="1" thickBot="1">
      <c r="B1" s="1411" t="s">
        <v>51</v>
      </c>
      <c r="C1" s="1412"/>
      <c r="D1" s="1412"/>
      <c r="E1" s="1412">
        <f>Rens.!J1</f>
        <v>0</v>
      </c>
      <c r="F1" s="1412"/>
      <c r="G1" s="1412"/>
      <c r="H1" s="131">
        <f ca="1">Rens.!$D$3</f>
        <v>2021</v>
      </c>
      <c r="I1" s="1412" t="str">
        <f>Rens.!$J$3</f>
        <v>Quadrette</v>
      </c>
      <c r="J1" s="1412"/>
      <c r="K1" s="1412"/>
      <c r="L1" s="1412"/>
      <c r="M1" s="132" t="e">
        <f>Rens.!#REF!</f>
        <v>#REF!</v>
      </c>
      <c r="N1" s="1411" t="s">
        <v>23</v>
      </c>
      <c r="O1" s="1412"/>
      <c r="P1" s="1412"/>
      <c r="Q1" s="1412"/>
      <c r="R1" s="1412"/>
      <c r="S1" s="1416"/>
      <c r="T1" s="170">
        <f>+Rens.!D16</f>
        <v>3</v>
      </c>
      <c r="U1" s="133"/>
      <c r="V1" s="133"/>
      <c r="X1" s="1411" t="s">
        <v>51</v>
      </c>
      <c r="Y1" s="1412"/>
      <c r="Z1" s="1412"/>
      <c r="AA1" s="1412">
        <f>Rens.!J1</f>
        <v>0</v>
      </c>
      <c r="AB1" s="1412"/>
      <c r="AC1" s="1412"/>
      <c r="AD1" s="131">
        <f ca="1">Rens.!$D$3</f>
        <v>2021</v>
      </c>
      <c r="AE1" s="1412" t="str">
        <f>Rens.!$J$3</f>
        <v>Quadrette</v>
      </c>
      <c r="AF1" s="1412"/>
      <c r="AG1" s="1412"/>
      <c r="AH1" s="1412"/>
      <c r="AI1" s="132" t="e">
        <f>Rens.!#REF!</f>
        <v>#REF!</v>
      </c>
      <c r="AJ1" s="1411" t="s">
        <v>23</v>
      </c>
      <c r="AK1" s="1412"/>
      <c r="AL1" s="1412"/>
      <c r="AM1" s="1412"/>
      <c r="AN1" s="1412"/>
      <c r="AO1" s="1416"/>
      <c r="AP1" s="37">
        <f>+Rens.!D16</f>
        <v>3</v>
      </c>
      <c r="AQ1" s="2"/>
    </row>
    <row r="2" spans="1:44" ht="24" customHeight="1" thickBot="1">
      <c r="B2" s="1413" t="s">
        <v>17</v>
      </c>
      <c r="C2" s="1414"/>
      <c r="D2" s="1414"/>
      <c r="E2" s="20">
        <f>Rens.!G16</f>
        <v>0</v>
      </c>
      <c r="F2" s="1415" t="s">
        <v>19</v>
      </c>
      <c r="G2" s="1415"/>
      <c r="H2" s="7">
        <f>Rens.!$G$17</f>
        <v>0</v>
      </c>
      <c r="I2" s="1412" t="s">
        <v>20</v>
      </c>
      <c r="J2" s="1412"/>
      <c r="K2" s="1412"/>
      <c r="L2" s="1412"/>
      <c r="M2" s="1412"/>
      <c r="N2" s="1412"/>
      <c r="O2" s="1412"/>
      <c r="P2" s="1412"/>
      <c r="Q2" s="1412"/>
      <c r="R2" s="1412"/>
      <c r="S2" s="1412"/>
      <c r="T2" s="1416"/>
      <c r="U2" s="134"/>
      <c r="V2" s="134"/>
      <c r="X2" s="1413" t="s">
        <v>18</v>
      </c>
      <c r="Y2" s="1414"/>
      <c r="Z2" s="1414"/>
      <c r="AA2" s="20">
        <f>Rens.!$H$16</f>
        <v>0</v>
      </c>
      <c r="AB2" s="1415" t="s">
        <v>19</v>
      </c>
      <c r="AC2" s="1415"/>
      <c r="AD2" s="7">
        <f>Rens.!$H$17</f>
        <v>0</v>
      </c>
      <c r="AE2" s="1412" t="s">
        <v>20</v>
      </c>
      <c r="AF2" s="1412"/>
      <c r="AG2" s="1412"/>
      <c r="AH2" s="1412"/>
      <c r="AI2" s="1412"/>
      <c r="AJ2" s="1412"/>
      <c r="AK2" s="1412"/>
      <c r="AL2" s="1412"/>
      <c r="AM2" s="1412"/>
      <c r="AN2" s="1412"/>
      <c r="AO2" s="1412"/>
      <c r="AP2" s="1416"/>
      <c r="AQ2" s="2"/>
    </row>
    <row r="3" spans="1:44" ht="19.5" customHeight="1" thickBot="1">
      <c r="A3" s="42"/>
      <c r="B3" s="109"/>
      <c r="C3" s="110"/>
      <c r="D3" s="110"/>
      <c r="E3" s="44"/>
      <c r="F3" s="172" t="str">
        <f>CONCATENATE(E2,H2)</f>
        <v>00</v>
      </c>
      <c r="G3" s="44"/>
      <c r="H3" s="44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1"/>
      <c r="U3" s="110"/>
      <c r="V3" s="110"/>
      <c r="W3" s="42"/>
      <c r="X3" s="109"/>
      <c r="Y3" s="110"/>
      <c r="Z3" s="110"/>
      <c r="AA3" s="107"/>
      <c r="AB3" s="173" t="str">
        <f>CONCATENATE(AA2,AD2)</f>
        <v>00</v>
      </c>
      <c r="AC3" s="44"/>
      <c r="AD3" s="44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1"/>
      <c r="AQ3" s="41"/>
      <c r="AR3" s="41"/>
    </row>
    <row r="4" spans="1:44" ht="15.75" thickBot="1">
      <c r="A4" s="42"/>
      <c r="B4" s="109"/>
      <c r="C4" s="1357" t="s">
        <v>62</v>
      </c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  <c r="P4" s="1350"/>
      <c r="Q4" s="1350"/>
      <c r="R4" s="1350"/>
      <c r="S4" s="1351"/>
      <c r="T4" s="1332"/>
      <c r="U4" s="112"/>
      <c r="V4" s="112"/>
      <c r="W4" s="42"/>
      <c r="X4" s="109"/>
      <c r="Y4" s="1357" t="s">
        <v>62</v>
      </c>
      <c r="Z4" s="1350"/>
      <c r="AA4" s="1350"/>
      <c r="AB4" s="1350"/>
      <c r="AC4" s="1350"/>
      <c r="AD4" s="1350"/>
      <c r="AE4" s="1350"/>
      <c r="AF4" s="1350"/>
      <c r="AG4" s="1350"/>
      <c r="AH4" s="1350"/>
      <c r="AI4" s="1350"/>
      <c r="AJ4" s="1350"/>
      <c r="AK4" s="1350"/>
      <c r="AL4" s="1350"/>
      <c r="AM4" s="1350"/>
      <c r="AN4" s="1350"/>
      <c r="AO4" s="1351"/>
      <c r="AP4" s="1332"/>
      <c r="AQ4" s="41"/>
      <c r="AR4" s="41"/>
    </row>
    <row r="5" spans="1:44">
      <c r="A5" s="42"/>
      <c r="B5" s="109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332"/>
      <c r="U5" s="112"/>
      <c r="V5" s="112"/>
      <c r="W5" s="42"/>
      <c r="X5" s="109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1332"/>
      <c r="AQ5" s="41"/>
      <c r="AR5" s="41"/>
    </row>
    <row r="6" spans="1:44" ht="15.75" thickBot="1">
      <c r="A6" s="42"/>
      <c r="B6" s="109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41"/>
      <c r="S6" s="110"/>
      <c r="T6" s="111"/>
      <c r="U6" s="110"/>
      <c r="V6" s="110"/>
      <c r="W6" s="42"/>
      <c r="X6" s="109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41"/>
      <c r="AO6" s="110"/>
      <c r="AP6" s="111"/>
      <c r="AQ6" s="41"/>
      <c r="AR6" s="41"/>
    </row>
    <row r="7" spans="1:44" ht="15.75" thickBot="1">
      <c r="A7" s="42"/>
      <c r="B7" s="59" t="s">
        <v>6</v>
      </c>
      <c r="C7" s="50" t="s">
        <v>14</v>
      </c>
      <c r="D7" s="107"/>
      <c r="E7" s="47"/>
      <c r="F7" s="47"/>
      <c r="G7" s="110" t="s">
        <v>5</v>
      </c>
      <c r="H7" s="110"/>
      <c r="I7" s="110" t="s">
        <v>6</v>
      </c>
      <c r="J7" s="50" t="str">
        <f>IF(E2=2,"","C")</f>
        <v>C</v>
      </c>
      <c r="K7" s="107"/>
      <c r="L7" s="47"/>
      <c r="M7" s="47"/>
      <c r="N7" s="110" t="s">
        <v>5</v>
      </c>
      <c r="O7" s="110"/>
      <c r="P7" s="110"/>
      <c r="Q7" s="50" t="s">
        <v>41</v>
      </c>
      <c r="R7" s="47"/>
      <c r="S7" s="47" t="s">
        <v>59</v>
      </c>
      <c r="T7" s="119"/>
      <c r="U7" s="118"/>
      <c r="V7" s="118"/>
      <c r="W7" s="42"/>
      <c r="X7" s="59" t="s">
        <v>6</v>
      </c>
      <c r="Y7" s="50" t="s">
        <v>14</v>
      </c>
      <c r="Z7" s="107"/>
      <c r="AA7" s="47"/>
      <c r="AB7" s="47"/>
      <c r="AC7" s="110" t="s">
        <v>5</v>
      </c>
      <c r="AD7" s="110"/>
      <c r="AE7" s="110" t="s">
        <v>6</v>
      </c>
      <c r="AF7" s="50" t="str">
        <f>IF(AA2=2,"","C")</f>
        <v>C</v>
      </c>
      <c r="AG7" s="107"/>
      <c r="AH7" s="47"/>
      <c r="AI7" s="47"/>
      <c r="AJ7" s="110" t="s">
        <v>5</v>
      </c>
      <c r="AK7" s="110"/>
      <c r="AL7" s="110"/>
      <c r="AM7" s="50" t="s">
        <v>41</v>
      </c>
      <c r="AN7" s="47"/>
      <c r="AO7" s="47" t="s">
        <v>59</v>
      </c>
      <c r="AP7" s="119"/>
      <c r="AQ7" s="41"/>
      <c r="AR7" s="41"/>
    </row>
    <row r="8" spans="1:44" ht="15.75" thickBot="1">
      <c r="A8" s="174">
        <v>9</v>
      </c>
      <c r="B8" s="1325"/>
      <c r="C8" s="1305" t="str">
        <f>IF(ISNA(MATCH($A$8,Rens.!$U$5:$U$81,0)),"",INDEX(Rens.!$S$5:$S$81,MATCH($A$8,Rens.!$U$5:$U$81,0)))</f>
        <v/>
      </c>
      <c r="D8" s="1306"/>
      <c r="E8" s="1306"/>
      <c r="F8" s="1307"/>
      <c r="G8" s="53">
        <v>1</v>
      </c>
      <c r="H8" s="175">
        <v>11</v>
      </c>
      <c r="I8" s="1325"/>
      <c r="J8" s="1305" t="str">
        <f>IF(ISNA(MATCH($H$8,Rens.!$U$5:$U$81,0)),"",INDEX(Rens.!$S$5:$S$81,MATCH($H$8,Rens.!$U$5:$U$81,0)))</f>
        <v/>
      </c>
      <c r="K8" s="1306"/>
      <c r="L8" s="1306"/>
      <c r="M8" s="1307"/>
      <c r="N8" s="53">
        <v>1</v>
      </c>
      <c r="O8" s="110"/>
      <c r="P8" s="118"/>
      <c r="Q8" s="1420" t="str">
        <f>IF($E$2+$E$3=4,0,IF($E$2+$E$3=3,0,IF(ISNA(MATCH($P$8,Rens.!$U$5:$U$81,0)),"",INDEX(Rens.!$S$5:$S$81,MATCH($P$8,Rens.!$U$5:$U$81,0)))))</f>
        <v/>
      </c>
      <c r="R8" s="1421"/>
      <c r="S8" s="1422"/>
      <c r="T8" s="120"/>
      <c r="U8" s="118"/>
      <c r="V8" s="118"/>
      <c r="W8" s="176">
        <v>13</v>
      </c>
      <c r="X8" s="1325"/>
      <c r="Y8" s="1305" t="str">
        <f>IF(ISNA(MATCH($W$8,Rens.!$U$5:$U$81,0)),"",INDEX(Rens.!$S$5:$S$81,MATCH($W$8,Rens.!$U$5:$U$81,0)))</f>
        <v/>
      </c>
      <c r="Z8" s="1306"/>
      <c r="AA8" s="1306"/>
      <c r="AB8" s="1307"/>
      <c r="AC8" s="53">
        <v>1</v>
      </c>
      <c r="AD8" s="175">
        <v>15</v>
      </c>
      <c r="AE8" s="1325"/>
      <c r="AF8" s="1305" t="str">
        <f>IF(ISNA(MATCH($AD$8,Rens.!$U$5:$U$81,0)),"",INDEX(Rens.!$S$5:$S$81,MATCH($AD$8,Rens.!$U$5:$U$81,0)))</f>
        <v/>
      </c>
      <c r="AG8" s="1306"/>
      <c r="AH8" s="1306"/>
      <c r="AI8" s="1307"/>
      <c r="AJ8" s="53">
        <v>1</v>
      </c>
      <c r="AK8" s="110"/>
      <c r="AL8" s="118"/>
      <c r="AM8" s="1417" t="str">
        <f>IF($AA$2+$AA$3=4,0,IF($AA$2+$AA$3=3,0,IF(ISNA(MATCH($AL$8,Rens.!$U$5:$U$81,0)),"",INDEX(Rens.!$S$5:$S$81,MATCH($AL$8,Rens.!$U$5:$U$81,0)))))</f>
        <v/>
      </c>
      <c r="AN8" s="1418"/>
      <c r="AO8" s="1419"/>
      <c r="AP8" s="120"/>
      <c r="AQ8" s="41"/>
      <c r="AR8" s="41"/>
    </row>
    <row r="9" spans="1:44" ht="15.75" thickBot="1">
      <c r="A9" s="174">
        <v>10</v>
      </c>
      <c r="B9" s="1326"/>
      <c r="C9" s="1341" t="str">
        <f>IF(ISNA(MATCH($A$9,Rens.!$U$5:$U$81,0)),"",INDEX(Rens.!$S$5:$S$81,MATCH($A$9,Rens.!$U$5:$U$81,0)))</f>
        <v/>
      </c>
      <c r="D9" s="1342"/>
      <c r="E9" s="1342"/>
      <c r="F9" s="1343"/>
      <c r="G9" s="106">
        <v>0</v>
      </c>
      <c r="H9" s="175">
        <v>12</v>
      </c>
      <c r="I9" s="1326"/>
      <c r="J9" s="1341" t="str">
        <f>IF(ISNA(MATCH($H$9,Rens.!$U$5:$U$81,0)),"",INDEX(Rens.!$S$5:$S$81,MATCH($H$9,Rens.!$U$5:$U$81,0)))</f>
        <v/>
      </c>
      <c r="K9" s="1342"/>
      <c r="L9" s="1342"/>
      <c r="M9" s="1343"/>
      <c r="N9" s="53">
        <v>0</v>
      </c>
      <c r="O9" s="110"/>
      <c r="P9" s="118"/>
      <c r="Q9" s="56" t="e">
        <f>IF(ISNA(MATCH($P$8,#REF!,0)),"",INDEX(#REF!,MATCH($P$8,#REF!,0)))</f>
        <v>#REF!</v>
      </c>
      <c r="R9" s="47"/>
      <c r="S9" s="47"/>
      <c r="T9" s="119"/>
      <c r="U9" s="118"/>
      <c r="V9" s="118"/>
      <c r="W9" s="176">
        <v>14</v>
      </c>
      <c r="X9" s="1326"/>
      <c r="Y9" s="1341" t="str">
        <f>IF(ISNA(MATCH($W$9,Rens.!$U$5:$U$81,0)),"",INDEX(Rens.!$S$5:$S$81,MATCH($W$9,Rens.!$U$5:$U$81,0)))</f>
        <v/>
      </c>
      <c r="Z9" s="1342"/>
      <c r="AA9" s="1342"/>
      <c r="AB9" s="1343"/>
      <c r="AC9" s="106">
        <v>0</v>
      </c>
      <c r="AD9" s="175">
        <v>16</v>
      </c>
      <c r="AE9" s="1326"/>
      <c r="AF9" s="1341" t="str">
        <f>IF(ISNA(MATCH($AD$9,Rens.!$U$5:$U$81,0)),"",INDEX(Rens.!$S$5:$S$81,MATCH($AD$9,Rens.!$U$5:$U$81,0)))</f>
        <v/>
      </c>
      <c r="AG9" s="1342"/>
      <c r="AH9" s="1342"/>
      <c r="AI9" s="1343"/>
      <c r="AJ9" s="53">
        <v>0</v>
      </c>
      <c r="AK9" s="110"/>
      <c r="AL9" s="118"/>
      <c r="AM9" s="56" t="e">
        <f>IF(ISNA(MATCH($AL$8,#REF!,0)),"",INDEX(#REF!,MATCH($AL$8,#REF!,0)))</f>
        <v>#REF!</v>
      </c>
      <c r="AN9" s="47"/>
      <c r="AO9" s="47"/>
      <c r="AP9" s="119"/>
      <c r="AQ9" s="41"/>
      <c r="AR9" s="41"/>
    </row>
    <row r="10" spans="1:44" ht="15.75" thickBot="1">
      <c r="A10" s="42"/>
      <c r="B10" s="109"/>
      <c r="C10" s="92" t="s">
        <v>15</v>
      </c>
      <c r="D10" s="107"/>
      <c r="E10" s="47"/>
      <c r="F10" s="47"/>
      <c r="G10" s="118"/>
      <c r="H10" s="118"/>
      <c r="I10" s="118"/>
      <c r="J10" s="50" t="s">
        <v>40</v>
      </c>
      <c r="K10" s="107"/>
      <c r="L10" s="47"/>
      <c r="M10" s="47"/>
      <c r="N10" s="118"/>
      <c r="O10" s="118"/>
      <c r="P10" s="118"/>
      <c r="Q10" s="118"/>
      <c r="R10" s="118"/>
      <c r="S10" s="118"/>
      <c r="T10" s="119"/>
      <c r="U10" s="118"/>
      <c r="V10" s="118"/>
      <c r="W10" s="42"/>
      <c r="X10" s="109"/>
      <c r="Y10" s="92" t="s">
        <v>15</v>
      </c>
      <c r="Z10" s="107"/>
      <c r="AA10" s="47"/>
      <c r="AB10" s="47"/>
      <c r="AC10" s="118"/>
      <c r="AD10" s="118"/>
      <c r="AE10" s="118"/>
      <c r="AF10" s="50" t="s">
        <v>40</v>
      </c>
      <c r="AG10" s="107"/>
      <c r="AH10" s="47"/>
      <c r="AI10" s="47"/>
      <c r="AJ10" s="118"/>
      <c r="AK10" s="118"/>
      <c r="AL10" s="118"/>
      <c r="AM10" s="47"/>
      <c r="AN10" s="47"/>
      <c r="AO10" s="47"/>
      <c r="AP10" s="119"/>
      <c r="AQ10" s="41"/>
      <c r="AR10" s="41"/>
    </row>
    <row r="11" spans="1:44">
      <c r="A11" s="42"/>
      <c r="B11" s="109"/>
      <c r="C11" s="47"/>
      <c r="D11" s="47"/>
      <c r="E11" s="47"/>
      <c r="F11" s="47"/>
      <c r="G11" s="118"/>
      <c r="H11" s="118"/>
      <c r="I11" s="118"/>
      <c r="J11" s="47"/>
      <c r="K11" s="47"/>
      <c r="L11" s="47"/>
      <c r="M11" s="47"/>
      <c r="N11" s="118"/>
      <c r="O11" s="118"/>
      <c r="P11" s="118"/>
      <c r="Q11" s="118"/>
      <c r="R11" s="118"/>
      <c r="S11" s="118"/>
      <c r="T11" s="119"/>
      <c r="U11" s="118"/>
      <c r="V11" s="118"/>
      <c r="W11" s="42"/>
      <c r="X11" s="109"/>
      <c r="Y11" s="48"/>
      <c r="Z11" s="48"/>
      <c r="AA11" s="48"/>
      <c r="AB11" s="48"/>
      <c r="AC11" s="118"/>
      <c r="AD11" s="118"/>
      <c r="AE11" s="118"/>
      <c r="AF11" s="47"/>
      <c r="AG11" s="47"/>
      <c r="AH11" s="47"/>
      <c r="AI11" s="47"/>
      <c r="AJ11" s="118"/>
      <c r="AK11" s="118"/>
      <c r="AL11" s="118"/>
      <c r="AM11" s="47"/>
      <c r="AN11" s="47"/>
      <c r="AO11" s="47"/>
      <c r="AP11" s="119"/>
      <c r="AQ11" s="41"/>
      <c r="AR11" s="41"/>
    </row>
    <row r="12" spans="1:44">
      <c r="A12" s="42"/>
      <c r="B12" s="109"/>
      <c r="C12" s="47"/>
      <c r="D12" s="47"/>
      <c r="E12" s="47"/>
      <c r="F12" s="47"/>
      <c r="G12" s="118"/>
      <c r="H12" s="118"/>
      <c r="I12" s="118"/>
      <c r="J12" s="47"/>
      <c r="K12" s="47"/>
      <c r="L12" s="47"/>
      <c r="M12" s="47"/>
      <c r="N12" s="118"/>
      <c r="O12" s="118"/>
      <c r="P12" s="118"/>
      <c r="Q12" s="118"/>
      <c r="R12" s="118"/>
      <c r="S12" s="118"/>
      <c r="T12" s="119"/>
      <c r="U12" s="118"/>
      <c r="V12" s="118"/>
      <c r="W12" s="42"/>
      <c r="X12" s="109"/>
      <c r="Y12" s="48"/>
      <c r="Z12" s="48"/>
      <c r="AA12" s="48"/>
      <c r="AB12" s="48"/>
      <c r="AC12" s="118"/>
      <c r="AD12" s="118"/>
      <c r="AE12" s="118"/>
      <c r="AF12" s="47"/>
      <c r="AG12" s="47"/>
      <c r="AH12" s="47"/>
      <c r="AI12" s="47"/>
      <c r="AJ12" s="118"/>
      <c r="AK12" s="118"/>
      <c r="AL12" s="118"/>
      <c r="AM12" s="47"/>
      <c r="AN12" s="47"/>
      <c r="AO12" s="47"/>
      <c r="AP12" s="119"/>
      <c r="AQ12" s="41"/>
      <c r="AR12" s="41"/>
    </row>
    <row r="13" spans="1:44" ht="15.75" thickBot="1">
      <c r="A13" s="42"/>
      <c r="B13" s="59" t="s">
        <v>6</v>
      </c>
      <c r="C13" s="47"/>
      <c r="D13" s="78" t="s">
        <v>58</v>
      </c>
      <c r="E13" s="47"/>
      <c r="F13" s="47"/>
      <c r="G13" s="110" t="s">
        <v>5</v>
      </c>
      <c r="H13" s="110"/>
      <c r="I13" s="118"/>
      <c r="J13" s="47"/>
      <c r="K13" s="47"/>
      <c r="L13" s="47" t="s">
        <v>59</v>
      </c>
      <c r="M13" s="47"/>
      <c r="N13" s="118"/>
      <c r="O13" s="118"/>
      <c r="P13" s="110" t="s">
        <v>6</v>
      </c>
      <c r="Q13" s="118"/>
      <c r="R13" s="121" t="s">
        <v>57</v>
      </c>
      <c r="S13" s="118"/>
      <c r="T13" s="177" t="s">
        <v>5</v>
      </c>
      <c r="U13" s="109"/>
      <c r="V13" s="42"/>
      <c r="W13" s="42"/>
      <c r="X13" s="59" t="s">
        <v>6</v>
      </c>
      <c r="Y13" s="48"/>
      <c r="Z13" s="48" t="s">
        <v>58</v>
      </c>
      <c r="AA13" s="48"/>
      <c r="AB13" s="48"/>
      <c r="AC13" s="110" t="s">
        <v>5</v>
      </c>
      <c r="AD13" s="110"/>
      <c r="AE13" s="118"/>
      <c r="AF13" s="47"/>
      <c r="AG13" s="47"/>
      <c r="AH13" s="47" t="s">
        <v>59</v>
      </c>
      <c r="AI13" s="47"/>
      <c r="AJ13" s="118"/>
      <c r="AK13" s="118"/>
      <c r="AL13" s="110" t="s">
        <v>6</v>
      </c>
      <c r="AM13" s="47"/>
      <c r="AN13" s="47" t="s">
        <v>57</v>
      </c>
      <c r="AO13" s="47"/>
      <c r="AP13" s="111" t="s">
        <v>5</v>
      </c>
      <c r="AQ13" s="42"/>
      <c r="AR13" s="42"/>
    </row>
    <row r="14" spans="1:44" ht="15.75" thickBot="1">
      <c r="A14" s="42"/>
      <c r="B14" s="1325"/>
      <c r="C14" s="1305" t="str">
        <f>IF($G$8=$G$9,"résultat",IF($G$8&gt;$G$9,$C$9,$C$8))</f>
        <v/>
      </c>
      <c r="D14" s="1336"/>
      <c r="E14" s="1336"/>
      <c r="F14" s="1337"/>
      <c r="G14" s="53">
        <v>1</v>
      </c>
      <c r="H14" s="110"/>
      <c r="I14" s="118"/>
      <c r="J14" s="1370" t="str">
        <f>IF(ISTEXT($Q$8),IF(($G$9=$G$8),"résultat",IF(($N$9=$N$8),"résultat",IF(($U$14=2),$C$8,IF(($V$14=2),$C$9,IF(($U$15=2),#REF!,IF(($V$15=2),J8,0)))))))</f>
        <v/>
      </c>
      <c r="K14" s="1371"/>
      <c r="L14" s="1371"/>
      <c r="M14" s="1372"/>
      <c r="N14" s="120"/>
      <c r="O14" s="118"/>
      <c r="P14" s="1325"/>
      <c r="Q14" s="1364" t="str">
        <f>IF($E$2+$E$3=5,$Q$8,IF($N$8=$N$9,"résultat",IF($N$8&gt;$N$9,$J$8,$J$9)))</f>
        <v/>
      </c>
      <c r="R14" s="1365"/>
      <c r="S14" s="1366"/>
      <c r="T14" s="53">
        <v>1</v>
      </c>
      <c r="U14" s="171">
        <f>IF(G8&gt;G9,1)+IF(N8&gt;N9,1)</f>
        <v>2</v>
      </c>
      <c r="V14" s="171">
        <f>IF(G9&gt;G8,1)+IF(N9&gt;N8,1)</f>
        <v>0</v>
      </c>
      <c r="W14" s="42"/>
      <c r="X14" s="1325"/>
      <c r="Y14" s="1427" t="str">
        <f>IF($AC$8=$AC$9,"résultat",IF($AC$8&gt;$AC$9,$Y$9,$Y$8))</f>
        <v/>
      </c>
      <c r="Z14" s="1336"/>
      <c r="AA14" s="1336"/>
      <c r="AB14" s="1337"/>
      <c r="AC14" s="53">
        <v>1</v>
      </c>
      <c r="AD14" s="110"/>
      <c r="AE14" s="118"/>
      <c r="AF14" s="1428" t="str">
        <f>IF(ISTEXT($AM$8),IF(($AC$9=$AC$8),"résultat",IF(($AJ$9=$AJ$8),"résultat",IF(($AQ$14=2),$Y$8,IF(($AR$14=2),$Y$9,IF(($AQ$15=2),$AF$9,IF(($AR$15=2),$AF$8,0)))))))</f>
        <v/>
      </c>
      <c r="AG14" s="1371"/>
      <c r="AH14" s="1371"/>
      <c r="AI14" s="1372"/>
      <c r="AJ14" s="120"/>
      <c r="AK14" s="118"/>
      <c r="AL14" s="1325"/>
      <c r="AM14" s="1364" t="str">
        <f>IF($AA$2+$AA$3=5,$AM$8,IF($AJ$8&gt;$AJ$9,$AF$8,$AF$9))</f>
        <v/>
      </c>
      <c r="AN14" s="1365"/>
      <c r="AO14" s="1366"/>
      <c r="AP14" s="53">
        <v>1</v>
      </c>
      <c r="AQ14" s="171">
        <f>IF(AC8&gt;AC9,1)+IF(AJ8&gt;AJ9,1)</f>
        <v>2</v>
      </c>
      <c r="AR14" s="171">
        <f>IF(AC9&gt;AC8,1)+IF(AJ9&gt;AJ8,1)</f>
        <v>0</v>
      </c>
    </row>
    <row r="15" spans="1:44" ht="15.75" thickBot="1">
      <c r="A15" s="42"/>
      <c r="B15" s="1326"/>
      <c r="C15" s="1333" t="str">
        <f>IF($N$8=$N$9,"résultat",IF($N$8&lt;$N$9,$J$8,$J$9))</f>
        <v/>
      </c>
      <c r="D15" s="1334"/>
      <c r="E15" s="1334"/>
      <c r="F15" s="1335"/>
      <c r="G15" s="64">
        <v>0</v>
      </c>
      <c r="H15" s="110"/>
      <c r="I15" s="118"/>
      <c r="J15" s="65" t="str">
        <f>IF(ISTEXT(J14)," ",0)</f>
        <v xml:space="preserve"> </v>
      </c>
      <c r="K15" s="47"/>
      <c r="L15" s="47"/>
      <c r="M15" s="47"/>
      <c r="N15" s="118"/>
      <c r="O15" s="118"/>
      <c r="P15" s="1326"/>
      <c r="Q15" s="1333" t="str">
        <f>IF(ISBLANK($Q$8),IF($G$8&gt;$G$9,$C$8,$C$9),IF(ISNUMBER($Q$8),IF(G8=G9,"résultat",IF($G$8&gt;$G$9,$C$8,$C$9)),IF(ISTEXT($Q$8),IF(($G$9=$G$8),"résultat",IF(($N$9=$N$8),"résultat",IF(($U$14=2),$J$8,IF(($V$14=2),#REF!,IF(($U$15=2),$C$8,IF(($V$15=2),$C$9)))))))))</f>
        <v/>
      </c>
      <c r="R15" s="1334"/>
      <c r="S15" s="1335"/>
      <c r="T15" s="169">
        <v>0</v>
      </c>
      <c r="U15" s="171">
        <f>IF(G8&gt;G9,1)+IF(N9&gt;N8,1)</f>
        <v>1</v>
      </c>
      <c r="V15" s="171">
        <f>IF(G9&gt;G8,1)+IF(N8&gt;N9,1)</f>
        <v>1</v>
      </c>
      <c r="W15" s="42"/>
      <c r="X15" s="1326"/>
      <c r="Y15" s="1333" t="str">
        <f>IF($AJ$8=$AJ$9,"résultat",IF($AJ$8&lt;$AJ$9,$AF$8,$AF$9))</f>
        <v/>
      </c>
      <c r="Z15" s="1334"/>
      <c r="AA15" s="1334"/>
      <c r="AB15" s="1335"/>
      <c r="AC15" s="53">
        <v>0</v>
      </c>
      <c r="AD15" s="110"/>
      <c r="AE15" s="118"/>
      <c r="AF15" s="118"/>
      <c r="AG15" s="118"/>
      <c r="AH15" s="118"/>
      <c r="AI15" s="118"/>
      <c r="AJ15" s="118"/>
      <c r="AK15" s="118"/>
      <c r="AL15" s="1326"/>
      <c r="AM15" s="1333" t="str">
        <f>IF(ISBLANK($AM$8),IF($AC$8&gt;$AC$9,$Y$8,$Y$9),IF(ISNUMBER($AM$8),IF($AC$8&gt;$AC$9,$Y$8,$Y$9),IF(ISTEXT($AM$8),IF(($AC$9=$AC$8),"résultat",IF(($AJ$9=$AJ$8),"résultat",IF(($AQ$14=2),$AF$8,IF(($AR$14=2),$AF$9,IF(($AQ$15=2),$Y$8,IF(($AR$15=2),$Y$9)))))))))</f>
        <v/>
      </c>
      <c r="AN15" s="1334"/>
      <c r="AO15" s="1335"/>
      <c r="AP15" s="169">
        <v>0</v>
      </c>
      <c r="AQ15" s="171">
        <f>IF(AC8&gt;AC9,1)+IF(AJ9&gt;AJ8,1)</f>
        <v>1</v>
      </c>
      <c r="AR15" s="171">
        <f>IF(AC9&gt;AC8,1)+IF(AJ8&gt;AJ9,1)</f>
        <v>1</v>
      </c>
    </row>
    <row r="16" spans="1:44">
      <c r="A16" s="42"/>
      <c r="B16" s="109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23"/>
      <c r="Q16" s="118"/>
      <c r="R16" s="118"/>
      <c r="S16" s="118"/>
      <c r="T16" s="119"/>
      <c r="U16" s="118"/>
      <c r="V16" s="118"/>
      <c r="W16" s="42"/>
      <c r="X16" s="109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9"/>
      <c r="AQ16" s="41"/>
      <c r="AR16" s="41"/>
    </row>
    <row r="17" spans="1:44">
      <c r="A17" s="42"/>
      <c r="B17" s="109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9"/>
      <c r="U17" s="118"/>
      <c r="V17" s="118"/>
      <c r="W17" s="42"/>
      <c r="X17" s="109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9"/>
      <c r="AQ17" s="41"/>
      <c r="AR17" s="41"/>
    </row>
    <row r="18" spans="1:44">
      <c r="A18" s="42"/>
      <c r="B18" s="109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42"/>
      <c r="T18" s="119"/>
      <c r="U18" s="118"/>
      <c r="V18" s="118"/>
      <c r="W18" s="42"/>
      <c r="X18" s="109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9"/>
      <c r="AQ18" s="41"/>
      <c r="AR18" s="41"/>
    </row>
    <row r="19" spans="1:44" ht="15.75" thickBot="1">
      <c r="A19" s="42"/>
      <c r="B19" s="109"/>
      <c r="C19" s="118"/>
      <c r="D19" s="118"/>
      <c r="E19" s="110" t="s">
        <v>6</v>
      </c>
      <c r="F19" s="118"/>
      <c r="G19" s="118"/>
      <c r="H19" s="118"/>
      <c r="I19" s="118"/>
      <c r="J19" s="110" t="s">
        <v>5</v>
      </c>
      <c r="K19" s="110"/>
      <c r="L19" s="110" t="s">
        <v>6</v>
      </c>
      <c r="M19" s="118"/>
      <c r="N19" s="118"/>
      <c r="O19" s="118"/>
      <c r="P19" s="118"/>
      <c r="Q19" s="110" t="s">
        <v>5</v>
      </c>
      <c r="R19" s="118"/>
      <c r="S19" s="118"/>
      <c r="T19" s="119"/>
      <c r="U19" s="124"/>
      <c r="V19" s="118"/>
      <c r="W19" s="42"/>
      <c r="X19" s="109"/>
      <c r="Y19" s="118"/>
      <c r="Z19" s="118"/>
      <c r="AA19" s="110" t="s">
        <v>6</v>
      </c>
      <c r="AB19" s="118"/>
      <c r="AC19" s="118"/>
      <c r="AD19" s="118"/>
      <c r="AE19" s="118"/>
      <c r="AF19" s="110" t="s">
        <v>5</v>
      </c>
      <c r="AG19" s="110"/>
      <c r="AH19" s="110" t="s">
        <v>6</v>
      </c>
      <c r="AI19" s="118"/>
      <c r="AJ19" s="118"/>
      <c r="AK19" s="118"/>
      <c r="AL19" s="118"/>
      <c r="AM19" s="110" t="s">
        <v>5</v>
      </c>
      <c r="AN19" s="118"/>
      <c r="AO19" s="118"/>
      <c r="AP19" s="119"/>
      <c r="AQ19" s="41"/>
      <c r="AR19" s="41"/>
    </row>
    <row r="20" spans="1:44" ht="15.75" thickBot="1">
      <c r="A20" s="42"/>
      <c r="B20" s="109"/>
      <c r="C20" s="118"/>
      <c r="D20" s="118"/>
      <c r="E20" s="1325"/>
      <c r="F20" s="1435" t="b">
        <f>IF($F$3+$G$3=53,IF($G$14=$G$15,"résultat",IF($G$14&gt;$G$15,$C$14,$C$15)),IF($F$3+$G$3=52,IF($G$14=$G$15,"résultat",IF($G$14&gt;$G$15,$C$14,$C$15)),IF($F$3+$G$3=42,"0",IF($F$3+$G$3=43,"0",IF($F$3+$G$3=32,IF(0&gt;0,0,0),IF($F$3+$G$3=31,IF($T$14=$T$15,"résultat",IF($T$14&lt;$T$15,$Q$14,$Q$15))))))))</f>
        <v>0</v>
      </c>
      <c r="G20" s="1438"/>
      <c r="H20" s="1438"/>
      <c r="I20" s="1439"/>
      <c r="J20" s="53">
        <v>1</v>
      </c>
      <c r="K20" s="110"/>
      <c r="L20" s="1325" t="s">
        <v>16</v>
      </c>
      <c r="M20" s="1424" t="b">
        <f>IF($E$2+$E$3=5,$J$14)</f>
        <v>0</v>
      </c>
      <c r="N20" s="1425"/>
      <c r="O20" s="1425"/>
      <c r="P20" s="1426"/>
      <c r="Q20" s="53">
        <v>0</v>
      </c>
      <c r="R20" s="118"/>
      <c r="S20" s="118"/>
      <c r="T20" s="119"/>
      <c r="U20" s="118"/>
      <c r="V20" s="118"/>
      <c r="W20" s="42"/>
      <c r="X20" s="109"/>
      <c r="Y20" s="118"/>
      <c r="Z20" s="118"/>
      <c r="AA20" s="1325"/>
      <c r="AB20" s="1341" t="b">
        <f>IF($AB$3+$AC$3=53,IF($AC$14=$AC$15,"résultat",IF($AC$14&gt;$AC$15,$Y$14,$Y$15)),IF($AB$3+$AC$3=52,IF($AC$14=$AC$15,"résultat",IF($AC$14&gt;$AC$15,$Y$14,$Y$15)),IF($AB$3+$AC$3=42,"0",IF($AB$3+$AC$3=43,"0",IF($AB$3+$AC$3=32,IF(0&gt;0,0,0),IF($AB$3+$AC$3=31,IF($AP$14=$AP$15,"résultat",IF($AP$14&lt;$AP$15,$AM$14,$AM$15))))))))</f>
        <v>0</v>
      </c>
      <c r="AC20" s="1345"/>
      <c r="AD20" s="1345"/>
      <c r="AE20" s="1346"/>
      <c r="AF20" s="53">
        <v>1</v>
      </c>
      <c r="AG20" s="110"/>
      <c r="AH20" s="1325" t="s">
        <v>16</v>
      </c>
      <c r="AI20" s="1423" t="b">
        <f>IF($AA$2+$AA$3=5,$AF$14)</f>
        <v>0</v>
      </c>
      <c r="AJ20" s="1368"/>
      <c r="AK20" s="1368"/>
      <c r="AL20" s="1369"/>
      <c r="AM20" s="53">
        <v>0</v>
      </c>
      <c r="AN20" s="118"/>
      <c r="AO20" s="118"/>
      <c r="AP20" s="119"/>
      <c r="AQ20" s="41"/>
      <c r="AR20" s="41"/>
    </row>
    <row r="21" spans="1:44" ht="15.75" thickBot="1">
      <c r="A21" s="42"/>
      <c r="B21" s="109"/>
      <c r="C21" s="118"/>
      <c r="D21" s="118"/>
      <c r="E21" s="1326"/>
      <c r="F21" s="1435" t="b">
        <f>IF($F$3+$G$3=53,IF($T$14=$T$15,"résultat",IF($T$14&lt;$T$15,$Q$14,$Q$15)),(IF($F$3+$G$3=52,IF($T$14=$T$15,"résultat",IF($T$14&lt;$T$15,$Q$14,$Q$15)),(IF($F$3+$G$3=43,IF(0&gt;0,0,0),(IF($F$3+$G$3=42,IF(0&gt;0,0,0),(IF($F$3+$G$3=32,IF(0&lt;0,0,0),(IF($F$3+$G$3=31,IF($G$14=$G$15,"résultat",IF($G$14&gt;$G$15,$C$14,$C$15)))))))))))))</f>
        <v>0</v>
      </c>
      <c r="G21" s="1436"/>
      <c r="H21" s="1436"/>
      <c r="I21" s="1437"/>
      <c r="J21" s="53">
        <v>0</v>
      </c>
      <c r="K21" s="110"/>
      <c r="L21" s="1326"/>
      <c r="M21" s="1435" t="b">
        <f>IF($F$3+$G$3=53,IF($T$14=$T$15,"résultat",IF($T$14&gt;$T$15,$Q$14,$Q$15)),(IF($F$3+$G$3=52,IF($T$14=$T$15,"résultat",IF($T$14&gt;$T$15,$Q$14,$Q$15)),(IF($F$3+$G$3=43,IF(0&gt;0,0,0),(IF($F$3+$G$3=42,IF(0&gt;0,0,0),(IF($F$3+$G$3=32,IF(0&gt;0,0,0),(IF($F$3+$G$3=31,IF(0&gt;0,0,0))))))))))))</f>
        <v>0</v>
      </c>
      <c r="N21" s="1436"/>
      <c r="O21" s="1436"/>
      <c r="P21" s="1437"/>
      <c r="Q21" s="53">
        <v>0</v>
      </c>
      <c r="R21" s="118"/>
      <c r="S21" s="124"/>
      <c r="T21" s="119"/>
      <c r="U21" s="118"/>
      <c r="V21" s="42"/>
      <c r="W21" s="42"/>
      <c r="X21" s="109"/>
      <c r="Y21" s="118"/>
      <c r="Z21" s="118"/>
      <c r="AA21" s="1326"/>
      <c r="AB21" s="1341" t="b">
        <f>IF($AB$3+$AC$3=53,IF($AP$14=$AP$15,"résultat",IF($AP$14&lt;$AP$15,$AM$14,$AM$15)),(IF($AB$3+$AC$3=52,IF($AP$14=$AP$15,"résultat",IF($AP$14&lt;$AP$15,$AM$14,$AM$15)),(IF($AB$3+$AC$3=43,IF(0&gt;0,0,0),(IF($AB$3+$AC$3=42,IF(0&gt;0,0,0),(IF($AB$3+$AC$3=32,IF(0&lt;0,0,0),(IF($AB$3+$AC$3=31,IF($AC$14=$AC$15,"résultat",IF($AC$14&gt;$AC$15,$Y$14,$Y$15)))))))))))))</f>
        <v>0</v>
      </c>
      <c r="AC21" s="1342"/>
      <c r="AD21" s="1342"/>
      <c r="AE21" s="1343"/>
      <c r="AF21" s="53">
        <v>0</v>
      </c>
      <c r="AG21" s="110"/>
      <c r="AH21" s="1326"/>
      <c r="AI21" s="1341" t="b">
        <f>IF($AB$3+$AC$3=53,IF($AP$14=$AP$15,"résultat",IF($AP$14&gt;$AP$15,$AM$14,$AM$15)),(IF($AB$3+$AC$3=52,IF($AP$14=$AP$15,"résultat",IF($AP$14&gt;$AP$15,$AM$14,$AM$15)),(IF($AB$3+$AC$3=43,IF(0&gt;0,0,0),(IF($AB$3+$AC$3=42,IF(0&gt;0,0,0),(IF($AB$3+$AC$3=32,IF(0&gt;0,0,0),(IF($AB$3+$AC$3=31,IF(0&gt;0,0,0))))))))))))</f>
        <v>0</v>
      </c>
      <c r="AJ21" s="1342"/>
      <c r="AK21" s="1342"/>
      <c r="AL21" s="1343"/>
      <c r="AM21" s="53">
        <v>0</v>
      </c>
      <c r="AN21" s="118"/>
      <c r="AO21" s="118"/>
      <c r="AP21" s="119"/>
      <c r="AQ21" s="41"/>
      <c r="AR21" s="41"/>
    </row>
    <row r="22" spans="1:44">
      <c r="A22" s="42"/>
      <c r="B22" s="109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9"/>
      <c r="U22" s="118"/>
      <c r="V22" s="118"/>
      <c r="W22" s="42"/>
      <c r="X22" s="109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9"/>
      <c r="AQ22" s="41"/>
      <c r="AR22" s="41"/>
    </row>
    <row r="23" spans="1:44">
      <c r="A23" s="42"/>
      <c r="B23" s="109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9"/>
      <c r="U23" s="118"/>
      <c r="V23" s="118"/>
      <c r="W23" s="42"/>
      <c r="X23" s="109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9"/>
      <c r="AQ23" s="41"/>
      <c r="AR23" s="41"/>
    </row>
    <row r="24" spans="1:44" ht="15.75" thickBot="1">
      <c r="A24" s="42"/>
      <c r="B24" s="109"/>
      <c r="C24" s="118"/>
      <c r="D24" s="118"/>
      <c r="E24" s="118"/>
      <c r="F24" s="118"/>
      <c r="G24" s="118"/>
      <c r="H24" s="118"/>
      <c r="I24" s="110" t="s">
        <v>6</v>
      </c>
      <c r="J24" s="118"/>
      <c r="K24" s="118"/>
      <c r="L24" s="118"/>
      <c r="M24" s="118"/>
      <c r="N24" s="110" t="s">
        <v>5</v>
      </c>
      <c r="O24" s="110"/>
      <c r="P24" s="125"/>
      <c r="Q24" s="118"/>
      <c r="R24" s="118"/>
      <c r="S24" s="118"/>
      <c r="T24" s="119"/>
      <c r="U24" s="118"/>
      <c r="V24" s="118"/>
      <c r="W24" s="42"/>
      <c r="X24" s="109"/>
      <c r="Y24" s="118"/>
      <c r="Z24" s="118"/>
      <c r="AA24" s="118"/>
      <c r="AB24" s="118"/>
      <c r="AC24" s="118"/>
      <c r="AD24" s="118"/>
      <c r="AE24" s="110" t="s">
        <v>6</v>
      </c>
      <c r="AF24" s="118"/>
      <c r="AG24" s="118"/>
      <c r="AH24" s="118"/>
      <c r="AI24" s="118"/>
      <c r="AJ24" s="110" t="s">
        <v>5</v>
      </c>
      <c r="AK24" s="110"/>
      <c r="AL24" s="125"/>
      <c r="AM24" s="118"/>
      <c r="AN24" s="118"/>
      <c r="AO24" s="118"/>
      <c r="AP24" s="119"/>
      <c r="AQ24" s="41"/>
      <c r="AR24" s="41"/>
    </row>
    <row r="25" spans="1:44" ht="15.75" thickBot="1">
      <c r="A25" s="42"/>
      <c r="B25" s="109"/>
      <c r="C25" s="118"/>
      <c r="D25" s="118"/>
      <c r="E25" s="118"/>
      <c r="F25" s="118"/>
      <c r="G25" s="118"/>
      <c r="H25" s="118"/>
      <c r="I25" s="1325"/>
      <c r="J25" s="1250" t="b">
        <f>IF($F$3+$G$3=53,IF(0&lt;0,0,0),(IF($F$3+$G$3=52,IF($Q$20=$Q$21,"résultat",IF($Q$20&lt;$Q$21,$M$20,$M$21)),IF($F$3+$G$3=43,IF(0&lt;0,0,0),(IF($F$3+$G$3=42,IF($T$14=$T$15,"résultat",IF($T$14&lt;$T$15,$Q$14,$Q$15)),IF($F$3+$G$3=32,IF($T$14=$T$15,"résultat",IF($T$14&lt;$T$15,$Q$14,$Q$15)),IF($F$3+$G$3=31,IF($J$20=$J$21,"résultat",IF($J$20&gt;$J$21,$F$20,$F$21))))))))))</f>
        <v>0</v>
      </c>
      <c r="K25" s="1327"/>
      <c r="L25" s="1327"/>
      <c r="M25" s="1328"/>
      <c r="N25" s="53">
        <v>1</v>
      </c>
      <c r="O25" s="110"/>
      <c r="P25" s="118"/>
      <c r="Q25" s="118"/>
      <c r="R25" s="118"/>
      <c r="S25" s="118"/>
      <c r="T25" s="119"/>
      <c r="U25" s="118"/>
      <c r="V25" s="118"/>
      <c r="W25" s="42"/>
      <c r="X25" s="109"/>
      <c r="Y25" s="118"/>
      <c r="Z25" s="118"/>
      <c r="AA25" s="118"/>
      <c r="AB25" s="118"/>
      <c r="AC25" s="118"/>
      <c r="AD25" s="118"/>
      <c r="AE25" s="1325"/>
      <c r="AF25" s="1250" t="b">
        <f>IF($AB$3+$AC$3=53,IF(0&lt;0,0,0),(IF($AB$3+$AC$3=52,IF($AM$20=$AM$21,"résultat",IF($AM$20&lt;$AM$21,$AI$20,$AI$21)),IF($AB$3+$AC$3=43,IF(0&lt;0,0,0),(IF($AB$3+$AC$3=42,IF($AP$14=$AP$15,"résultat",IF($AP$14&lt;$AP$15,$AM$14,$AM$15)),IF($AB$3+$AC$3=32,IF($AP$14=$AP$15,"résultat",IF($AP$14&lt;$AP$15,$AM$14,$AM$15)),IF($AB$3+$AC$3=31,IF($AF$20=$AF$21,"résultat",IF($AF$20&gt;$AF$21,$AB$20,$AB$21))))))))))</f>
        <v>0</v>
      </c>
      <c r="AG25" s="1327"/>
      <c r="AH25" s="1327"/>
      <c r="AI25" s="1328"/>
      <c r="AJ25" s="53">
        <v>1</v>
      </c>
      <c r="AK25" s="110"/>
      <c r="AL25" s="118"/>
      <c r="AM25" s="118"/>
      <c r="AN25" s="118"/>
      <c r="AO25" s="118"/>
      <c r="AP25" s="119"/>
      <c r="AQ25" s="41"/>
      <c r="AR25" s="41"/>
    </row>
    <row r="26" spans="1:44" ht="15.75" thickBot="1">
      <c r="A26" s="42"/>
      <c r="B26" s="109"/>
      <c r="C26" s="118"/>
      <c r="D26" s="118"/>
      <c r="E26" s="118"/>
      <c r="F26" s="118"/>
      <c r="G26" s="118"/>
      <c r="H26" s="118"/>
      <c r="I26" s="1326"/>
      <c r="J26" s="1347" t="b">
        <f>IF($F$3+$G$3=53,IF(0&gt;0,0,0),(IF($F$3+$G$3=52,IF($J$20=$J$21,"résultat",IF($J$20&gt;$J$21,$F$20,$F$21)),IF($F$3+$G$3=43,IF(0&gt;0,0,0),(IF(F3+G3=42,IF($G$14=$G$15,"résultat",IF($G$14&gt;$G$15,$C$14,$C$15)),(IF($F$3+$G$3=32,IF($G$14=$G$15,"résultat",IF($G$14&gt;$G$15,$C$14,$C$15)),(IF($F$3+$G$3=31,IF($T$14=$T$15,"résultat",IF($T$14&gt;$T$15,$Q$14,$Q$15))))))))))))</f>
        <v>0</v>
      </c>
      <c r="K26" s="1348"/>
      <c r="L26" s="1348"/>
      <c r="M26" s="1349"/>
      <c r="N26" s="53">
        <v>0</v>
      </c>
      <c r="O26" s="110"/>
      <c r="P26" s="118"/>
      <c r="Q26" s="118"/>
      <c r="R26" s="118"/>
      <c r="S26" s="118"/>
      <c r="T26" s="119"/>
      <c r="U26" s="118"/>
      <c r="V26" s="118"/>
      <c r="W26" s="42"/>
      <c r="X26" s="109"/>
      <c r="Y26" s="118"/>
      <c r="Z26" s="118"/>
      <c r="AA26" s="118"/>
      <c r="AB26" s="118"/>
      <c r="AC26" s="118"/>
      <c r="AD26" s="118"/>
      <c r="AE26" s="1326"/>
      <c r="AF26" s="1347" t="b">
        <f>IF($AB$3+$AC$3=53,IF(0&gt;0,0,0),(IF($AB$3+$AC$3=52,IF(AF20=AF21,"résultat",IF($AF$20&gt;$AF$21,$AB$20,$AB$21)),IF($AB$3+$AC$3=43,IF(0&gt;0,0,0),(IF($AB$3+$AC$3=42,IF(AC14=AC15,"résultat",IF($AC$14&gt;$AC$15,$Y$14,$Y$15)),(IF($AB$3+$AC$3=32,IF(AC14=AC15,"résultat",IF($AC$14&gt;$AC$15,$Y$14,$Y$15)),(IF($AB$3+$AC$3=31,IF(AP14=AP15,"résultat",IF($AP$14&gt;$AP$15,$AM$14,$AM$15))))))))))))</f>
        <v>0</v>
      </c>
      <c r="AG26" s="1348"/>
      <c r="AH26" s="1348"/>
      <c r="AI26" s="1349"/>
      <c r="AJ26" s="53">
        <v>0</v>
      </c>
      <c r="AK26" s="110"/>
      <c r="AL26" s="118"/>
      <c r="AM26" s="118"/>
      <c r="AN26" s="118"/>
      <c r="AO26" s="118"/>
      <c r="AP26" s="119"/>
      <c r="AQ26" s="41"/>
      <c r="AR26" s="41"/>
    </row>
    <row r="27" spans="1:44" ht="15.75" thickBot="1">
      <c r="A27" s="42"/>
      <c r="B27" s="109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9"/>
      <c r="U27" s="118"/>
      <c r="V27" s="118"/>
      <c r="W27" s="42"/>
      <c r="X27" s="109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9"/>
      <c r="AQ27" s="41"/>
      <c r="AR27" s="41"/>
    </row>
    <row r="28" spans="1:44" ht="21.75" customHeight="1" thickBot="1">
      <c r="A28" s="42"/>
      <c r="B28" s="109"/>
      <c r="D28" s="118"/>
      <c r="E28" s="118"/>
      <c r="F28" s="118"/>
      <c r="G28" s="118"/>
      <c r="H28" s="118"/>
      <c r="I28" s="118"/>
      <c r="J28" s="1322" t="s">
        <v>56</v>
      </c>
      <c r="K28" s="1323"/>
      <c r="L28" s="1323"/>
      <c r="M28" s="1324"/>
      <c r="N28" s="118"/>
      <c r="O28" s="118"/>
      <c r="P28" s="124"/>
      <c r="Q28" s="118"/>
      <c r="R28" s="118"/>
      <c r="S28" s="118"/>
      <c r="T28" s="119"/>
      <c r="W28" s="42"/>
      <c r="X28" s="109"/>
      <c r="Z28" s="118"/>
      <c r="AA28" s="118"/>
      <c r="AB28" s="118"/>
      <c r="AC28" s="118"/>
      <c r="AD28" s="118"/>
      <c r="AE28" s="118"/>
      <c r="AF28" s="1322" t="s">
        <v>56</v>
      </c>
      <c r="AG28" s="1323"/>
      <c r="AH28" s="1323"/>
      <c r="AI28" s="1324"/>
      <c r="AJ28" s="118"/>
      <c r="AK28" s="118"/>
      <c r="AL28" s="124"/>
      <c r="AM28" s="118"/>
      <c r="AN28" s="118"/>
      <c r="AO28" s="118"/>
      <c r="AP28" s="119"/>
    </row>
    <row r="29" spans="1:44" ht="15.75" thickBot="1">
      <c r="A29" s="42"/>
      <c r="B29" s="109"/>
      <c r="D29" s="1432" t="s">
        <v>0</v>
      </c>
      <c r="E29" s="1433"/>
      <c r="F29" s="1434"/>
      <c r="G29" s="118"/>
      <c r="H29" s="1429" t="b">
        <f>IF($F$3+$G$3=53,IF($Q$20=$Q$21,"résultat",IF($Q$20&gt;$Q$21,$M$20,$M$21)),(IF($F$3+$G$3=52,IF($Q$20=$Q$21,"résultat",IF($Q$20&gt;$Q$21,$M$20,$M$21)),(IF($F$3+$G$3=43,IF($T$14=$T$15,"résultat",IF($T$14&gt;$T$15,$Q$14,$Q$15)),(IF($F$3+$G$3=42,IF($T$14=$T$15,"résultat",IF($T$14&gt;$T$15,$Q$14,$Q$15)),(IF($F$3+$G$3=32,IF($T$14=$T$15,"résultat",IF($T$14&gt;$T$15,$Q$14,$Q$15)),(IF($F$3+$G$3=31,IF($N$25=$N$26,"résultat",IF($N$25&gt;$N$26,$J$25,$J$26)))))))))))))</f>
        <v>0</v>
      </c>
      <c r="I29" s="1430"/>
      <c r="J29" s="1430"/>
      <c r="K29" s="1430"/>
      <c r="L29" s="1430"/>
      <c r="M29" s="1430"/>
      <c r="N29" s="1431"/>
      <c r="O29" s="118"/>
      <c r="P29" s="118"/>
      <c r="Q29" s="118"/>
      <c r="R29" s="118"/>
      <c r="S29" s="118"/>
      <c r="T29" s="119"/>
      <c r="W29" s="42"/>
      <c r="X29" s="109"/>
      <c r="Z29" s="1432" t="s">
        <v>0</v>
      </c>
      <c r="AA29" s="1433"/>
      <c r="AB29" s="1434"/>
      <c r="AC29" s="118"/>
      <c r="AD29" s="1429" t="b">
        <f>IF($AB$3+$AC$3=53,IF($AM$20=$AM$21,"résultat",IF($AM$20&gt;$AM$21,$AI$20,$AI$21)),(IF($AB$3+$AC$3=52,IF($AM$20=$AM$21,"résultat",IF($AM$20&gt;$AM$21,$AI$20,$AI$21)),(IF($AB$3+$AC$3=43,IF($AP$14=$AP$15,"résultat",IF($AP$14&gt;$AP$15,$AM$14,$AM$15)),(IF($AB$3+$AC$3=42,IF($AP$14=$AP$15,"résultat",IF($AP$14&gt;$AP$15,$AM$14,$AM$15)),(IF($AB$3+$AC$3=32,IF($AP$14=$AP$15,"résultat",IF($AP$14&gt;$AP$15,$AM$14,$AM$15)),(IF($AB$3+$AC$3=31,IF($AJ$25=$AJ$26,"résultat",IF($AJ$25&gt;$AJ$26,$AF$25,$AF$26)))))))))))))</f>
        <v>0</v>
      </c>
      <c r="AE29" s="1430"/>
      <c r="AF29" s="1430"/>
      <c r="AG29" s="1430"/>
      <c r="AH29" s="1430"/>
      <c r="AI29" s="1430"/>
      <c r="AJ29" s="1431"/>
      <c r="AK29" s="118"/>
      <c r="AL29" s="118"/>
      <c r="AM29" s="127"/>
      <c r="AN29" s="118"/>
      <c r="AO29" s="118"/>
      <c r="AP29" s="119"/>
    </row>
    <row r="30" spans="1:44">
      <c r="A30" s="42"/>
      <c r="B30" s="109"/>
      <c r="D30" s="1396" t="s">
        <v>1</v>
      </c>
      <c r="E30" s="1397"/>
      <c r="F30" s="1398"/>
      <c r="G30" s="118"/>
      <c r="H30" s="1399" t="b">
        <f>IF($F$3+$G$3=53,IF($Q$20=$Q$21,"résultat",IF($Q$20&lt;$Q$21,$M$20,$M$21)),(IF($F$3+$G$3=52,IF($N$25=$N$26,"résultat",IF($N$25&gt;$N$26,$J$25,$J$26)),(IF($F$3+$G$3=43,IF($T$14=$T$15,"résultat",IF($T$14&lt;$T$15,$Q$14,$Q$15)),(IF($F$3+$G$3=42,IF($N$25=$N$26,"résultat",IF($N$25&gt;$N$26,$J$25,$J$26)),(IF($F$3+$G$3=32,IF($N$25=$N$26,"résultat",IF($N$25&gt;$N$26,$J$25,$J$26)),(IF($F$3+$G$3=31,IF($N$25=$N$26,"résultat",IF($N$25&lt;$N$26,$J$25,$J$26)))))))))))))</f>
        <v>0</v>
      </c>
      <c r="I30" s="1400"/>
      <c r="J30" s="1400"/>
      <c r="K30" s="1400"/>
      <c r="L30" s="1400"/>
      <c r="M30" s="1400"/>
      <c r="N30" s="1401"/>
      <c r="O30" s="118"/>
      <c r="P30" s="128"/>
      <c r="Q30" s="128"/>
      <c r="R30" s="128"/>
      <c r="S30" s="128"/>
      <c r="T30" s="119"/>
      <c r="W30" s="42"/>
      <c r="X30" s="109"/>
      <c r="Z30" s="1396" t="s">
        <v>1</v>
      </c>
      <c r="AA30" s="1397"/>
      <c r="AB30" s="1398"/>
      <c r="AC30" s="118"/>
      <c r="AD30" s="1399" t="b">
        <f>IF($AB$3+$AC$3=53,IF($AM$20=$AM$21,"résultat",IF($AM$20&lt;$AM$21,$AI$20,$AI$21)),(IF($AB$3+$AC$3=52,IF($AJ$25=$AJ$26,"résultat",IF($AJ$25&gt;$AJ$26,$AF$25,$AF$26)),(IF($AB$3+$AC$3=43,IF($AP$14=$AP$15,"résultat",IF($AP$14&lt;$AP$15,$AM$14,$AM$15)),(IF($AB$3+$AC$3=42,IF($AJ$25=$AJ$26,"résultat",IF($AJ$25&gt;$AJ$26,$AF$25,$AF$26)),(IF($AB$3+$AC$3=32,IF($AJ$25=$AJ$26,"résultat",IF($AJ$25&gt;$AJ$26,$AF$25,$AF$26)),(IF($AB$3+$AC$3=31,IF($AJ$25=$AJ$26,"résultat",IF($AJ$25&lt;$AJ$26,$AF$25,$AF$26)))))))))))))</f>
        <v>0</v>
      </c>
      <c r="AE30" s="1400"/>
      <c r="AF30" s="1400"/>
      <c r="AG30" s="1400"/>
      <c r="AH30" s="1400"/>
      <c r="AI30" s="1400"/>
      <c r="AJ30" s="1401"/>
      <c r="AK30" s="118"/>
      <c r="AL30" s="128"/>
      <c r="AM30" s="128"/>
      <c r="AN30" s="128"/>
      <c r="AO30" s="118"/>
      <c r="AP30" s="119"/>
    </row>
    <row r="31" spans="1:44">
      <c r="A31" s="42"/>
      <c r="B31" s="109"/>
      <c r="D31" s="1396" t="s">
        <v>2</v>
      </c>
      <c r="E31" s="1397"/>
      <c r="F31" s="1398"/>
      <c r="G31" s="118"/>
      <c r="H31" s="1405" t="b">
        <f>IF($F$3+$G$3=53,IF($J$20=$J$21,"résultat",IF($J$20&gt;$J$21,$F$20,$F$21)),(IF($F$3+$G$3=52,IF($N$25=$N$26,"résultat",IF($N$25&lt;$N$26,$J$25,$J$26)),(IF($F$3+$G$3=43,IF($G$14=$G$15,"résultat",IF($G$14&gt;$G$15,$C$14,$C$15)),(IF($F$3+$G$3=42,IF($N$25=$N$26,"résultat",IF($N$25&lt;$N$26,$J$25,$J$26)),(IF($F$3+$G$3=32,IF($N$25=$N$26,"résultat",IF($N$25&lt;$N$26,$J$25,$J$26)),(IF($F$3+$G$3=31,IF($J$20=$J$21,"résultat",IF($J$20&lt;$J$21,$F$20,$F$21)))))))))))))</f>
        <v>0</v>
      </c>
      <c r="I31" s="1406"/>
      <c r="J31" s="1406"/>
      <c r="K31" s="1406"/>
      <c r="L31" s="1406"/>
      <c r="M31" s="1406"/>
      <c r="N31" s="1407"/>
      <c r="O31" s="118"/>
      <c r="P31" s="118"/>
      <c r="Q31" s="118"/>
      <c r="R31" s="118"/>
      <c r="S31" s="118"/>
      <c r="T31" s="119"/>
      <c r="W31" s="42"/>
      <c r="X31" s="109"/>
      <c r="Z31" s="1396" t="s">
        <v>2</v>
      </c>
      <c r="AA31" s="1397"/>
      <c r="AB31" s="1398"/>
      <c r="AC31" s="118"/>
      <c r="AD31" s="1402" t="b">
        <f>IF($AB$3+$AC$3=53,IF($AF$20=$AF$21,"résultat",IF($AF$20&gt;$AF$21,$AB$20,$AB$21)),(IF($AB$3+$AC$3=52,IF($AJ$25=$AJ$26,"résultat",IF($AJ$25&lt;$AJ$26,$AF$25,$AF$26)),(IF($AB$3+$AC$3=43,IF($AC$14=$AC$15,"résultat",IF($AC$14&gt;$G$15,$Y$14,$Y$15)),(IF($AB$3+$AC$3=42,IF($AJ$25=$AJ$26,"résultat",IF($AJ$25&lt;$AJ$26,$AF$25,$AF$26)),(IF($AB$3+$AC$3=32,IF($AJ$25=$AJ$26,"résultat",IF($AJ$25&lt;$AJ$26,$AF$25,$AF$26)),(IF($AB$3+$AC$3=31,IF($AF$20=$AF$21,"résultat",IF($AF$20&lt;$AF$21,$AB$20,$AB$21)))))))))))))</f>
        <v>0</v>
      </c>
      <c r="AE31" s="1403"/>
      <c r="AF31" s="1403"/>
      <c r="AG31" s="1403"/>
      <c r="AH31" s="1403"/>
      <c r="AI31" s="1403"/>
      <c r="AJ31" s="1404"/>
      <c r="AK31" s="118"/>
      <c r="AL31" s="118"/>
      <c r="AM31" s="118"/>
      <c r="AN31" s="118"/>
      <c r="AO31" s="118"/>
      <c r="AP31" s="119"/>
    </row>
    <row r="32" spans="1:44">
      <c r="A32" s="42"/>
      <c r="B32" s="109"/>
      <c r="D32" s="1396" t="s">
        <v>3</v>
      </c>
      <c r="E32" s="1397"/>
      <c r="F32" s="1398"/>
      <c r="G32" s="118"/>
      <c r="H32" s="1405" t="b">
        <f>IF($F$3+$G$3=53,IF($J$20=$J$21,"résultat",IF($J$20&lt;$J$21,$F$20,$F$21)),(IF($F$3+$G$3=52,IF($J$20=$J$21,"résultat",IF($J$20&lt;$J$21,$F$20,$F$21)),(IF($F$3+$G$3=43,IF($G$14=$G$15,"résultat",IF($G$14&lt;$G$15,$C$14,$C$15)),(IF($F$3+$G$3=42,IF($G$14=$G$15,"résultat",IF($G$14&lt;$G$15,$C$14,$C$15)),(IF($F$3+$G$3=32,IF(0&gt;0,0,0),(IF($F$3+$G$3=31,IF(0&gt;0,0,0))))))))))))</f>
        <v>0</v>
      </c>
      <c r="I32" s="1406"/>
      <c r="J32" s="1406"/>
      <c r="K32" s="1406"/>
      <c r="L32" s="1406"/>
      <c r="M32" s="1406"/>
      <c r="N32" s="1407"/>
      <c r="O32" s="118"/>
      <c r="P32" s="118"/>
      <c r="Q32" s="118"/>
      <c r="R32" s="118"/>
      <c r="S32" s="118"/>
      <c r="T32" s="119"/>
      <c r="W32" s="42"/>
      <c r="X32" s="109"/>
      <c r="Z32" s="1396" t="s">
        <v>3</v>
      </c>
      <c r="AA32" s="1397"/>
      <c r="AB32" s="1398"/>
      <c r="AC32" s="118"/>
      <c r="AD32" s="1405" t="b">
        <f>IF($AB$3+$AC$3=53,IF($AF$20=$AF$21,"résultat",IF($AF$20&lt;$AF$21,$AB$20,$AB$21)),(IF($AB$3+$AC$3=52,IF($AF$20=$AF$21,"résultat",IF($AF$20&lt;$AF$21,$AB$20,$AB$21)),(IF($AB$3+$AC$3=43,IF($AC$14=$AC$15,"résultat",IF($AC$14&lt;$AC$15,$Y$14,$Y$15)),(IF($AB$3+$AC$3=42,IF($AC$14=$AC$15,"résultat",IF($AC$14&lt;$AC$15,$Y$14,$Y$15)),(IF($AB$3+$AC$3=32,IF(0&gt;0,0,0),(IF($AB$3+$AC$3=31,IF(0&gt;0,0,0))))))))))))</f>
        <v>0</v>
      </c>
      <c r="AE32" s="1406"/>
      <c r="AF32" s="1406"/>
      <c r="AG32" s="1406"/>
      <c r="AH32" s="1406"/>
      <c r="AI32" s="1406"/>
      <c r="AJ32" s="1407"/>
      <c r="AK32" s="118"/>
      <c r="AL32" s="118"/>
      <c r="AM32" s="118"/>
      <c r="AN32" s="118"/>
      <c r="AO32" s="118"/>
      <c r="AP32" s="119"/>
    </row>
    <row r="33" spans="1:44" ht="15.75" thickBot="1">
      <c r="A33" s="42"/>
      <c r="B33" s="109"/>
      <c r="D33" s="1390" t="s">
        <v>4</v>
      </c>
      <c r="E33" s="1391"/>
      <c r="F33" s="1392"/>
      <c r="G33" s="118"/>
      <c r="H33" s="1393" t="b">
        <f>IF($F$3+$G$3=53,IF($G$14=$G$15,"résultat",IF($G$14&lt;$G$15,$C$14,$C$15)),(IF($F$3+$G$3=52,IF($G$14=$G$15,"résultat",IF($G$14&lt;$G$15,$C$14,$C$15)),(IF($F$3+$G$3=43,IF(0&gt;0,0,0),(IF($F$3+$G$3=42,IF(0&gt;0,0,0),(IF($F$3+$G$3=32,IF(0&gt;0,0,0),(IF($F$3+$G$3=31,IF(0&gt;0,0,0))))))))))))</f>
        <v>0</v>
      </c>
      <c r="I33" s="1394"/>
      <c r="J33" s="1394"/>
      <c r="K33" s="1394"/>
      <c r="L33" s="1394"/>
      <c r="M33" s="1394"/>
      <c r="N33" s="1395"/>
      <c r="O33" s="118"/>
      <c r="P33" s="118"/>
      <c r="Q33" s="118"/>
      <c r="R33" s="118"/>
      <c r="S33" s="118"/>
      <c r="T33" s="119"/>
      <c r="W33" s="42"/>
      <c r="X33" s="109"/>
      <c r="Z33" s="1390" t="s">
        <v>4</v>
      </c>
      <c r="AA33" s="1391"/>
      <c r="AB33" s="1392"/>
      <c r="AC33" s="118"/>
      <c r="AD33" s="1393" t="b">
        <f>IF($AB$3+$AC$3=53,IF(AC14=AC15,"résultat",IF($AC$14&lt;$AC$15,$Y$14,$Y$15)),(IF($AB$3+$AC$3=52,IF(AC14=AC15,"résultat",IF($AC$14&lt;$AC$15,$Y$14,$Y$15)),(IF($AB$3+$AC$3=43,IF(0&gt;0,0,0),(IF($AB$3+$AC$3=42,IF(0&gt;0,0,0),(IF($AB$3+$AC$3=32,IF(0&gt;0,0,0),(IF($AB$3+$AC$3=31,IF(0&gt;0,0,0))))))))))))</f>
        <v>0</v>
      </c>
      <c r="AE33" s="1394"/>
      <c r="AF33" s="1394"/>
      <c r="AG33" s="1394"/>
      <c r="AH33" s="1394"/>
      <c r="AI33" s="1394"/>
      <c r="AJ33" s="1395"/>
      <c r="AK33" s="118"/>
      <c r="AL33" s="118"/>
      <c r="AM33" s="118"/>
      <c r="AN33" s="118"/>
      <c r="AO33" s="118"/>
      <c r="AP33" s="119"/>
    </row>
    <row r="34" spans="1:44">
      <c r="A34" s="42"/>
      <c r="B34" s="109"/>
      <c r="C34" s="42"/>
      <c r="D34" s="38"/>
      <c r="E34" s="38"/>
      <c r="F34" s="38"/>
      <c r="H34"/>
      <c r="I34"/>
      <c r="J34" s="38"/>
      <c r="K34" s="38"/>
      <c r="L34" s="38"/>
      <c r="M34" s="38"/>
      <c r="N34" s="47"/>
      <c r="O34" s="118"/>
      <c r="P34" s="118"/>
      <c r="Q34" s="118"/>
      <c r="R34" s="118"/>
      <c r="S34" s="118"/>
      <c r="T34" s="119"/>
      <c r="U34" s="118"/>
      <c r="V34" s="118"/>
      <c r="W34" s="42"/>
      <c r="X34" s="109"/>
      <c r="Y34" s="42"/>
      <c r="Z34" s="38"/>
      <c r="AA34" s="38"/>
      <c r="AB34" s="38"/>
      <c r="AD34"/>
      <c r="AE34"/>
      <c r="AF34" s="38"/>
      <c r="AG34" s="38"/>
      <c r="AH34" s="38"/>
      <c r="AI34" s="38"/>
      <c r="AJ34" s="47"/>
      <c r="AK34" s="118"/>
      <c r="AL34" s="118"/>
      <c r="AM34" s="118"/>
      <c r="AN34" s="118"/>
      <c r="AO34" s="118"/>
      <c r="AP34" s="119"/>
      <c r="AQ34" s="41"/>
      <c r="AR34" s="41"/>
    </row>
    <row r="35" spans="1:44" ht="15.75" thickBot="1">
      <c r="A35" s="42"/>
      <c r="B35" s="122"/>
      <c r="C35" s="129"/>
      <c r="D35" s="74"/>
      <c r="E35" s="74"/>
      <c r="F35" s="74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30"/>
      <c r="U35" s="42"/>
      <c r="V35" s="42"/>
      <c r="W35" s="42"/>
      <c r="X35" s="122"/>
      <c r="Y35" s="129"/>
      <c r="Z35" s="74"/>
      <c r="AA35" s="74"/>
      <c r="AB35" s="74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30"/>
      <c r="AQ35" s="41"/>
      <c r="AR35" s="41"/>
    </row>
    <row r="36" spans="1:44" ht="15.75" thickBot="1">
      <c r="D36" s="1"/>
      <c r="E36" s="1"/>
      <c r="F36" s="1"/>
      <c r="Z36" s="1"/>
      <c r="AA36" s="1"/>
      <c r="AB36" s="1"/>
      <c r="AQ36" s="2"/>
      <c r="AR36" s="2"/>
    </row>
    <row r="37" spans="1:44" ht="15.75" thickBot="1">
      <c r="B37" s="2"/>
      <c r="C37" s="2"/>
      <c r="D37"/>
      <c r="E37"/>
      <c r="F37"/>
      <c r="G37"/>
      <c r="H37" s="2"/>
      <c r="I37" s="2"/>
      <c r="J37" s="2"/>
      <c r="K37" s="2"/>
      <c r="L37" s="2"/>
      <c r="M37" s="1408" t="s">
        <v>60</v>
      </c>
      <c r="N37" s="1409"/>
      <c r="O37" s="1410"/>
      <c r="P37" s="2"/>
      <c r="Q37" s="2"/>
      <c r="R37" s="2"/>
      <c r="S37" s="2"/>
      <c r="T37" s="2"/>
      <c r="X37" s="2"/>
      <c r="Y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</sheetData>
  <sheetProtection password="CFC3" sheet="1" objects="1" scenarios="1" formatCells="0" formatColumns="0" formatRows="0" insertColumns="0" insertRows="0" insertHyperlinks="0" deleteColumns="0" deleteRows="0" sort="0"/>
  <mergeCells count="89">
    <mergeCell ref="M21:P21"/>
    <mergeCell ref="C14:F14"/>
    <mergeCell ref="J14:M14"/>
    <mergeCell ref="E20:E21"/>
    <mergeCell ref="L20:L21"/>
    <mergeCell ref="F21:I21"/>
    <mergeCell ref="C15:F15"/>
    <mergeCell ref="F20:I20"/>
    <mergeCell ref="J26:M26"/>
    <mergeCell ref="I25:I26"/>
    <mergeCell ref="AD29:AJ29"/>
    <mergeCell ref="D29:F29"/>
    <mergeCell ref="H29:N29"/>
    <mergeCell ref="Z29:AB29"/>
    <mergeCell ref="AF28:AI28"/>
    <mergeCell ref="AF25:AI25"/>
    <mergeCell ref="AE25:AE26"/>
    <mergeCell ref="AF26:AI26"/>
    <mergeCell ref="Q14:S14"/>
    <mergeCell ref="X14:X15"/>
    <mergeCell ref="Y14:AB14"/>
    <mergeCell ref="AF14:AI14"/>
    <mergeCell ref="Q15:S15"/>
    <mergeCell ref="Y15:AB15"/>
    <mergeCell ref="AM14:AO14"/>
    <mergeCell ref="J8:M8"/>
    <mergeCell ref="Q8:S8"/>
    <mergeCell ref="AM15:AO15"/>
    <mergeCell ref="AA20:AA21"/>
    <mergeCell ref="AB20:AE20"/>
    <mergeCell ref="AH20:AH21"/>
    <mergeCell ref="AI20:AL20"/>
    <mergeCell ref="AB21:AE21"/>
    <mergeCell ref="AI21:AL21"/>
    <mergeCell ref="AL14:AL15"/>
    <mergeCell ref="M20:P20"/>
    <mergeCell ref="AE8:AE9"/>
    <mergeCell ref="AF8:AI8"/>
    <mergeCell ref="Y9:AB9"/>
    <mergeCell ref="AF9:AI9"/>
    <mergeCell ref="AM8:AO8"/>
    <mergeCell ref="AJ1:AO1"/>
    <mergeCell ref="I1:L1"/>
    <mergeCell ref="N1:S1"/>
    <mergeCell ref="AE1:AH1"/>
    <mergeCell ref="AP4:AP5"/>
    <mergeCell ref="C4:S4"/>
    <mergeCell ref="Y4:AO4"/>
    <mergeCell ref="X2:Z2"/>
    <mergeCell ref="AB2:AC2"/>
    <mergeCell ref="AE2:AG2"/>
    <mergeCell ref="AH2:AP2"/>
    <mergeCell ref="B2:D2"/>
    <mergeCell ref="F2:G2"/>
    <mergeCell ref="T4:T5"/>
    <mergeCell ref="I2:K2"/>
    <mergeCell ref="L2:T2"/>
    <mergeCell ref="M37:O37"/>
    <mergeCell ref="B1:D1"/>
    <mergeCell ref="E1:G1"/>
    <mergeCell ref="X1:Z1"/>
    <mergeCell ref="AA1:AC1"/>
    <mergeCell ref="X8:X9"/>
    <mergeCell ref="Y8:AB8"/>
    <mergeCell ref="J28:M28"/>
    <mergeCell ref="J25:M25"/>
    <mergeCell ref="B8:B9"/>
    <mergeCell ref="I8:I9"/>
    <mergeCell ref="C9:F9"/>
    <mergeCell ref="J9:M9"/>
    <mergeCell ref="C8:F8"/>
    <mergeCell ref="B14:B15"/>
    <mergeCell ref="P14:P15"/>
    <mergeCell ref="D33:F33"/>
    <mergeCell ref="H33:N33"/>
    <mergeCell ref="Z33:AB33"/>
    <mergeCell ref="AD33:AJ33"/>
    <mergeCell ref="D30:F30"/>
    <mergeCell ref="H30:N30"/>
    <mergeCell ref="Z30:AB30"/>
    <mergeCell ref="AD30:AJ30"/>
    <mergeCell ref="Z31:AB31"/>
    <mergeCell ref="AD31:AJ31"/>
    <mergeCell ref="D32:F32"/>
    <mergeCell ref="H32:N32"/>
    <mergeCell ref="Z32:AB32"/>
    <mergeCell ref="D31:F31"/>
    <mergeCell ref="H31:N31"/>
    <mergeCell ref="AD32:AJ32"/>
  </mergeCells>
  <conditionalFormatting sqref="G32 AC32">
    <cfRule type="expression" dxfId="494" priority="320">
      <formula>$H$2=5</formula>
    </cfRule>
  </conditionalFormatting>
  <conditionalFormatting sqref="G29:M29 AC29:AI29">
    <cfRule type="expression" dxfId="493" priority="224">
      <formula>$AD$2=5</formula>
    </cfRule>
    <cfRule type="expression" dxfId="492" priority="225">
      <formula>$AD$2=4</formula>
    </cfRule>
    <cfRule type="expression" dxfId="491" priority="226">
      <formula>$AD$2=3</formula>
    </cfRule>
    <cfRule type="expression" dxfId="490" priority="227">
      <formula>$AD$2=2</formula>
    </cfRule>
    <cfRule type="expression" dxfId="489" priority="228">
      <formula>$AD$2=0</formula>
    </cfRule>
  </conditionalFormatting>
  <conditionalFormatting sqref="G30:M30 AC30:AI30">
    <cfRule type="expression" dxfId="488" priority="219">
      <formula>$AD$2=0</formula>
    </cfRule>
    <cfRule type="expression" dxfId="487" priority="220">
      <formula>$AD$2=5</formula>
    </cfRule>
    <cfRule type="expression" dxfId="486" priority="221">
      <formula>$AD$2=4</formula>
    </cfRule>
    <cfRule type="expression" dxfId="485" priority="222">
      <formula>$AD$2=3</formula>
    </cfRule>
    <cfRule type="expression" dxfId="484" priority="223">
      <formula>$AD$2=2</formula>
    </cfRule>
  </conditionalFormatting>
  <conditionalFormatting sqref="AC31:AI31">
    <cfRule type="expression" dxfId="483" priority="231">
      <formula>$AD$2=0</formula>
    </cfRule>
    <cfRule type="expression" dxfId="482" priority="232">
      <formula>$AD$2=5</formula>
    </cfRule>
    <cfRule type="expression" dxfId="481" priority="233">
      <formula>$AD$2=4</formula>
    </cfRule>
    <cfRule type="expression" dxfId="480" priority="234">
      <formula>$AD$2=3</formula>
    </cfRule>
  </conditionalFormatting>
  <conditionalFormatting sqref="AC32:AI32">
    <cfRule type="expression" dxfId="479" priority="229">
      <formula>$H$2=0</formula>
    </cfRule>
    <cfRule type="expression" dxfId="478" priority="230">
      <formula>$H$2=4</formula>
    </cfRule>
  </conditionalFormatting>
  <conditionalFormatting sqref="AC33">
    <cfRule type="expression" dxfId="477" priority="210">
      <formula>$AD$2=0</formula>
    </cfRule>
    <cfRule type="expression" dxfId="476" priority="211">
      <formula>$AD$2=5</formula>
    </cfRule>
  </conditionalFormatting>
  <conditionalFormatting sqref="G33:M33">
    <cfRule type="expression" dxfId="475" priority="208">
      <formula>$H$2=0</formula>
    </cfRule>
    <cfRule type="expression" dxfId="474" priority="209">
      <formula>$H$2=5</formula>
    </cfRule>
  </conditionalFormatting>
  <conditionalFormatting sqref="G31:M31">
    <cfRule type="expression" dxfId="473" priority="204">
      <formula>$H$2=0</formula>
    </cfRule>
    <cfRule type="expression" dxfId="472" priority="205">
      <formula>$H$2=5</formula>
    </cfRule>
    <cfRule type="expression" dxfId="471" priority="206">
      <formula>$H$2=4</formula>
    </cfRule>
    <cfRule type="expression" dxfId="470" priority="207">
      <formula>$H$2=3</formula>
    </cfRule>
  </conditionalFormatting>
  <conditionalFormatting sqref="G32:M32">
    <cfRule type="expression" dxfId="469" priority="203">
      <formula>$H$2=4</formula>
    </cfRule>
  </conditionalFormatting>
  <conditionalFormatting sqref="H33 AD33">
    <cfRule type="expression" dxfId="468" priority="185">
      <formula>$AD$2=5</formula>
    </cfRule>
  </conditionalFormatting>
  <conditionalFormatting sqref="AD33">
    <cfRule type="expression" dxfId="467" priority="184">
      <formula>$AD$2=0</formula>
    </cfRule>
  </conditionalFormatting>
  <conditionalFormatting sqref="AD29">
    <cfRule type="expression" dxfId="466" priority="175">
      <formula>$AD$2=2</formula>
    </cfRule>
    <cfRule type="expression" dxfId="465" priority="176">
      <formula>$AD$2=5</formula>
    </cfRule>
    <cfRule type="expression" dxfId="464" priority="177">
      <formula>$AD$2=4</formula>
    </cfRule>
    <cfRule type="expression" dxfId="463" priority="178">
      <formula>$AD$2=3</formula>
    </cfRule>
    <cfRule type="expression" dxfId="462" priority="179">
      <formula>$H$2=0</formula>
    </cfRule>
  </conditionalFormatting>
  <conditionalFormatting sqref="AD31:AJ31">
    <cfRule type="expression" dxfId="461" priority="166">
      <formula>$AD$2=0</formula>
    </cfRule>
    <cfRule type="expression" dxfId="460" priority="167">
      <formula>$AD$2=5</formula>
    </cfRule>
    <cfRule type="expression" dxfId="459" priority="168">
      <formula>$AD$2=4</formula>
    </cfRule>
    <cfRule type="expression" dxfId="458" priority="169">
      <formula>$AD$2=3</formula>
    </cfRule>
  </conditionalFormatting>
  <conditionalFormatting sqref="AD32:AJ32">
    <cfRule type="expression" dxfId="457" priority="163">
      <formula>$AD$2=5</formula>
    </cfRule>
    <cfRule type="expression" dxfId="456" priority="164">
      <formula>$AD$2=0</formula>
    </cfRule>
    <cfRule type="expression" dxfId="455" priority="165">
      <formula>$AD$2=4</formula>
    </cfRule>
  </conditionalFormatting>
  <conditionalFormatting sqref="H32 AD32">
    <cfRule type="expression" dxfId="454" priority="160">
      <formula>$H$2=5</formula>
    </cfRule>
    <cfRule type="expression" dxfId="453" priority="161">
      <formula>$H$2=4</formula>
    </cfRule>
    <cfRule type="expression" dxfId="452" priority="162">
      <formula>$H$2=0</formula>
    </cfRule>
  </conditionalFormatting>
  <conditionalFormatting sqref="AD29:AJ29">
    <cfRule type="expression" dxfId="451" priority="159">
      <formula>$AD$2=1</formula>
    </cfRule>
  </conditionalFormatting>
  <conditionalFormatting sqref="H29:N29">
    <cfRule type="expression" dxfId="450" priority="157">
      <formula>$H$2=0</formula>
    </cfRule>
    <cfRule type="expression" dxfId="449" priority="158" stopIfTrue="1">
      <formula>(OR(H2="1",H2="2",H2="3"))</formula>
    </cfRule>
  </conditionalFormatting>
  <conditionalFormatting sqref="H30:N30">
    <cfRule type="expression" dxfId="448" priority="156">
      <formula>(OR(H2="2",H2="3"))</formula>
    </cfRule>
  </conditionalFormatting>
  <conditionalFormatting sqref="H31:N31">
    <cfRule type="expression" dxfId="447" priority="155">
      <formula>(H2="3")</formula>
    </cfRule>
  </conditionalFormatting>
  <conditionalFormatting sqref="H32:N33 AD31:AJ33 AB20:AE21 AI21:AL21 F20:I21 M21:P21 J25:M26 AF25:AI26">
    <cfRule type="cellIs" dxfId="446" priority="154" operator="equal">
      <formula>0</formula>
    </cfRule>
  </conditionalFormatting>
  <conditionalFormatting sqref="AD29:AJ29">
    <cfRule type="expression" dxfId="445" priority="142">
      <formula>$H$2=0</formula>
    </cfRule>
    <cfRule type="expression" dxfId="444" priority="143" stopIfTrue="1">
      <formula>(OR(AD2="1",AD2="2",AD2="3"))</formula>
    </cfRule>
  </conditionalFormatting>
  <conditionalFormatting sqref="AD30:AJ30">
    <cfRule type="expression" dxfId="443" priority="141">
      <formula>(OR(AD2="2",AD2="3"))</formula>
    </cfRule>
  </conditionalFormatting>
  <conditionalFormatting sqref="AD31:AJ31">
    <cfRule type="expression" dxfId="442" priority="140">
      <formula>(AD2="3")</formula>
    </cfRule>
  </conditionalFormatting>
  <conditionalFormatting sqref="AD32:AJ32">
    <cfRule type="cellIs" dxfId="441" priority="101" operator="equal">
      <formula>0</formula>
    </cfRule>
    <cfRule type="expression" dxfId="440" priority="102">
      <formula>$AD$2=5</formula>
    </cfRule>
    <cfRule type="expression" dxfId="439" priority="103">
      <formula>$AD$2=0</formula>
    </cfRule>
    <cfRule type="expression" dxfId="438" priority="104">
      <formula>$AD$2=4</formula>
    </cfRule>
  </conditionalFormatting>
  <conditionalFormatting sqref="H32 AD32">
    <cfRule type="expression" dxfId="437" priority="100">
      <formula>$H$2=0</formula>
    </cfRule>
  </conditionalFormatting>
  <conditionalFormatting sqref="H29:N29">
    <cfRule type="expression" dxfId="436" priority="97">
      <formula>$H$2=0</formula>
    </cfRule>
    <cfRule type="expression" dxfId="435" priority="98" stopIfTrue="1">
      <formula>(OR(H2="1",H2="2",H2="3"))</formula>
    </cfRule>
  </conditionalFormatting>
  <conditionalFormatting sqref="H30:N30">
    <cfRule type="expression" dxfId="434" priority="96">
      <formula>(OR(H2="2",H2="3"))</formula>
    </cfRule>
  </conditionalFormatting>
  <conditionalFormatting sqref="H31:N31">
    <cfRule type="cellIs" dxfId="433" priority="94" operator="equal">
      <formula>0</formula>
    </cfRule>
    <cfRule type="expression" dxfId="432" priority="95">
      <formula>(H2="3")</formula>
    </cfRule>
  </conditionalFormatting>
  <conditionalFormatting sqref="AD29:AJ29">
    <cfRule type="expression" dxfId="431" priority="92">
      <formula>$H$2=0</formula>
    </cfRule>
    <cfRule type="expression" dxfId="430" priority="93" stopIfTrue="1">
      <formula>(OR(AD2="1",AD2="2",AD2="3"))</formula>
    </cfRule>
  </conditionalFormatting>
  <conditionalFormatting sqref="AD30:AJ30">
    <cfRule type="expression" dxfId="429" priority="91">
      <formula>(OR(AD2="2",AD2="3"))</formula>
    </cfRule>
  </conditionalFormatting>
  <conditionalFormatting sqref="AD31">
    <cfRule type="expression" dxfId="428" priority="90">
      <formula>(AD2="3")</formula>
    </cfRule>
  </conditionalFormatting>
  <conditionalFormatting sqref="J8:M8">
    <cfRule type="expression" dxfId="427" priority="20">
      <formula>(OR($E$2=3,$E$2=4,$E$2=5))</formula>
    </cfRule>
  </conditionalFormatting>
  <conditionalFormatting sqref="AF9:AI9">
    <cfRule type="cellIs" dxfId="426" priority="12" operator="equal">
      <formula>$E$2=0</formula>
    </cfRule>
  </conditionalFormatting>
  <conditionalFormatting sqref="AM15:AO15">
    <cfRule type="expression" dxfId="425" priority="10">
      <formula>(OR($AA$2=3,$AA$2=4,$AA$2=5))</formula>
    </cfRule>
  </conditionalFormatting>
  <pageMargins left="0.23622047244094491" right="0.23622047244094491" top="0.74803149606299213" bottom="0.19685039370078741" header="0.31496062992125984" footer="0.31496062992125984"/>
  <pageSetup paperSize="9" scale="50" orientation="landscape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5">
    <tabColor rgb="FF66FF33"/>
    <pageSetUpPr fitToPage="1"/>
  </sheetPr>
  <dimension ref="A1:AR40"/>
  <sheetViews>
    <sheetView workbookViewId="0"/>
  </sheetViews>
  <sheetFormatPr baseColWidth="10" defaultRowHeight="15"/>
  <cols>
    <col min="1" max="1" width="4" customWidth="1"/>
    <col min="2" max="2" width="5.140625" customWidth="1"/>
    <col min="3" max="3" width="6.42578125" customWidth="1"/>
    <col min="4" max="4" width="11.28515625" customWidth="1"/>
    <col min="5" max="5" width="4.42578125" customWidth="1"/>
    <col min="6" max="6" width="7.42578125" customWidth="1"/>
    <col min="7" max="7" width="6" customWidth="1"/>
    <col min="8" max="8" width="8.42578125" customWidth="1"/>
    <col min="9" max="9" width="5.5703125" customWidth="1"/>
    <col min="10" max="10" width="5" customWidth="1"/>
    <col min="11" max="11" width="6.28515625" customWidth="1"/>
    <col min="12" max="12" width="4.42578125" customWidth="1"/>
    <col min="13" max="13" width="13" customWidth="1"/>
    <col min="14" max="14" width="6.28515625" customWidth="1"/>
    <col min="15" max="16" width="6" customWidth="1"/>
    <col min="17" max="17" width="7.7109375" customWidth="1"/>
    <col min="18" max="18" width="5.28515625" customWidth="1"/>
    <col min="19" max="19" width="12.28515625" customWidth="1"/>
    <col min="20" max="20" width="6" customWidth="1"/>
    <col min="21" max="21" width="7.85546875" customWidth="1"/>
    <col min="22" max="22" width="5.140625" customWidth="1"/>
    <col min="23" max="23" width="6.42578125" customWidth="1"/>
    <col min="24" max="24" width="8.42578125" customWidth="1"/>
    <col min="25" max="25" width="4.42578125" customWidth="1"/>
    <col min="26" max="26" width="7.42578125" customWidth="1"/>
    <col min="27" max="27" width="6" customWidth="1"/>
    <col min="28" max="28" width="8.42578125" customWidth="1"/>
    <col min="29" max="29" width="5.5703125" customWidth="1"/>
    <col min="30" max="30" width="7.7109375" customWidth="1"/>
    <col min="31" max="31" width="6.28515625" customWidth="1"/>
    <col min="32" max="32" width="4.42578125" customWidth="1"/>
    <col min="33" max="33" width="13" customWidth="1"/>
    <col min="34" max="36" width="6" customWidth="1"/>
    <col min="37" max="37" width="7.7109375" customWidth="1"/>
    <col min="38" max="38" width="5.28515625" customWidth="1"/>
    <col min="39" max="39" width="12.28515625" customWidth="1"/>
    <col min="40" max="40" width="6" customWidth="1"/>
    <col min="42" max="42" width="8" customWidth="1"/>
    <col min="43" max="43" width="7.28515625" customWidth="1"/>
    <col min="44" max="44" width="7.85546875" customWidth="1"/>
  </cols>
  <sheetData>
    <row r="1" spans="1:44" ht="19.5" customHeight="1" thickBot="1">
      <c r="A1" s="1"/>
      <c r="B1" s="1443" t="s">
        <v>51</v>
      </c>
      <c r="C1" s="1415"/>
      <c r="D1" s="1415"/>
      <c r="E1" s="1415">
        <f>Rens.!J1</f>
        <v>0</v>
      </c>
      <c r="F1" s="1415"/>
      <c r="G1" s="1415"/>
      <c r="H1" s="14">
        <f ca="1">Rens.!$D$3</f>
        <v>2021</v>
      </c>
      <c r="I1" s="1415" t="str">
        <f>Rens.!$J$3</f>
        <v>Quadrette</v>
      </c>
      <c r="J1" s="1415"/>
      <c r="K1" s="1415"/>
      <c r="L1" s="1415"/>
      <c r="M1" s="15" t="e">
        <f>Rens.!#REF!</f>
        <v>#REF!</v>
      </c>
      <c r="N1" s="1443" t="s">
        <v>23</v>
      </c>
      <c r="O1" s="1415"/>
      <c r="P1" s="1415"/>
      <c r="Q1" s="1415"/>
      <c r="R1" s="1415"/>
      <c r="S1" s="1447"/>
      <c r="T1" s="4">
        <f>Rens.!$E$8</f>
        <v>0</v>
      </c>
      <c r="W1" s="1"/>
      <c r="X1" s="1443" t="s">
        <v>51</v>
      </c>
      <c r="Y1" s="1415"/>
      <c r="Z1" s="1415"/>
      <c r="AA1" s="1415">
        <f>Rens.!J1</f>
        <v>0</v>
      </c>
      <c r="AB1" s="1415"/>
      <c r="AC1" s="1415"/>
      <c r="AD1" s="14">
        <f ca="1">Rens.!$D$3</f>
        <v>2021</v>
      </c>
      <c r="AE1" s="1415" t="str">
        <f>Rens.!$J$3</f>
        <v>Quadrette</v>
      </c>
      <c r="AF1" s="1415"/>
      <c r="AG1" s="1415"/>
      <c r="AH1" s="1415"/>
      <c r="AI1" s="15" t="e">
        <f>Rens.!#REF!</f>
        <v>#REF!</v>
      </c>
      <c r="AJ1" s="1443" t="s">
        <v>23</v>
      </c>
      <c r="AK1" s="1415"/>
      <c r="AL1" s="1415"/>
      <c r="AM1" s="1415"/>
      <c r="AN1" s="1415"/>
      <c r="AO1" s="1447"/>
      <c r="AP1" s="5">
        <f>Rens.!$E$8</f>
        <v>0</v>
      </c>
      <c r="AQ1" s="3"/>
    </row>
    <row r="2" spans="1:44" ht="20.25" customHeight="1" thickBot="1">
      <c r="A2" s="1"/>
      <c r="B2" s="1443" t="s">
        <v>26</v>
      </c>
      <c r="C2" s="1415"/>
      <c r="D2" s="1415"/>
      <c r="E2" s="16">
        <f>Rens.!I16</f>
        <v>0</v>
      </c>
      <c r="F2" s="1415" t="s">
        <v>19</v>
      </c>
      <c r="G2" s="1415"/>
      <c r="H2" s="7">
        <f>Rens.!I17</f>
        <v>0</v>
      </c>
      <c r="I2" s="1415" t="s">
        <v>20</v>
      </c>
      <c r="J2" s="1415"/>
      <c r="K2" s="1415"/>
      <c r="L2" s="1415"/>
      <c r="M2" s="1415"/>
      <c r="N2" s="1415"/>
      <c r="O2" s="1415"/>
      <c r="P2" s="1415"/>
      <c r="Q2" s="1415"/>
      <c r="R2" s="1415"/>
      <c r="S2" s="1415"/>
      <c r="T2" s="1447"/>
      <c r="W2" s="1"/>
      <c r="X2" s="1443" t="s">
        <v>27</v>
      </c>
      <c r="Y2" s="1415"/>
      <c r="Z2" s="1415"/>
      <c r="AA2" s="13" t="e">
        <f>Rens.!#REF!</f>
        <v>#REF!</v>
      </c>
      <c r="AB2" s="1415" t="s">
        <v>19</v>
      </c>
      <c r="AC2" s="1415"/>
      <c r="AD2" s="7" t="e">
        <f>Rens.!#REF!</f>
        <v>#REF!</v>
      </c>
      <c r="AE2" s="1415" t="s">
        <v>20</v>
      </c>
      <c r="AF2" s="1415"/>
      <c r="AG2" s="1415"/>
      <c r="AH2" s="1415"/>
      <c r="AI2" s="1415"/>
      <c r="AJ2" s="1415"/>
      <c r="AK2" s="1415"/>
      <c r="AL2" s="1415"/>
      <c r="AM2" s="1415"/>
      <c r="AN2" s="1415"/>
      <c r="AO2" s="1415"/>
      <c r="AP2" s="1447"/>
      <c r="AQ2" s="3"/>
    </row>
    <row r="3" spans="1:44" ht="15.75" customHeight="1" thickBot="1">
      <c r="A3" s="38"/>
      <c r="B3" s="43"/>
      <c r="C3" s="44"/>
      <c r="D3" s="44"/>
      <c r="E3" s="44"/>
      <c r="F3" s="76" t="str">
        <f>CONCATENATE(E2,H2)</f>
        <v>00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  <c r="U3" s="44"/>
      <c r="V3" s="44"/>
      <c r="W3" s="38"/>
      <c r="X3" s="43"/>
      <c r="Y3" s="44"/>
      <c r="Z3" s="44"/>
      <c r="AA3" s="39"/>
      <c r="AB3" s="77" t="e">
        <f>CONCATENATE(AA2,AD2)</f>
        <v>#REF!</v>
      </c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5"/>
      <c r="AQ3" s="40"/>
      <c r="AR3" s="40"/>
    </row>
    <row r="4" spans="1:44" ht="15.75" thickBot="1">
      <c r="A4" s="38"/>
      <c r="B4" s="43"/>
      <c r="C4" s="1444" t="s">
        <v>62</v>
      </c>
      <c r="D4" s="1445"/>
      <c r="E4" s="1445"/>
      <c r="F4" s="1445"/>
      <c r="G4" s="1445"/>
      <c r="H4" s="1445"/>
      <c r="I4" s="1445"/>
      <c r="J4" s="1445"/>
      <c r="K4" s="1445"/>
      <c r="L4" s="1445"/>
      <c r="M4" s="1445"/>
      <c r="N4" s="1445"/>
      <c r="O4" s="1445"/>
      <c r="P4" s="1445"/>
      <c r="Q4" s="1445"/>
      <c r="R4" s="1445"/>
      <c r="S4" s="1446"/>
      <c r="T4" s="1448"/>
      <c r="U4" s="46"/>
      <c r="V4" s="46"/>
      <c r="W4" s="38"/>
      <c r="X4" s="43"/>
      <c r="Y4" s="1444" t="s">
        <v>62</v>
      </c>
      <c r="Z4" s="1445"/>
      <c r="AA4" s="1445"/>
      <c r="AB4" s="1445"/>
      <c r="AC4" s="1445"/>
      <c r="AD4" s="1445"/>
      <c r="AE4" s="1445"/>
      <c r="AF4" s="1445"/>
      <c r="AG4" s="1445"/>
      <c r="AH4" s="1445"/>
      <c r="AI4" s="1445"/>
      <c r="AJ4" s="1445"/>
      <c r="AK4" s="1445"/>
      <c r="AL4" s="1445"/>
      <c r="AM4" s="1445"/>
      <c r="AN4" s="1445"/>
      <c r="AO4" s="1446"/>
      <c r="AP4" s="1448"/>
      <c r="AQ4" s="40"/>
      <c r="AR4" s="40"/>
    </row>
    <row r="5" spans="1:44">
      <c r="A5" s="38"/>
      <c r="B5" s="43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448"/>
      <c r="U5" s="46"/>
      <c r="V5" s="46"/>
      <c r="W5" s="38"/>
      <c r="X5" s="43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1448"/>
      <c r="AQ5" s="40"/>
      <c r="AR5" s="40"/>
    </row>
    <row r="6" spans="1:44" ht="15.75" thickBot="1">
      <c r="A6" s="38"/>
      <c r="B6" s="43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  <c r="S6" s="44"/>
      <c r="T6" s="45"/>
      <c r="U6" s="44"/>
      <c r="V6" s="44"/>
      <c r="W6" s="38"/>
      <c r="X6" s="43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8"/>
      <c r="AO6" s="44"/>
      <c r="AP6" s="45"/>
      <c r="AQ6" s="40"/>
      <c r="AR6" s="40"/>
    </row>
    <row r="7" spans="1:44" ht="15.75" thickBot="1">
      <c r="A7" s="38"/>
      <c r="B7" s="49" t="s">
        <v>6</v>
      </c>
      <c r="C7" s="50" t="s">
        <v>14</v>
      </c>
      <c r="D7" s="39"/>
      <c r="E7" s="47"/>
      <c r="F7" s="47"/>
      <c r="G7" s="44" t="s">
        <v>5</v>
      </c>
      <c r="H7" s="44"/>
      <c r="I7" s="44" t="s">
        <v>6</v>
      </c>
      <c r="J7" s="50" t="str">
        <f>IF(E2=2,"","C")</f>
        <v>C</v>
      </c>
      <c r="K7" s="39"/>
      <c r="L7" s="47"/>
      <c r="M7" s="47"/>
      <c r="N7" s="44" t="s">
        <v>5</v>
      </c>
      <c r="O7" s="44"/>
      <c r="P7" s="44"/>
      <c r="Q7" s="50" t="s">
        <v>41</v>
      </c>
      <c r="R7" s="47"/>
      <c r="S7" s="47" t="s">
        <v>59</v>
      </c>
      <c r="T7" s="51"/>
      <c r="U7" s="47"/>
      <c r="V7" s="47"/>
      <c r="W7" s="38"/>
      <c r="X7" s="49" t="s">
        <v>6</v>
      </c>
      <c r="Y7" s="50" t="s">
        <v>14</v>
      </c>
      <c r="Z7" s="39"/>
      <c r="AA7" s="47"/>
      <c r="AB7" s="47"/>
      <c r="AC7" s="44" t="s">
        <v>5</v>
      </c>
      <c r="AD7" s="44"/>
      <c r="AE7" s="44" t="s">
        <v>6</v>
      </c>
      <c r="AF7" s="50" t="e">
        <f>IF(AA2=2,"","C")</f>
        <v>#REF!</v>
      </c>
      <c r="AG7" s="39"/>
      <c r="AH7" s="47"/>
      <c r="AI7" s="47"/>
      <c r="AJ7" s="44" t="s">
        <v>5</v>
      </c>
      <c r="AK7" s="44"/>
      <c r="AL7" s="44"/>
      <c r="AM7" s="50" t="s">
        <v>41</v>
      </c>
      <c r="AN7" s="47"/>
      <c r="AO7" s="47" t="s">
        <v>59</v>
      </c>
      <c r="AP7" s="51"/>
      <c r="AQ7" s="40"/>
      <c r="AR7" s="40"/>
    </row>
    <row r="8" spans="1:44" ht="15.75" thickBot="1">
      <c r="A8" s="52">
        <v>21</v>
      </c>
      <c r="B8" s="1325"/>
      <c r="C8" s="1305" t="str">
        <f>IF(ISNA(MATCH($A$8,Rens.!$U$5:$U$81,0)),"",INDEX(Rens.!$S$5:$S$81,MATCH($A$8,Rens.!$U$5:$U$81,0)))</f>
        <v/>
      </c>
      <c r="D8" s="1306"/>
      <c r="E8" s="1306"/>
      <c r="F8" s="1307"/>
      <c r="G8" s="53">
        <v>1</v>
      </c>
      <c r="H8" s="54">
        <v>23</v>
      </c>
      <c r="I8" s="1325"/>
      <c r="J8" s="1338" t="str">
        <f>IF(ISNA(MATCH($H$8,Rens.!$U$5:$U$81,0)),"",INDEX(Rens.!$S$5:$S$81,MATCH($H$8,Rens.!$U$5:$U$81,0)))</f>
        <v/>
      </c>
      <c r="K8" s="1339"/>
      <c r="L8" s="1339"/>
      <c r="M8" s="1340"/>
      <c r="N8" s="53">
        <v>1</v>
      </c>
      <c r="O8" s="44"/>
      <c r="P8" s="47">
        <v>25</v>
      </c>
      <c r="Q8" s="1417" t="str">
        <f>IF(E2+E3=4,0,IF(E2+E3=3,0,IF(ISNA(MATCH($P$8,Rens.!$U$5:$U$81,0)),"",INDEX(Rens.!$S$5:$S$81,MATCH($P$8,Rens.!$U$5:$U$81,0)))))</f>
        <v/>
      </c>
      <c r="R8" s="1418"/>
      <c r="S8" s="1419"/>
      <c r="T8" s="55"/>
      <c r="U8" s="47"/>
      <c r="V8" s="47"/>
      <c r="W8" s="38">
        <v>26</v>
      </c>
      <c r="X8" s="1325"/>
      <c r="Y8" s="1305" t="str">
        <f>IF(ISNA(MATCH($W$8,Rens.!$U$5:$U$81,0)),"",INDEX(Rens.!$S$5:$S$81,MATCH($W$8,Rens.!$U$5:$U$81,0)))</f>
        <v/>
      </c>
      <c r="Z8" s="1306"/>
      <c r="AA8" s="1306"/>
      <c r="AB8" s="1307"/>
      <c r="AC8" s="53">
        <v>1</v>
      </c>
      <c r="AD8" s="54">
        <v>28</v>
      </c>
      <c r="AE8" s="1325"/>
      <c r="AF8" s="1305" t="str">
        <f>IF(ISNA(MATCH($AD$8,Rens.!$U$5:$U$81,0)),"",INDEX(Rens.!$S$5:$S$81,MATCH($AD$8,Rens.!$U$5:$U$81,0)))</f>
        <v/>
      </c>
      <c r="AG8" s="1306"/>
      <c r="AH8" s="1306"/>
      <c r="AI8" s="1307"/>
      <c r="AJ8" s="53">
        <v>1</v>
      </c>
      <c r="AK8" s="44"/>
      <c r="AL8" s="47">
        <v>30</v>
      </c>
      <c r="AM8" s="1417" t="e">
        <f>IF($AA$2+$AA$3=4,0,IF($AA$2+$AA$3=3,0,IF(ISNA(MATCH($AL$8,Rens.!$U$5:$U$81,0)),"",INDEX(Rens.!$S$5:$S$81,MATCH($AL$8,Rens.!$U$5:$U$81,0)))))</f>
        <v>#REF!</v>
      </c>
      <c r="AN8" s="1418"/>
      <c r="AO8" s="1419"/>
      <c r="AP8" s="55"/>
      <c r="AQ8" s="40"/>
      <c r="AR8" s="40"/>
    </row>
    <row r="9" spans="1:44" ht="15.75" thickBot="1">
      <c r="A9" s="52">
        <v>22</v>
      </c>
      <c r="B9" s="1326"/>
      <c r="C9" s="1341" t="str">
        <f>IF(ISNA(MATCH($A$9,Rens.!$U$5:$U$81,0)),"",INDEX(Rens.!$S$5:$S$81,MATCH($A$9,Rens.!$U$5:$U$81,0)))</f>
        <v/>
      </c>
      <c r="D9" s="1342"/>
      <c r="E9" s="1342"/>
      <c r="F9" s="1343"/>
      <c r="G9" s="79">
        <v>0</v>
      </c>
      <c r="H9" s="54">
        <v>24</v>
      </c>
      <c r="I9" s="1326"/>
      <c r="J9" s="1341" t="str">
        <f>IF(ISNA(MATCH($H$9,Rens.!$U$5:$U$81,0)),"0ffice",INDEX(Rens.!$S$5:$S$81,MATCH($H$9,Rens.!$U$5:$U$81,0)))</f>
        <v>0ffice</v>
      </c>
      <c r="K9" s="1342"/>
      <c r="L9" s="1342"/>
      <c r="M9" s="1343"/>
      <c r="N9" s="53">
        <v>0</v>
      </c>
      <c r="O9" s="44"/>
      <c r="P9" s="47"/>
      <c r="Q9" s="56" t="e">
        <f>IF(ISNA(MATCH($P$8,#REF!,0)),"",INDEX(#REF!,MATCH($P$8,#REF!,0)))</f>
        <v>#REF!</v>
      </c>
      <c r="R9" s="47"/>
      <c r="S9" s="47"/>
      <c r="T9" s="51"/>
      <c r="U9" s="47"/>
      <c r="V9" s="47"/>
      <c r="W9" s="38">
        <v>27</v>
      </c>
      <c r="X9" s="1326"/>
      <c r="Y9" s="1341" t="str">
        <f>IF(ISNA(MATCH($W$9,Rens.!$U$5:$U$81,0)),"",INDEX(Rens.!$S$5:$S$81,MATCH($W$9,Rens.!$U$5:$U$81,0)))</f>
        <v/>
      </c>
      <c r="Z9" s="1342"/>
      <c r="AA9" s="1342"/>
      <c r="AB9" s="1343"/>
      <c r="AC9" s="80">
        <v>0</v>
      </c>
      <c r="AD9" s="54">
        <v>29</v>
      </c>
      <c r="AE9" s="1326"/>
      <c r="AF9" s="1341" t="str">
        <f>IF(ISNA(MATCH($AD$9,Rens.!$U$5:$U$81,0)),"",INDEX(Rens.!$S$5:$S$81,MATCH($AD$9,Rens.!$U$5:$U$81,0)))</f>
        <v/>
      </c>
      <c r="AG9" s="1342"/>
      <c r="AH9" s="1342"/>
      <c r="AI9" s="1343"/>
      <c r="AJ9" s="53">
        <v>0</v>
      </c>
      <c r="AK9" s="44"/>
      <c r="AL9" s="47"/>
      <c r="AM9" s="56" t="e">
        <f>IF(ISNA(MATCH($AL$8,#REF!,0)),"",INDEX(#REF!,MATCH($AL$8,#REF!,0)))</f>
        <v>#REF!</v>
      </c>
      <c r="AN9" s="47"/>
      <c r="AO9" s="47"/>
      <c r="AP9" s="51"/>
      <c r="AQ9" s="40"/>
      <c r="AR9" s="40"/>
    </row>
    <row r="10" spans="1:44" ht="15.75" thickBot="1">
      <c r="A10" s="38"/>
      <c r="B10" s="43"/>
      <c r="C10" s="92" t="s">
        <v>15</v>
      </c>
      <c r="D10" s="39"/>
      <c r="E10" s="47"/>
      <c r="F10" s="47"/>
      <c r="G10" s="47"/>
      <c r="H10" s="47"/>
      <c r="I10" s="47"/>
      <c r="J10" s="50" t="s">
        <v>40</v>
      </c>
      <c r="K10" s="39"/>
      <c r="L10" s="47"/>
      <c r="M10" s="47"/>
      <c r="N10" s="47"/>
      <c r="O10" s="47"/>
      <c r="P10" s="47"/>
      <c r="Q10" s="47"/>
      <c r="R10" s="47"/>
      <c r="S10" s="47"/>
      <c r="T10" s="51"/>
      <c r="U10" s="47"/>
      <c r="V10" s="47"/>
      <c r="W10" s="38"/>
      <c r="X10" s="43"/>
      <c r="Y10" s="92" t="s">
        <v>15</v>
      </c>
      <c r="Z10" s="39"/>
      <c r="AA10" s="47"/>
      <c r="AB10" s="47"/>
      <c r="AC10" s="47"/>
      <c r="AD10" s="47"/>
      <c r="AE10" s="47"/>
      <c r="AF10" s="50" t="s">
        <v>40</v>
      </c>
      <c r="AG10" s="39"/>
      <c r="AH10" s="47"/>
      <c r="AI10" s="47"/>
      <c r="AJ10" s="47"/>
      <c r="AK10" s="47"/>
      <c r="AL10" s="47"/>
      <c r="AM10" s="47"/>
      <c r="AN10" s="47"/>
      <c r="AO10" s="47"/>
      <c r="AP10" s="51"/>
      <c r="AQ10" s="40"/>
      <c r="AR10" s="40"/>
    </row>
    <row r="11" spans="1:44">
      <c r="A11" s="38"/>
      <c r="B11" s="43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51"/>
      <c r="U11" s="47"/>
      <c r="V11" s="47"/>
      <c r="W11" s="38"/>
      <c r="X11" s="43"/>
      <c r="Y11" s="48"/>
      <c r="Z11" s="48"/>
      <c r="AA11" s="48"/>
      <c r="AB11" s="48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51"/>
      <c r="AQ11" s="40"/>
      <c r="AR11" s="40"/>
    </row>
    <row r="12" spans="1:44">
      <c r="A12" s="38"/>
      <c r="B12" s="43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51"/>
      <c r="U12" s="47"/>
      <c r="V12" s="47"/>
      <c r="W12" s="38"/>
      <c r="X12" s="43"/>
      <c r="Y12" s="48"/>
      <c r="Z12" s="48"/>
      <c r="AA12" s="48"/>
      <c r="AB12" s="48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51"/>
      <c r="AQ12" s="40"/>
      <c r="AR12" s="40"/>
    </row>
    <row r="13" spans="1:44" ht="15.75" thickBot="1">
      <c r="A13" s="38"/>
      <c r="B13" s="49" t="s">
        <v>6</v>
      </c>
      <c r="C13" s="47"/>
      <c r="D13" s="78" t="s">
        <v>58</v>
      </c>
      <c r="E13" s="47"/>
      <c r="F13" s="47"/>
      <c r="G13" s="44" t="s">
        <v>5</v>
      </c>
      <c r="H13" s="44"/>
      <c r="I13" s="47"/>
      <c r="J13" s="47"/>
      <c r="K13" s="47"/>
      <c r="L13" s="47" t="s">
        <v>59</v>
      </c>
      <c r="M13" s="47"/>
      <c r="N13" s="47"/>
      <c r="O13" s="47"/>
      <c r="P13" s="44" t="s">
        <v>6</v>
      </c>
      <c r="Q13" s="47"/>
      <c r="R13" s="78" t="s">
        <v>57</v>
      </c>
      <c r="S13" s="47"/>
      <c r="T13" s="44" t="s">
        <v>5</v>
      </c>
      <c r="U13" s="57"/>
      <c r="V13" s="58"/>
      <c r="W13" s="38"/>
      <c r="X13" s="59" t="s">
        <v>6</v>
      </c>
      <c r="Y13" s="48"/>
      <c r="Z13" s="48" t="s">
        <v>58</v>
      </c>
      <c r="AA13" s="48"/>
      <c r="AB13" s="48"/>
      <c r="AC13" s="44" t="s">
        <v>5</v>
      </c>
      <c r="AD13" s="44"/>
      <c r="AE13" s="47"/>
      <c r="AF13" s="47"/>
      <c r="AG13" s="47"/>
      <c r="AH13" s="47" t="s">
        <v>59</v>
      </c>
      <c r="AI13" s="47"/>
      <c r="AJ13" s="47"/>
      <c r="AK13" s="47"/>
      <c r="AL13" s="44" t="s">
        <v>6</v>
      </c>
      <c r="AM13" s="47"/>
      <c r="AN13" s="47" t="s">
        <v>57</v>
      </c>
      <c r="AO13" s="47"/>
      <c r="AP13" s="45" t="s">
        <v>5</v>
      </c>
      <c r="AQ13" s="58"/>
      <c r="AR13" s="58"/>
    </row>
    <row r="14" spans="1:44" ht="15.75" thickBot="1">
      <c r="A14" s="38"/>
      <c r="B14" s="1325"/>
      <c r="C14" s="1305" t="str">
        <f>IF($G$8=$G$9,"résultat",IF($G$8&gt;$G$9,$C$9,$C$8))</f>
        <v/>
      </c>
      <c r="D14" s="1336"/>
      <c r="E14" s="1336"/>
      <c r="F14" s="1337"/>
      <c r="G14" s="53">
        <v>1</v>
      </c>
      <c r="H14" s="44"/>
      <c r="I14" s="47"/>
      <c r="J14" s="1370" t="str">
        <f>IF(ISTEXT($Q$8),IF(($G$9=$G$8),"résultat",IF(($N$9=$N$8),"résultat",IF(($U$14=2),$C$8,IF(($V$14=2),$C$9,IF(($U$15=2),$J$9,IF(($V$15=2),J8,0)))))))</f>
        <v/>
      </c>
      <c r="K14" s="1371"/>
      <c r="L14" s="1371"/>
      <c r="M14" s="1372"/>
      <c r="N14" s="55"/>
      <c r="O14" s="47"/>
      <c r="P14" s="1325"/>
      <c r="Q14" s="1364" t="str">
        <f>IF($E$2+$E$3=5,$Q$8,IF($N$8=$N$9,"résultat",IF($N$8&gt;$N$9,$J$8,$J$9)))</f>
        <v/>
      </c>
      <c r="R14" s="1365"/>
      <c r="S14" s="1366"/>
      <c r="T14" s="61">
        <v>1</v>
      </c>
      <c r="U14" s="62">
        <f>IF(G8&gt;G9,1)+IF(N8&gt;N9,1)</f>
        <v>2</v>
      </c>
      <c r="V14" s="63">
        <f>IF(G9&gt;G8,1)+IF(N9&gt;N8,1)</f>
        <v>0</v>
      </c>
      <c r="W14" s="38"/>
      <c r="X14" s="1325"/>
      <c r="Y14" s="1427" t="str">
        <f>IF($AC$8=$AC$9,"résultat",IF($AC$8&gt;$AC$9,$Y$9,$Y$8))</f>
        <v/>
      </c>
      <c r="Z14" s="1336"/>
      <c r="AA14" s="1336"/>
      <c r="AB14" s="1337"/>
      <c r="AC14" s="53">
        <v>1</v>
      </c>
      <c r="AD14" s="44"/>
      <c r="AE14" s="47"/>
      <c r="AF14" s="1428" t="b">
        <f>IF(ISTEXT($AM$8),IF(($AC$9=$AC$8),"résultat",IF(($AJ$9=$AJ$8),"résultat",IF(($AQ$14=2),$Y$8,IF(($AR$14=2),$Y$9,IF(($AQ$15=2),$AF$9,IF(($AR$15=2),$AF$8,0)))))))</f>
        <v>0</v>
      </c>
      <c r="AG14" s="1371"/>
      <c r="AH14" s="1371"/>
      <c r="AI14" s="1372"/>
      <c r="AJ14" s="60"/>
      <c r="AK14" s="47"/>
      <c r="AL14" s="1325"/>
      <c r="AM14" s="1364" t="e">
        <f>IF($AA$2+$AA$3=5,$AM$8,IF($AJ$8&gt;$AJ$9,$AF$8,$AF$9))</f>
        <v>#REF!</v>
      </c>
      <c r="AN14" s="1365"/>
      <c r="AO14" s="1366"/>
      <c r="AP14" s="53">
        <v>1</v>
      </c>
      <c r="AQ14" s="62">
        <f>IF(AC8&gt;AC9,1)+IF(AJ8&gt;AJ9,1)</f>
        <v>2</v>
      </c>
      <c r="AR14" s="63">
        <f>IF(AC9&gt;AC8,1)+IF(AJ9&gt;AJ8,1)</f>
        <v>0</v>
      </c>
    </row>
    <row r="15" spans="1:44" ht="15.75" thickBot="1">
      <c r="A15" s="38"/>
      <c r="B15" s="1326"/>
      <c r="C15" s="1333" t="str">
        <f>IF($N$8=$N$9,"résultat",IF($N$8&lt;$N$9,$J$8,$J$9))</f>
        <v>0ffice</v>
      </c>
      <c r="D15" s="1334"/>
      <c r="E15" s="1334"/>
      <c r="F15" s="1335"/>
      <c r="G15" s="64">
        <v>0</v>
      </c>
      <c r="H15" s="44"/>
      <c r="I15" s="47"/>
      <c r="J15" s="65" t="str">
        <f>IF(ISTEXT(J14)," ",0)</f>
        <v xml:space="preserve"> </v>
      </c>
      <c r="K15" s="47"/>
      <c r="L15" s="47"/>
      <c r="M15" s="47"/>
      <c r="N15" s="47"/>
      <c r="O15" s="47"/>
      <c r="P15" s="1326"/>
      <c r="Q15" s="1333" t="str">
        <f>IF(ISBLANK($Q$8),IF($G$8&gt;$G$9,$C$8,$C$9),IF(ISNUMBER($Q$8),IF(G8=G9,"résultat",IF($G$8&gt;$G$9,$C$8,$C$9)),IF(ISTEXT($Q$8),IF(($G$9=$G$8),"résultat",IF(($N$9=$N$8),"résultat",IF(($U$14=2),$J$8,IF(($V$14=2),$J$9,IF(($U$15=2),$C$8,IF(($V$15=2),$C$9)))))))))</f>
        <v/>
      </c>
      <c r="R15" s="1334"/>
      <c r="S15" s="1335"/>
      <c r="T15" s="79">
        <v>0</v>
      </c>
      <c r="U15" s="66">
        <f>IF(G8&gt;G9,1)+IF(N9&gt;N8,1)</f>
        <v>1</v>
      </c>
      <c r="V15" s="67">
        <f>IF(G9&gt;G8,1)+IF(N8&gt;N9,1)</f>
        <v>1</v>
      </c>
      <c r="W15" s="38"/>
      <c r="X15" s="1326"/>
      <c r="Y15" s="1333" t="str">
        <f>IF($AJ$8=$AJ$9,"résultat",IF($AJ$8&lt;$AJ$9,$AF$8,$AF$9))</f>
        <v/>
      </c>
      <c r="Z15" s="1334"/>
      <c r="AA15" s="1334"/>
      <c r="AB15" s="1335"/>
      <c r="AC15" s="53">
        <v>0</v>
      </c>
      <c r="AD15" s="44"/>
      <c r="AE15" s="47"/>
      <c r="AF15" s="47"/>
      <c r="AG15" s="47"/>
      <c r="AH15" s="47"/>
      <c r="AI15" s="47"/>
      <c r="AJ15" s="47"/>
      <c r="AK15" s="47"/>
      <c r="AL15" s="1326"/>
      <c r="AM15" s="1333" t="b">
        <f>IF(ISBLANK($AM$8),IF($AC$8&gt;$AC$9,$Y$8,$Y$9),IF(ISNUMBER($AM$8),IF($AC$8&gt;$AC$9,$Y$8,$Y$9),IF(ISTEXT($AM$8),IF(($AC$9=$AC$8),"résultat",IF(($AJ$9=$AJ$8),"résultat",IF(($AQ$14=2),$AF$8,IF(($AR$14=2),$AF$9,IF(($AQ$15=2),$Y$8,IF(($AR$15=2),$Y$9)))))))))</f>
        <v>0</v>
      </c>
      <c r="AN15" s="1334"/>
      <c r="AO15" s="1335"/>
      <c r="AP15" s="79">
        <v>0</v>
      </c>
      <c r="AQ15" s="66">
        <f>IF(AC8&gt;AC9,1)+IF(AJ9&gt;AJ8,1)</f>
        <v>1</v>
      </c>
      <c r="AR15" s="67">
        <f>IF(AC9&gt;AC8,1)+IF(AJ8&gt;AJ9,1)</f>
        <v>1</v>
      </c>
    </row>
    <row r="16" spans="1:44">
      <c r="A16" s="38"/>
      <c r="B16" s="43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68"/>
      <c r="Q16" s="47"/>
      <c r="R16" s="47"/>
      <c r="S16" s="47"/>
      <c r="T16" s="51"/>
      <c r="U16" s="47"/>
      <c r="V16" s="47"/>
      <c r="W16" s="38"/>
      <c r="X16" s="43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51"/>
      <c r="AQ16" s="40"/>
      <c r="AR16" s="40"/>
    </row>
    <row r="17" spans="1:44">
      <c r="A17" s="38"/>
      <c r="B17" s="43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51"/>
      <c r="U17" s="47"/>
      <c r="V17" s="47"/>
      <c r="W17" s="38"/>
      <c r="X17" s="43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51"/>
      <c r="AQ17" s="40"/>
      <c r="AR17" s="40"/>
    </row>
    <row r="18" spans="1:44">
      <c r="A18" s="38"/>
      <c r="B18" s="43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2"/>
      <c r="T18" s="51"/>
      <c r="U18" s="47"/>
      <c r="V18" s="47"/>
      <c r="W18" s="38"/>
      <c r="X18" s="43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51"/>
      <c r="AQ18" s="40"/>
      <c r="AR18" s="40"/>
    </row>
    <row r="19" spans="1:44" ht="15.75" thickBot="1">
      <c r="A19" s="38"/>
      <c r="B19" s="43"/>
      <c r="C19" s="47"/>
      <c r="D19" s="47"/>
      <c r="E19" s="44" t="s">
        <v>6</v>
      </c>
      <c r="F19" s="47"/>
      <c r="G19" s="47"/>
      <c r="H19" s="47"/>
      <c r="I19" s="47"/>
      <c r="J19" s="44" t="s">
        <v>5</v>
      </c>
      <c r="K19" s="44"/>
      <c r="L19" s="44" t="s">
        <v>6</v>
      </c>
      <c r="M19" s="47"/>
      <c r="N19" s="47"/>
      <c r="O19" s="47"/>
      <c r="P19" s="47"/>
      <c r="Q19" s="44" t="s">
        <v>5</v>
      </c>
      <c r="R19" s="47"/>
      <c r="S19" s="47"/>
      <c r="T19" s="51"/>
      <c r="U19" s="69"/>
      <c r="V19" s="47"/>
      <c r="W19" s="38"/>
      <c r="X19" s="43"/>
      <c r="Y19" s="47"/>
      <c r="Z19" s="47"/>
      <c r="AA19" s="44" t="s">
        <v>6</v>
      </c>
      <c r="AB19" s="47"/>
      <c r="AC19" s="47"/>
      <c r="AD19" s="47"/>
      <c r="AE19" s="47"/>
      <c r="AF19" s="44" t="s">
        <v>5</v>
      </c>
      <c r="AG19" s="44"/>
      <c r="AH19" s="44" t="s">
        <v>6</v>
      </c>
      <c r="AI19" s="47"/>
      <c r="AJ19" s="47"/>
      <c r="AK19" s="47"/>
      <c r="AL19" s="47"/>
      <c r="AM19" s="44" t="s">
        <v>5</v>
      </c>
      <c r="AN19" s="47"/>
      <c r="AO19" s="47"/>
      <c r="AP19" s="51"/>
      <c r="AQ19" s="40"/>
      <c r="AR19" s="40"/>
    </row>
    <row r="20" spans="1:44" ht="15.75" thickBot="1">
      <c r="A20" s="38"/>
      <c r="B20" s="43"/>
      <c r="C20" s="47"/>
      <c r="D20" s="47"/>
      <c r="E20" s="1325"/>
      <c r="F20" s="1341" t="b">
        <f>IF($F$3+$G$3=53,IF($G$14=$G$15,"résultat",IF($G$14&gt;$G$15,$C$14,$C$15)),IF($F$3+$G$3=52,IF($G$14=$G$15,"résultat",IF($G$14&gt;$G$15,$C$14,$C$15)),IF($F$3+$G$3=42,"0",IF($F$3+$G$3=43,"0",IF($F$3+$G$3=32,IF(0&gt;0,0,0),IF($F$3+$G$3=31,IF($T$14=$T$15,"résultat",IF($T$14&lt;$T$15,$Q$14,$Q$15))))))))</f>
        <v>0</v>
      </c>
      <c r="G20" s="1345"/>
      <c r="H20" s="1345"/>
      <c r="I20" s="1346"/>
      <c r="J20" s="53">
        <v>1</v>
      </c>
      <c r="K20" s="44"/>
      <c r="L20" s="1325" t="s">
        <v>16</v>
      </c>
      <c r="M20" s="1423" t="b">
        <f>IF($E$2+$E$3=5,$J$14)</f>
        <v>0</v>
      </c>
      <c r="N20" s="1368"/>
      <c r="O20" s="1368"/>
      <c r="P20" s="1369"/>
      <c r="Q20" s="53">
        <v>1</v>
      </c>
      <c r="R20" s="47"/>
      <c r="S20" s="47"/>
      <c r="T20" s="51"/>
      <c r="U20" s="47"/>
      <c r="V20" s="47"/>
      <c r="W20" s="38"/>
      <c r="X20" s="43"/>
      <c r="Y20" s="47"/>
      <c r="Z20" s="47"/>
      <c r="AA20" s="1325"/>
      <c r="AB20" s="1341" t="b">
        <f>IF($F$3+$G$3=53,IF($G$14=$G$15,"résultat",IF($G$14&gt;$G$15,$C$14,$C$15)),IF($F$3+$G$3=52,IF($G$14=$G$15,"résultat",IF($G$14&gt;$G$15,$C$14,$C$15)),IF($F$3+$G$3=42,"0",IF($F$3+$G$3=43,"0",IF($F$3+$G$3=32,IF(0&gt;0,0,0),IF($F$3+$G$3=31,IF($T$14=$T$15,"résultat",IF($T$14&lt;$T$15,$Q$14,$Q$15))))))))</f>
        <v>0</v>
      </c>
      <c r="AC20" s="1345"/>
      <c r="AD20" s="1345"/>
      <c r="AE20" s="1346"/>
      <c r="AF20" s="53">
        <v>0</v>
      </c>
      <c r="AG20" s="44"/>
      <c r="AH20" s="1325" t="s">
        <v>16</v>
      </c>
      <c r="AI20" s="1423" t="b">
        <f>IF($E$2+$E$3=5,$J$14)</f>
        <v>0</v>
      </c>
      <c r="AJ20" s="1368"/>
      <c r="AK20" s="1368"/>
      <c r="AL20" s="1369"/>
      <c r="AM20" s="53">
        <v>1</v>
      </c>
      <c r="AN20" s="47"/>
      <c r="AO20" s="47"/>
      <c r="AP20" s="51"/>
      <c r="AQ20" s="40"/>
      <c r="AR20" s="40"/>
    </row>
    <row r="21" spans="1:44" ht="15.75" thickBot="1">
      <c r="A21" s="38"/>
      <c r="B21" s="43"/>
      <c r="C21" s="47"/>
      <c r="D21" s="47"/>
      <c r="E21" s="1326"/>
      <c r="F21" s="1341" t="b">
        <f>IF($F$3+$G$3=53,IF($T$14=$T$15,"résultat",IF($T$14&lt;$T$15,$Q$14,$Q$15)),(IF($F$3+$G$3=52,IF($T$14=$T$15,"résultat",IF($T$14&lt;$T$15,$Q$14,$Q$15)),(IF($F$3+$G$3=43,IF(0&gt;0,0,0),(IF($F$3+$G$3=42,IF(0&gt;0,0,0),(IF($F$3+$G$3=32,IF(0&lt;0,0,0),(IF($F$3+$G$3=31,IF($G$14=$G$15,"résultat",IF($G$14&gt;$G$15,$C$14,$C$15)))))))))))))</f>
        <v>0</v>
      </c>
      <c r="G21" s="1342"/>
      <c r="H21" s="1342"/>
      <c r="I21" s="1343"/>
      <c r="J21" s="53">
        <v>0</v>
      </c>
      <c r="K21" s="44"/>
      <c r="L21" s="1326"/>
      <c r="M21" s="1341" t="b">
        <f>IF($F$3+$G$3=53,IF($T$14=$T$15,"résultat",IF($T$14&gt;$T$15,$Q$14,$Q$15)),(IF($F$3+$G$3=52,IF($T$14=$T$15,"résultat",IF($T$14&gt;$T$15,$Q$14,$Q$15)),(IF($F$3+$G$3=43,IF(0&gt;0,0,0),(IF($F$3+$G$3=42,IF(0&gt;0,0,0),(IF($F$3+$G$3=32,IF(0&gt;0,0,0),(IF($F$3+$G$3=31,IF(0&gt;0,0,0))))))))))))</f>
        <v>0</v>
      </c>
      <c r="N21" s="1342"/>
      <c r="O21" s="1342"/>
      <c r="P21" s="1343"/>
      <c r="Q21" s="53">
        <v>0</v>
      </c>
      <c r="R21" s="47"/>
      <c r="S21" s="69"/>
      <c r="T21" s="51"/>
      <c r="U21" s="47"/>
      <c r="V21" s="42"/>
      <c r="W21" s="38"/>
      <c r="X21" s="43"/>
      <c r="Y21" s="47"/>
      <c r="Z21" s="47"/>
      <c r="AA21" s="1326"/>
      <c r="AB21" s="1341" t="b">
        <f>IF($F$3+$G$3=53,IF($T$14=$T$15,"résultat",IF($T$14&lt;$T$15,$Q$14,$Q$15)),(IF($F$3+$G$3=52,IF($T$14=$T$15,"résultat",IF($T$14&lt;$T$15,$Q$14,$Q$15)),(IF($F$3+$G$3=43,IF(0&gt;0,0,0),(IF($F$3+$G$3=42,IF(0&gt;0,0,0),(IF($F$3+$G$3=32,IF(0&lt;0,0,0),(IF($F$3+$G$3=31,IF($G$14=$G$15,"résultat",IF($G$14&gt;$G$15,$C$14,$C$15)))))))))))))</f>
        <v>0</v>
      </c>
      <c r="AC21" s="1342"/>
      <c r="AD21" s="1342"/>
      <c r="AE21" s="1343"/>
      <c r="AF21" s="53">
        <v>0</v>
      </c>
      <c r="AG21" s="44"/>
      <c r="AH21" s="1326"/>
      <c r="AI21" s="1341" t="b">
        <f>IF($F$3+$G$3=53,IF($T$14=$T$15,"résultat",IF($T$14&gt;$T$15,$Q$14,$Q$15)),(IF($F$3+$G$3=52,IF($T$14=$T$15,"résultat",IF($T$14&gt;$T$15,$Q$14,$Q$15)),(IF($F$3+$G$3=43,IF(0&gt;0,0,0),(IF($F$3+$G$3=42,IF(0&gt;0,0,0),(IF($F$3+$G$3=32,IF(0&gt;0,0,0),(IF($F$3+$G$3=31,IF(0&gt;0,0,0))))))))))))</f>
        <v>0</v>
      </c>
      <c r="AJ21" s="1342"/>
      <c r="AK21" s="1342"/>
      <c r="AL21" s="1343"/>
      <c r="AM21" s="53">
        <v>0</v>
      </c>
      <c r="AN21" s="47"/>
      <c r="AO21" s="47"/>
      <c r="AP21" s="51"/>
      <c r="AQ21" s="40"/>
      <c r="AR21" s="40"/>
    </row>
    <row r="22" spans="1:44">
      <c r="A22" s="38"/>
      <c r="B22" s="43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51"/>
      <c r="U22" s="47"/>
      <c r="V22" s="47"/>
      <c r="W22" s="38"/>
      <c r="X22" s="43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51"/>
      <c r="AQ22" s="40"/>
      <c r="AR22" s="40"/>
    </row>
    <row r="23" spans="1:44">
      <c r="A23" s="38"/>
      <c r="B23" s="43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51"/>
      <c r="U23" s="47"/>
      <c r="V23" s="47"/>
      <c r="W23" s="38"/>
      <c r="X23" s="43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51"/>
      <c r="AQ23" s="40"/>
      <c r="AR23" s="40"/>
    </row>
    <row r="24" spans="1:44" ht="15.75" thickBot="1">
      <c r="A24" s="38"/>
      <c r="B24" s="43"/>
      <c r="C24" s="47"/>
      <c r="D24" s="47"/>
      <c r="E24" s="47"/>
      <c r="F24" s="47"/>
      <c r="G24" s="47"/>
      <c r="H24" s="47"/>
      <c r="I24" s="44" t="s">
        <v>6</v>
      </c>
      <c r="J24" s="47"/>
      <c r="K24" s="47"/>
      <c r="L24" s="47"/>
      <c r="M24" s="47"/>
      <c r="N24" s="44" t="s">
        <v>5</v>
      </c>
      <c r="O24" s="44"/>
      <c r="P24" s="70"/>
      <c r="Q24" s="47"/>
      <c r="R24" s="47"/>
      <c r="S24" s="47"/>
      <c r="T24" s="51"/>
      <c r="U24" s="47"/>
      <c r="V24" s="47"/>
      <c r="W24" s="38"/>
      <c r="X24" s="43"/>
      <c r="Y24" s="47"/>
      <c r="Z24" s="47"/>
      <c r="AA24" s="47"/>
      <c r="AB24" s="47"/>
      <c r="AC24" s="47"/>
      <c r="AD24" s="47"/>
      <c r="AE24" s="44" t="s">
        <v>6</v>
      </c>
      <c r="AF24" s="47"/>
      <c r="AG24" s="47"/>
      <c r="AH24" s="47"/>
      <c r="AI24" s="47"/>
      <c r="AJ24" s="44" t="s">
        <v>5</v>
      </c>
      <c r="AK24" s="44"/>
      <c r="AL24" s="70"/>
      <c r="AM24" s="47"/>
      <c r="AN24" s="47"/>
      <c r="AO24" s="47"/>
      <c r="AP24" s="51"/>
      <c r="AQ24" s="40"/>
      <c r="AR24" s="40"/>
    </row>
    <row r="25" spans="1:44" ht="15.75" thickBot="1">
      <c r="A25" s="38"/>
      <c r="B25" s="43"/>
      <c r="C25" s="47"/>
      <c r="D25" s="47"/>
      <c r="E25" s="47"/>
      <c r="F25" s="47"/>
      <c r="G25" s="47"/>
      <c r="H25" s="47"/>
      <c r="I25" s="1325"/>
      <c r="J25" s="1250" t="b">
        <f>IF($F$3+$G$3=53,IF(0&lt;0,0,0),(IF($F$3+$G$3=52,IF($Q$20=$Q$21,"résultat",IF($Q$20&lt;$Q$21,$M$20,$M$21)),IF($F$3+$G$3=43,IF(0&lt;0,0,0),(IF($F$3+$G$3=42,IF($T$14=$T$15,"résultat",IF($T$14&lt;$T$15,$Q$14,$Q$15)),IF($F$3+$G$3=32,IF($T$14=$T$15,"résultat",IF($T$14&lt;$T$15,$Q$14,$Q$15)),IF($F$3+$G$3=31,IF($J$20=$J$21,"résultat",IF($J$20&gt;$J$21,$F$20,$F$21))))))))))</f>
        <v>0</v>
      </c>
      <c r="K25" s="1327"/>
      <c r="L25" s="1327"/>
      <c r="M25" s="1328"/>
      <c r="N25" s="53">
        <v>1</v>
      </c>
      <c r="O25" s="44"/>
      <c r="P25" s="47"/>
      <c r="Q25" s="47"/>
      <c r="R25" s="47"/>
      <c r="S25" s="47"/>
      <c r="T25" s="51"/>
      <c r="U25" s="47"/>
      <c r="V25" s="47"/>
      <c r="W25" s="38"/>
      <c r="X25" s="43"/>
      <c r="Y25" s="47"/>
      <c r="Z25" s="47"/>
      <c r="AA25" s="47"/>
      <c r="AB25" s="47"/>
      <c r="AC25" s="47"/>
      <c r="AD25" s="47"/>
      <c r="AE25" s="1325"/>
      <c r="AF25" s="1250" t="e">
        <f>IF($AB$3+$AC$3=53,IF(0&lt;0,0,0),(IF($AB$3+$AC$3=52,IF($AM$20=$AM$21,"résultat",IF($AM$20&lt;$AM$21,$AI$20,$AI$21)),IF($AB$3+$AC$3=43,IF(0&lt;0,0,0),(IF($AB$3+$AC$3=42,IF($AP$14=$AP$15,"résultat",IF($AP$14&lt;$AP$15,$AM$14,$AM$15)),IF($AB$3+$AC$3=32,IF($AP$14=$AP$15,"résultat",IF($AP$14&lt;$AP$15,$AM$14,$AM$15)),IF($AB$3+$AC$3=31,IF($AF$20=$AF$21,"résultat",IF($AF$20&gt;$AF$21,$AB$20,$AB$21))))))))))</f>
        <v>#REF!</v>
      </c>
      <c r="AG25" s="1327"/>
      <c r="AH25" s="1327"/>
      <c r="AI25" s="1328"/>
      <c r="AJ25" s="53">
        <v>1</v>
      </c>
      <c r="AK25" s="44"/>
      <c r="AL25" s="47"/>
      <c r="AM25" s="47"/>
      <c r="AN25" s="47"/>
      <c r="AO25" s="47"/>
      <c r="AP25" s="51"/>
      <c r="AQ25" s="40"/>
      <c r="AR25" s="40"/>
    </row>
    <row r="26" spans="1:44" ht="15.75" thickBot="1">
      <c r="A26" s="38"/>
      <c r="B26" s="43"/>
      <c r="C26" s="47"/>
      <c r="D26" s="47"/>
      <c r="E26" s="47"/>
      <c r="F26" s="47"/>
      <c r="G26" s="47"/>
      <c r="H26" s="47"/>
      <c r="I26" s="1326"/>
      <c r="J26" s="1347" t="b">
        <f>IF($F$3+$G$3=53,IF(0&gt;0,0,0),(IF($F$3+$G$3=52,IF($J$20=$J$21,"résultat",IF($J$20&gt;$J$21,$F$20,$F$21)),IF($F$3+$G$3=43,IF(0&gt;0,0,0),(IF(F3+G3=42,IF($G$14=$G$15,"résultat",IF($G$14&gt;$G$15,$C$14,$C$15)),(IF($F$3+$G$3=32,IF($G$14=$G$15,"résultat",IF($G$14&gt;$G$15,$C$14,$C$15)),(IF($F$3+$G$3=31,IF($T$14=$T$15,"résultat",IF($T$14&gt;$T$15,$Q$14,$Q$15))))))))))))</f>
        <v>0</v>
      </c>
      <c r="K26" s="1348"/>
      <c r="L26" s="1348"/>
      <c r="M26" s="1349"/>
      <c r="N26" s="53">
        <v>0</v>
      </c>
      <c r="O26" s="44"/>
      <c r="P26" s="47"/>
      <c r="Q26" s="47"/>
      <c r="R26" s="47"/>
      <c r="S26" s="47"/>
      <c r="T26" s="51"/>
      <c r="U26" s="47"/>
      <c r="V26" s="47"/>
      <c r="W26" s="38"/>
      <c r="X26" s="43"/>
      <c r="Y26" s="47"/>
      <c r="Z26" s="47"/>
      <c r="AA26" s="47"/>
      <c r="AB26" s="47"/>
      <c r="AC26" s="47"/>
      <c r="AD26" s="47"/>
      <c r="AE26" s="1326"/>
      <c r="AF26" s="1449" t="e">
        <f>IF($AB$3+$AC$3=53,IF(0&gt;0,0,0),(IF($AB$3+$AC$3=52,IF(AF20=AF21,"résultat",IF($AF$20&gt;$AF$21,$AB$20,$AB$21)),IF($AB$3+$AC$3=43,IF(0&gt;0,0,0),(IF($AB$3+$AC$3=42,IF(AC14=AC15,"résultat",IF($AC$14&gt;$AC$15,$Y$14,$Y$15)),(IF($AB$3+$AC$3=32,IF(AC14=AC15,"résultat",IF($AC$14&gt;$AC$15,$Y$14,$Y$15)),(IF($AB$3+$AC$3=31,IF(AP14=AP15,"résultat",IF($AP$14&gt;$AP$15,$AM$14,$AM$15))))))))))))</f>
        <v>#REF!</v>
      </c>
      <c r="AG26" s="1450"/>
      <c r="AH26" s="1450"/>
      <c r="AI26" s="1451"/>
      <c r="AJ26" s="53">
        <v>0</v>
      </c>
      <c r="AK26" s="44"/>
      <c r="AL26" s="47"/>
      <c r="AM26" s="47"/>
      <c r="AN26" s="47"/>
      <c r="AO26" s="47"/>
      <c r="AP26" s="51"/>
      <c r="AQ26" s="40"/>
      <c r="AR26" s="40"/>
    </row>
    <row r="27" spans="1:44" ht="15.75" thickBot="1">
      <c r="A27" s="38"/>
      <c r="B27" s="43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51"/>
      <c r="U27" s="47"/>
      <c r="V27" s="47"/>
      <c r="W27" s="38"/>
      <c r="X27" s="43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51"/>
      <c r="AQ27" s="40"/>
      <c r="AR27" s="40"/>
    </row>
    <row r="28" spans="1:44" ht="15.75" thickBot="1">
      <c r="A28" s="38"/>
      <c r="B28" s="43"/>
      <c r="D28" s="47"/>
      <c r="E28" s="47"/>
      <c r="F28" s="47"/>
      <c r="G28" s="47"/>
      <c r="H28" s="47"/>
      <c r="I28" s="47"/>
      <c r="J28" s="1440" t="s">
        <v>56</v>
      </c>
      <c r="K28" s="1441"/>
      <c r="L28" s="1441"/>
      <c r="M28" s="1442"/>
      <c r="N28" s="47"/>
      <c r="O28" s="47"/>
      <c r="P28" s="69"/>
      <c r="Q28" s="47"/>
      <c r="R28" s="47"/>
      <c r="S28" s="47"/>
      <c r="T28" s="51"/>
      <c r="W28" s="38"/>
      <c r="X28" s="43"/>
      <c r="Z28" s="47"/>
      <c r="AA28" s="47"/>
      <c r="AB28" s="47"/>
      <c r="AC28" s="47"/>
      <c r="AD28" s="47"/>
      <c r="AE28" s="47"/>
      <c r="AF28" s="1440" t="s">
        <v>56</v>
      </c>
      <c r="AG28" s="1441"/>
      <c r="AH28" s="1441"/>
      <c r="AI28" s="1442"/>
      <c r="AJ28" s="47"/>
      <c r="AK28" s="47"/>
      <c r="AL28" s="69"/>
      <c r="AM28" s="47"/>
      <c r="AN28" s="47"/>
      <c r="AO28" s="47"/>
      <c r="AP28" s="51"/>
    </row>
    <row r="29" spans="1:44" ht="15.75" thickBot="1">
      <c r="A29" s="38"/>
      <c r="B29" s="43"/>
      <c r="D29" s="1432" t="s">
        <v>0</v>
      </c>
      <c r="E29" s="1433"/>
      <c r="F29" s="1434"/>
      <c r="G29" s="47"/>
      <c r="H29" s="1429" t="b">
        <f>IF($F$3+$G$3=53,IF($Q$20=$Q$21,"résultat",IF($Q$20&gt;$Q$21,$M$20,$M$21)),(IF($F$3+$G$3=52,IF($Q$20=$Q$21,"résultat",IF($Q$20&gt;$Q$21,$M$20,$M$21)),(IF($F$3+$G$3=43,IF($T$14=$T$15,"résultat",IF($T$14&gt;$T$15,$Q$14,$Q$15)),(IF($F$3+$G$3=42,IF($T$14=$T$15,"résultat",IF($T$14&gt;$T$15,$Q$14,$Q$15)),(IF($F$3+$G$3=32,IF($T$14=$T$15,"résultat",IF($T$14&gt;$T$15,$Q$14,$Q$15)),(IF($F$3+$G$3=31,IF($N$25=$N$26,"résultat",IF($N$25&gt;$N$26,$J$25,$J$26)))))))))))))</f>
        <v>0</v>
      </c>
      <c r="I29" s="1452"/>
      <c r="J29" s="1452"/>
      <c r="K29" s="1452"/>
      <c r="L29" s="1452"/>
      <c r="M29" s="1452"/>
      <c r="N29" s="1453"/>
      <c r="O29" s="47"/>
      <c r="P29" s="47"/>
      <c r="Q29" s="47"/>
      <c r="R29" s="47"/>
      <c r="S29" s="47"/>
      <c r="T29" s="51"/>
      <c r="W29" s="38"/>
      <c r="X29" s="43"/>
      <c r="Z29" s="1432" t="s">
        <v>0</v>
      </c>
      <c r="AA29" s="1433"/>
      <c r="AB29" s="1434"/>
      <c r="AC29" s="47"/>
      <c r="AD29" s="1429" t="e">
        <f>IF($AB$3+$AC$3=53,IF($AM$20=$AM$21,"résultat",IF($AM$20&gt;$AM$21,$AI$20,$AI$21)),(IF($AB$3+$AC$3=52,IF($AM$20=$AM$21,"résultat",IF($AM$20&gt;$AM$21,$AI$20,$AI$21)),(IF($AB$3+$AC$3=43,IF($AP$14=$AP$15,"résultat",IF($AP$14&gt;$AP$15,$AM$14,$AM$15)),(IF($AB$3+$AC$3=42,IF($AP$14=$AP$15,"résultat",IF($AP$14&gt;$AP$15,$AM$14,$AM$15)),(IF($AB$3+$AC$3=32,IF($AP$14=$AP$15,"résultat",IF($AP$14&gt;$AP$15,$AM$14,$AM$15)),(IF($AB$3+$AC$3=31,IF($AJ$25=$AJ$26,"résultat",IF($AJ$25&gt;$AJ$26,$AF$25,$AF$26)))))))))))))</f>
        <v>#REF!</v>
      </c>
      <c r="AE29" s="1452"/>
      <c r="AF29" s="1452"/>
      <c r="AG29" s="1452"/>
      <c r="AH29" s="1452"/>
      <c r="AI29" s="1452"/>
      <c r="AJ29" s="1453"/>
      <c r="AK29" s="47"/>
      <c r="AL29" s="47"/>
      <c r="AM29" s="60" t="s">
        <v>70</v>
      </c>
      <c r="AN29" s="47"/>
      <c r="AO29" s="47"/>
      <c r="AP29" s="51"/>
    </row>
    <row r="30" spans="1:44">
      <c r="A30" s="38"/>
      <c r="B30" s="43"/>
      <c r="D30" s="1396" t="s">
        <v>1</v>
      </c>
      <c r="E30" s="1397"/>
      <c r="F30" s="1398"/>
      <c r="G30" s="47"/>
      <c r="H30" s="1399" t="b">
        <f>IF($F$3+$G$3=53,IF($Q$20=$Q$21,"résultat",IF($Q$20&lt;$Q$21,$M$20,$M$21)),(IF($F$3+$G$3=52,IF($N$25=$N$26,"résultat",IF($N$25&gt;$N$26,$J$25,$J$26)),(IF($F$3+$G$3=43,IF($T$14=$T$15,"résultat",IF($T$14&lt;$T$15,$Q$14,$Q$15)),(IF($F$3+$G$3=42,IF($N$25=$N$26,"résultat",IF($N$25&gt;$N$26,$J$25,$J$26)),(IF($F$3+$G$3=32,IF($N$25=$N$26,"résultat",IF($N$25&gt;$N$26,$J$25,$J$26)),(IF($F$3+$G$3=31,IF($N$25=$N$26,"résultat",IF($N$25&lt;$N$26,$J$25,$J$26)))))))))))))</f>
        <v>0</v>
      </c>
      <c r="I30" s="1400"/>
      <c r="J30" s="1400"/>
      <c r="K30" s="1400"/>
      <c r="L30" s="1400"/>
      <c r="M30" s="1400"/>
      <c r="N30" s="1401"/>
      <c r="O30" s="47"/>
      <c r="P30" s="71"/>
      <c r="Q30" s="71"/>
      <c r="R30" s="71"/>
      <c r="S30" s="71"/>
      <c r="T30" s="51"/>
      <c r="W30" s="38"/>
      <c r="X30" s="43"/>
      <c r="Z30" s="1396" t="s">
        <v>1</v>
      </c>
      <c r="AA30" s="1397"/>
      <c r="AB30" s="1398"/>
      <c r="AC30" s="47"/>
      <c r="AD30" s="1399" t="e">
        <f>IF($AB$3+$AC$3=53,IF($AM$20=$AM$21,"résultat",IF($AM$20&lt;$AM$21,$AI$20,$AI$21)),(IF($AB$3+$AC$3=52,IF($AJ$25=$AJ$26,"résultat",IF($AJ$25&gt;$AJ$26,$AF$25,$AF$26)),(IF($AB$3+$AC$3=43,IF($AP$14=$AP$15,"résultat",IF($AP$14&lt;$AP$15,$AM$14,$AM$15)),(IF($AB$3+$AC$3=42,IF($AJ$25=$AJ$26,"résultat",IF($AJ$25&gt;$AJ$26,$AF$25,$AF$26)),(IF($AB$3+$AC$3=32,IF($AJ$25=$AJ$26,"résultat",IF($AJ$25&gt;$AJ$26,$AF$25,$AF$26)),(IF($AB$3+$AC$3=31,IF($AJ$25=$AJ$26,"résultat",IF($AJ$25&lt;$AJ$26,$AF$25,$AF$26)))))))))))))</f>
        <v>#REF!</v>
      </c>
      <c r="AE30" s="1400"/>
      <c r="AF30" s="1400"/>
      <c r="AG30" s="1400"/>
      <c r="AH30" s="1400"/>
      <c r="AI30" s="1400"/>
      <c r="AJ30" s="1401"/>
      <c r="AK30" s="47"/>
      <c r="AL30" s="71"/>
      <c r="AM30" s="71"/>
      <c r="AN30" s="71"/>
      <c r="AO30" s="47"/>
      <c r="AP30" s="51"/>
    </row>
    <row r="31" spans="1:44">
      <c r="A31" s="38"/>
      <c r="B31" s="43"/>
      <c r="D31" s="1396" t="s">
        <v>2</v>
      </c>
      <c r="E31" s="1397"/>
      <c r="F31" s="1398"/>
      <c r="G31" s="47"/>
      <c r="H31" s="1405" t="b">
        <f>IF($F$3+$G$3=53,IF($J$20=$J$21,"résultat",IF($J$20&gt;$J$21,$F$20,$F$21)),(IF($F$3+$G$3=52,IF($N$25=$N$26,"résultat",IF($N$25&lt;$N$26,$J$25,$J$26)),(IF($F$3+$G$3=43,IF($G$14=$G$15,"résultat",IF($G$14&gt;$G$15,$C$14,$C$15)),(IF($F$3+$G$3=42,IF($N$25=$N$26,"résultat",IF($N$25&lt;$N$26,$J$25,$J$26)),(IF($F$3+$G$3=32,IF($N$25=$N$26,"résultat",IF($N$25&lt;$N$26,$J$25,$J$26)),(IF($F$3+$G$3=31,IF($J$20=$J$21,"résultat",IF($J$20&lt;$J$21,$F$20,$F$21)))))))))))))</f>
        <v>0</v>
      </c>
      <c r="I31" s="1406"/>
      <c r="J31" s="1406"/>
      <c r="K31" s="1406"/>
      <c r="L31" s="1406"/>
      <c r="M31" s="1406"/>
      <c r="N31" s="1407"/>
      <c r="O31" s="47"/>
      <c r="P31" s="47"/>
      <c r="Q31" s="47"/>
      <c r="R31" s="47"/>
      <c r="S31" s="47"/>
      <c r="T31" s="51"/>
      <c r="W31" s="38"/>
      <c r="X31" s="43"/>
      <c r="Z31" s="1396" t="s">
        <v>2</v>
      </c>
      <c r="AA31" s="1397"/>
      <c r="AB31" s="1398"/>
      <c r="AC31" s="47"/>
      <c r="AD31" s="1402" t="e">
        <f>IF($AB$3+$AC$3=53,IF($AF$20=$AF$21,"résultat",IF($AF$20&gt;$AF$21,$AB$20,$AB$21)),(IF($AB$3+$AC$3=52,IF($AJ$25=$AJ$26,"résultat",IF($AJ$25&lt;$AJ$26,$AF$25,$AF$26)),(IF($AB$3+$AC$3=43,IF($AC$14=$AC$15,"résultat",IF($AC$14&gt;$G$15,$Y$14,$Y$15)),(IF($AB$3+$AC$3=42,IF($AJ$25=$AJ$26,"résultat",IF($AJ$25&lt;$AJ$26,$AF$25,$AF$26)),(IF($AB$3+$AC$3=32,IF($AJ$25=$AJ$26,"résultat",IF($AJ$25&lt;$AJ$26,$AF$25,$AF$26)),(IF($AB$3+$AC$3=31,IF($AF$20=$AF$21,"résultat",IF($AF$20&lt;$AF$21,$AB$20,$AB$21)))))))))))))</f>
        <v>#REF!</v>
      </c>
      <c r="AE31" s="1403"/>
      <c r="AF31" s="1403"/>
      <c r="AG31" s="1403"/>
      <c r="AH31" s="1403"/>
      <c r="AI31" s="1403"/>
      <c r="AJ31" s="1404"/>
      <c r="AK31" s="47"/>
      <c r="AL31" s="47"/>
      <c r="AM31" s="47"/>
      <c r="AN31" s="47"/>
      <c r="AO31" s="47"/>
      <c r="AP31" s="51"/>
    </row>
    <row r="32" spans="1:44">
      <c r="A32" s="38"/>
      <c r="B32" s="43"/>
      <c r="D32" s="1396" t="s">
        <v>3</v>
      </c>
      <c r="E32" s="1397"/>
      <c r="F32" s="1398"/>
      <c r="G32" s="47"/>
      <c r="H32" s="1405" t="b">
        <f>IF($F$3+$G$3=53,IF($J$20=$J$21,"résultat",IF($J$20&lt;$J$21,$F$20,$F$21)),(IF($F$3+$G$3=52,IF($J$20=$J$21,"résultat",IF($J$20&lt;$J$21,$F$20,$F$21)),(IF($F$3+$G$3=43,IF($G$14=$G$15,"résultat",IF($G$14&lt;$G$15,$C$14,$C$15)),(IF($F$3+$G$3=42,IF($G$14=$G$15,"résultat",IF($G$14&lt;$G$15,$C$14,$C$15)),(IF($F$3+$G$3=32,IF(0&gt;0,0,0),(IF($F$3+$G$3=31,IF(0&gt;0,0,0))))))))))))</f>
        <v>0</v>
      </c>
      <c r="I32" s="1406"/>
      <c r="J32" s="1406"/>
      <c r="K32" s="1406"/>
      <c r="L32" s="1406"/>
      <c r="M32" s="1406"/>
      <c r="N32" s="1407"/>
      <c r="O32" s="47"/>
      <c r="P32" s="47"/>
      <c r="Q32" s="47"/>
      <c r="R32" s="47"/>
      <c r="S32" s="47"/>
      <c r="T32" s="51"/>
      <c r="W32" s="38"/>
      <c r="X32" s="43"/>
      <c r="Z32" s="1396" t="s">
        <v>3</v>
      </c>
      <c r="AA32" s="1397"/>
      <c r="AB32" s="1398"/>
      <c r="AC32" s="47"/>
      <c r="AD32" s="1405" t="e">
        <f>IF($AB$3+$AC$3=53,IF($AF$20=$AF$21,"résultat",IF($AF$20&lt;$AF$21,$AB$20,$AB$21)),(IF($AB$3+$AC$3=52,IF($AF$20=$AF$21,"résultat",IF($AF$20&lt;$AF$21,$AB$20,$AB$21)),(IF($AB$3+$AC$3=43,IF($AC$14=$AC$15,"résultat",IF($AC$14&lt;$AC$15,$Y$14,$Y$15)),(IF($AB$3+$AC$3=42,IF($AC$14=$AC$15,"résultat",IF($AC$14&lt;$AC$15,$Y$14,$Y$15)),(IF($AB$3+$AC$3=32,IF(0&gt;0,0,0),(IF($AB$3+$AC$3=31,IF(0&gt;0,0,0))))))))))))</f>
        <v>#REF!</v>
      </c>
      <c r="AE32" s="1406"/>
      <c r="AF32" s="1406"/>
      <c r="AG32" s="1406"/>
      <c r="AH32" s="1406"/>
      <c r="AI32" s="1406"/>
      <c r="AJ32" s="1407"/>
      <c r="AK32" s="47"/>
      <c r="AL32" s="47"/>
      <c r="AM32" s="47"/>
      <c r="AN32" s="47"/>
      <c r="AO32" s="47"/>
      <c r="AP32" s="51"/>
    </row>
    <row r="33" spans="1:44" ht="15.75" thickBot="1">
      <c r="A33" s="38"/>
      <c r="B33" s="43"/>
      <c r="D33" s="1390" t="s">
        <v>4</v>
      </c>
      <c r="E33" s="1391"/>
      <c r="F33" s="1392"/>
      <c r="G33" s="47"/>
      <c r="H33" s="1393" t="b">
        <f>IF($F$3+$G$3=53,IF($G$14=$G$15,"résultat",IF($G$14&lt;$G$15,$C$14,$C$15)),(IF($F$3+$G$3=52,IF($G$14=$G$15,"résultat",IF($G$14&lt;$G$15,$C$14,$C$15)),(IF($F$3+$G$3=43,IF(0&gt;0,0,0),(IF($F$3+$G$3=42,IF(0&gt;0,0,0),(IF($F$3+$G$3=32,IF(0&gt;0,0,0),(IF($F$3+$G$3=31,IF(0&gt;0,0,0))))))))))))</f>
        <v>0</v>
      </c>
      <c r="I33" s="1394"/>
      <c r="J33" s="1394"/>
      <c r="K33" s="1394"/>
      <c r="L33" s="1394"/>
      <c r="M33" s="1394"/>
      <c r="N33" s="1395"/>
      <c r="O33" s="47"/>
      <c r="P33" s="47"/>
      <c r="Q33" s="47"/>
      <c r="R33" s="47"/>
      <c r="S33" s="47"/>
      <c r="T33" s="51"/>
      <c r="W33" s="38"/>
      <c r="X33" s="43"/>
      <c r="Z33" s="1390" t="s">
        <v>4</v>
      </c>
      <c r="AA33" s="1391"/>
      <c r="AB33" s="1392"/>
      <c r="AC33" s="47"/>
      <c r="AD33" s="1393" t="e">
        <f>IF($AB$3+$AC$3=53,IF(AC14=AC15,"résultat",IF($AC$14&lt;$AC$15,$Y$14,$Y$15)),(IF($AB$3+$AC$3=52,IF(AC14=AC15,"résultat",IF($AC$14&lt;$AC$15,$Y$14,$Y$15)),(IF($AB$3+$AC$3=43,IF(0&gt;0,0,0),(IF($AB$3+$AC$3=42,IF(0&gt;0,0,0),(IF($AB$3+$AC$3=32,IF(0&gt;0,0,0),(IF($AB$3+$AC$3=31,IF(0&gt;0,0,0))))))))))))</f>
        <v>#REF!</v>
      </c>
      <c r="AE33" s="1394"/>
      <c r="AF33" s="1394"/>
      <c r="AG33" s="1394"/>
      <c r="AH33" s="1394"/>
      <c r="AI33" s="1394"/>
      <c r="AJ33" s="1395"/>
      <c r="AK33" s="47"/>
      <c r="AL33" s="47"/>
      <c r="AM33" s="47"/>
      <c r="AN33" s="47"/>
      <c r="AO33" s="47"/>
      <c r="AP33" s="51"/>
    </row>
    <row r="34" spans="1:44">
      <c r="A34" s="38"/>
      <c r="B34" s="43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47"/>
      <c r="O34" s="47"/>
      <c r="P34" s="47"/>
      <c r="Q34" s="47"/>
      <c r="R34" s="47"/>
      <c r="S34" s="47"/>
      <c r="T34" s="51"/>
      <c r="U34" s="47"/>
      <c r="V34" s="47"/>
      <c r="W34" s="38"/>
      <c r="X34" s="43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7"/>
      <c r="AK34" s="47"/>
      <c r="AL34" s="47"/>
      <c r="AM34" s="47"/>
      <c r="AN34" s="47"/>
      <c r="AO34" s="47"/>
      <c r="AP34" s="51"/>
      <c r="AQ34" s="40"/>
      <c r="AR34" s="40"/>
    </row>
    <row r="35" spans="1:44" ht="15.75" thickBot="1">
      <c r="A35" s="38"/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4"/>
      <c r="O35" s="74"/>
      <c r="P35" s="74"/>
      <c r="Q35" s="74"/>
      <c r="R35" s="74"/>
      <c r="S35" s="74"/>
      <c r="T35" s="75"/>
      <c r="U35" s="38"/>
      <c r="V35" s="38"/>
      <c r="W35" s="38"/>
      <c r="X35" s="72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5"/>
      <c r="AQ35" s="40"/>
      <c r="AR35" s="40"/>
    </row>
    <row r="36" spans="1:4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3"/>
    </row>
    <row r="37" spans="1:4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4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</sheetData>
  <sheetProtection formatColumns="0" formatRows="0" selectLockedCells="1"/>
  <mergeCells count="88">
    <mergeCell ref="D33:F33"/>
    <mergeCell ref="H33:N33"/>
    <mergeCell ref="Z33:AB33"/>
    <mergeCell ref="AD33:AJ33"/>
    <mergeCell ref="D31:F31"/>
    <mergeCell ref="H31:N31"/>
    <mergeCell ref="Z31:AB31"/>
    <mergeCell ref="AD31:AJ31"/>
    <mergeCell ref="D32:F32"/>
    <mergeCell ref="H32:N32"/>
    <mergeCell ref="Z32:AB32"/>
    <mergeCell ref="AD32:AJ32"/>
    <mergeCell ref="D29:F29"/>
    <mergeCell ref="H29:N29"/>
    <mergeCell ref="Z29:AB29"/>
    <mergeCell ref="AD29:AJ29"/>
    <mergeCell ref="D30:F30"/>
    <mergeCell ref="H30:N30"/>
    <mergeCell ref="Z30:AB30"/>
    <mergeCell ref="AD30:AJ30"/>
    <mergeCell ref="I25:I26"/>
    <mergeCell ref="J25:M25"/>
    <mergeCell ref="AE25:AE26"/>
    <mergeCell ref="AF25:AI25"/>
    <mergeCell ref="J26:M26"/>
    <mergeCell ref="AF26:AI26"/>
    <mergeCell ref="AA20:AA21"/>
    <mergeCell ref="AB20:AE20"/>
    <mergeCell ref="AH20:AH21"/>
    <mergeCell ref="AI20:AL20"/>
    <mergeCell ref="F21:I21"/>
    <mergeCell ref="M21:P21"/>
    <mergeCell ref="AB21:AE21"/>
    <mergeCell ref="AI21:AL21"/>
    <mergeCell ref="AL14:AL15"/>
    <mergeCell ref="AM14:AO14"/>
    <mergeCell ref="C15:F15"/>
    <mergeCell ref="Q15:S15"/>
    <mergeCell ref="Y15:AB15"/>
    <mergeCell ref="AM15:AO15"/>
    <mergeCell ref="X14:X15"/>
    <mergeCell ref="Y14:AB14"/>
    <mergeCell ref="Y9:AB9"/>
    <mergeCell ref="AF9:AI9"/>
    <mergeCell ref="B14:B15"/>
    <mergeCell ref="C14:F14"/>
    <mergeCell ref="J14:M14"/>
    <mergeCell ref="P14:P15"/>
    <mergeCell ref="Q14:S14"/>
    <mergeCell ref="AF14:AI14"/>
    <mergeCell ref="AP4:AP5"/>
    <mergeCell ref="Y4:AO4"/>
    <mergeCell ref="I1:L1"/>
    <mergeCell ref="N1:S1"/>
    <mergeCell ref="B8:B9"/>
    <mergeCell ref="C8:F8"/>
    <mergeCell ref="I8:I9"/>
    <mergeCell ref="J8:M8"/>
    <mergeCell ref="Q8:S8"/>
    <mergeCell ref="C9:F9"/>
    <mergeCell ref="J9:M9"/>
    <mergeCell ref="X8:X9"/>
    <mergeCell ref="Y8:AB8"/>
    <mergeCell ref="AE8:AE9"/>
    <mergeCell ref="AF8:AI8"/>
    <mergeCell ref="AM8:AO8"/>
    <mergeCell ref="AJ1:AO1"/>
    <mergeCell ref="X2:Z2"/>
    <mergeCell ref="AB2:AC2"/>
    <mergeCell ref="AE2:AG2"/>
    <mergeCell ref="AE1:AH1"/>
    <mergeCell ref="AH2:AP2"/>
    <mergeCell ref="AF28:AI28"/>
    <mergeCell ref="J28:M28"/>
    <mergeCell ref="B1:D1"/>
    <mergeCell ref="E1:G1"/>
    <mergeCell ref="X1:Z1"/>
    <mergeCell ref="AA1:AC1"/>
    <mergeCell ref="E20:E21"/>
    <mergeCell ref="F20:I20"/>
    <mergeCell ref="L20:L21"/>
    <mergeCell ref="M20:P20"/>
    <mergeCell ref="F2:G2"/>
    <mergeCell ref="C4:S4"/>
    <mergeCell ref="I2:K2"/>
    <mergeCell ref="B2:D2"/>
    <mergeCell ref="L2:T2"/>
    <mergeCell ref="T4:T5"/>
  </mergeCells>
  <conditionalFormatting sqref="H32">
    <cfRule type="expression" dxfId="424" priority="136">
      <formula>$H$2=5</formula>
    </cfRule>
    <cfRule type="expression" dxfId="423" priority="137">
      <formula>$H$2=4</formula>
    </cfRule>
    <cfRule type="expression" dxfId="422" priority="138">
      <formula>$H$2=0</formula>
    </cfRule>
  </conditionalFormatting>
  <conditionalFormatting sqref="H29:N29">
    <cfRule type="expression" dxfId="421" priority="133">
      <formula>$H$2=0</formula>
    </cfRule>
    <cfRule type="expression" dxfId="420" priority="134" stopIfTrue="1">
      <formula>(OR(H2="1",H2="2",H2="3"))</formula>
    </cfRule>
  </conditionalFormatting>
  <conditionalFormatting sqref="H30:N30">
    <cfRule type="expression" dxfId="419" priority="132">
      <formula>(OR(H2="2",H2="3"))</formula>
    </cfRule>
  </conditionalFormatting>
  <conditionalFormatting sqref="H31:N31">
    <cfRule type="expression" dxfId="418" priority="131">
      <formula>(H2="3")</formula>
    </cfRule>
  </conditionalFormatting>
  <conditionalFormatting sqref="H32:N32">
    <cfRule type="cellIs" dxfId="417" priority="130" operator="equal">
      <formula>0</formula>
    </cfRule>
  </conditionalFormatting>
  <conditionalFormatting sqref="H33 AD33">
    <cfRule type="expression" dxfId="416" priority="161">
      <formula>$AF$2=5</formula>
    </cfRule>
  </conditionalFormatting>
  <conditionalFormatting sqref="AD33">
    <cfRule type="expression" dxfId="415" priority="160">
      <formula>$AA$2=0</formula>
    </cfRule>
  </conditionalFormatting>
  <conditionalFormatting sqref="AD30">
    <cfRule type="expression" dxfId="414" priority="146" stopIfTrue="1">
      <formula>$AA$2=0</formula>
    </cfRule>
    <cfRule type="expression" dxfId="413" priority="147">
      <formula>$AF$2=5</formula>
    </cfRule>
    <cfRule type="expression" dxfId="412" priority="148">
      <formula>$AF$2=4</formula>
    </cfRule>
    <cfRule type="expression" dxfId="411" priority="149">
      <formula>$AF$2=3</formula>
    </cfRule>
    <cfRule type="expression" dxfId="410" priority="150">
      <formula>$AF$2=2</formula>
    </cfRule>
  </conditionalFormatting>
  <conditionalFormatting sqref="AD31">
    <cfRule type="expression" dxfId="409" priority="142" stopIfTrue="1">
      <formula>$AA$2=0</formula>
    </cfRule>
    <cfRule type="expression" dxfId="408" priority="143">
      <formula>$AF$2=5</formula>
    </cfRule>
    <cfRule type="expression" dxfId="407" priority="144">
      <formula>$AF$2=4</formula>
    </cfRule>
    <cfRule type="expression" dxfId="406" priority="145">
      <formula>$AF$2=3</formula>
    </cfRule>
  </conditionalFormatting>
  <conditionalFormatting sqref="AD32:AJ32">
    <cfRule type="expression" dxfId="405" priority="139">
      <formula>$AF$2=5</formula>
    </cfRule>
    <cfRule type="expression" dxfId="404" priority="140" stopIfTrue="1">
      <formula>$AA$2=0</formula>
    </cfRule>
    <cfRule type="expression" dxfId="403" priority="141">
      <formula>$AF$2=4</formula>
    </cfRule>
  </conditionalFormatting>
  <conditionalFormatting sqref="AD29:AJ29">
    <cfRule type="expression" dxfId="402" priority="135">
      <formula>$AF$2=1</formula>
    </cfRule>
  </conditionalFormatting>
  <conditionalFormatting sqref="H33:N33">
    <cfRule type="cellIs" dxfId="401" priority="129" operator="equal">
      <formula>0</formula>
    </cfRule>
  </conditionalFormatting>
  <conditionalFormatting sqref="AD32">
    <cfRule type="expression" dxfId="400" priority="120">
      <formula>$H$2=5</formula>
    </cfRule>
    <cfRule type="expression" dxfId="399" priority="121">
      <formula>$H$2=4</formula>
    </cfRule>
    <cfRule type="expression" dxfId="398" priority="122">
      <formula>$AA$2=0</formula>
    </cfRule>
  </conditionalFormatting>
  <conditionalFormatting sqref="AD29:AJ29">
    <cfRule type="expression" dxfId="397" priority="118" stopIfTrue="1">
      <formula>$AA$2=0</formula>
    </cfRule>
    <cfRule type="expression" dxfId="396" priority="119" stopIfTrue="1">
      <formula>(OR(AF2="1",AF2="2",AF2="3"))</formula>
    </cfRule>
  </conditionalFormatting>
  <conditionalFormatting sqref="AD30:AJ30">
    <cfRule type="expression" dxfId="395" priority="117">
      <formula>(OR(AF2="2",AF2="3"))</formula>
    </cfRule>
  </conditionalFormatting>
  <conditionalFormatting sqref="AD31">
    <cfRule type="expression" dxfId="394" priority="116">
      <formula>(AF2="3")</formula>
    </cfRule>
  </conditionalFormatting>
  <conditionalFormatting sqref="AD32:AJ32">
    <cfRule type="cellIs" dxfId="393" priority="115" operator="equal">
      <formula>0</formula>
    </cfRule>
  </conditionalFormatting>
  <conditionalFormatting sqref="AD33:AJ33">
    <cfRule type="cellIs" dxfId="392" priority="114" operator="equal">
      <formula>0</formula>
    </cfRule>
  </conditionalFormatting>
  <conditionalFormatting sqref="AD29">
    <cfRule type="expression" dxfId="391" priority="200">
      <formula>$AF$2=2</formula>
    </cfRule>
    <cfRule type="expression" dxfId="390" priority="201">
      <formula>$AF$2=5</formula>
    </cfRule>
    <cfRule type="expression" dxfId="389" priority="202">
      <formula>$AF$2=4</formula>
    </cfRule>
    <cfRule type="expression" dxfId="388" priority="203">
      <formula>$AF$2=3</formula>
    </cfRule>
    <cfRule type="expression" dxfId="387" priority="204">
      <formula>$H$2=0</formula>
    </cfRule>
  </conditionalFormatting>
  <conditionalFormatting sqref="H33 AD33">
    <cfRule type="expression" dxfId="386" priority="99">
      <formula>$AD$2=5</formula>
    </cfRule>
  </conditionalFormatting>
  <conditionalFormatting sqref="AD33">
    <cfRule type="expression" dxfId="385" priority="98">
      <formula>$AD$2=0</formula>
    </cfRule>
  </conditionalFormatting>
  <conditionalFormatting sqref="AD29">
    <cfRule type="expression" dxfId="384" priority="90">
      <formula>$AD$2=2</formula>
    </cfRule>
    <cfRule type="expression" dxfId="383" priority="91">
      <formula>$AD$2=5</formula>
    </cfRule>
    <cfRule type="expression" dxfId="382" priority="92">
      <formula>$AD$2=4</formula>
    </cfRule>
    <cfRule type="expression" dxfId="381" priority="93">
      <formula>$AD$2=3</formula>
    </cfRule>
    <cfRule type="expression" dxfId="380" priority="94">
      <formula>$H$2=0</formula>
    </cfRule>
  </conditionalFormatting>
  <conditionalFormatting sqref="AD30">
    <cfRule type="expression" dxfId="379" priority="85">
      <formula>$AD$2=0</formula>
    </cfRule>
    <cfRule type="expression" dxfId="378" priority="86">
      <formula>$AD$2=5</formula>
    </cfRule>
    <cfRule type="expression" dxfId="377" priority="87">
      <formula>$AD$2=4</formula>
    </cfRule>
    <cfRule type="expression" dxfId="376" priority="88">
      <formula>$AD$2=3</formula>
    </cfRule>
    <cfRule type="expression" dxfId="375" priority="89">
      <formula>$AD$2=2</formula>
    </cfRule>
  </conditionalFormatting>
  <conditionalFormatting sqref="AD31">
    <cfRule type="expression" dxfId="374" priority="81">
      <formula>$AD$2=0</formula>
    </cfRule>
    <cfRule type="expression" dxfId="373" priority="82">
      <formula>$AD$2=5</formula>
    </cfRule>
    <cfRule type="expression" dxfId="372" priority="83">
      <formula>$AD$2=4</formula>
    </cfRule>
    <cfRule type="expression" dxfId="371" priority="84">
      <formula>$AD$2=3</formula>
    </cfRule>
  </conditionalFormatting>
  <conditionalFormatting sqref="AD32:AJ32">
    <cfRule type="cellIs" dxfId="370" priority="77" operator="equal">
      <formula>0</formula>
    </cfRule>
    <cfRule type="expression" dxfId="369" priority="78">
      <formula>$AD$2=5</formula>
    </cfRule>
    <cfRule type="expression" dxfId="368" priority="79">
      <formula>$AD$2=0</formula>
    </cfRule>
    <cfRule type="expression" dxfId="367" priority="80">
      <formula>$AD$2=4</formula>
    </cfRule>
  </conditionalFormatting>
  <conditionalFormatting sqref="H32 AD32">
    <cfRule type="expression" dxfId="366" priority="76">
      <formula>$H$2=0</formula>
    </cfRule>
  </conditionalFormatting>
  <conditionalFormatting sqref="AD29:AJ29">
    <cfRule type="expression" dxfId="365" priority="75">
      <formula>$AD$2=1</formula>
    </cfRule>
  </conditionalFormatting>
  <conditionalFormatting sqref="H29:N29">
    <cfRule type="expression" dxfId="364" priority="73">
      <formula>$H$2=0</formula>
    </cfRule>
    <cfRule type="expression" dxfId="363" priority="74" stopIfTrue="1">
      <formula>(OR(H2="1",H2="2",H2="3"))</formula>
    </cfRule>
  </conditionalFormatting>
  <conditionalFormatting sqref="H30:N30">
    <cfRule type="expression" dxfId="362" priority="72">
      <formula>(OR(H2="2",H2="3"))</formula>
    </cfRule>
  </conditionalFormatting>
  <conditionalFormatting sqref="H31:N31">
    <cfRule type="cellIs" dxfId="361" priority="70" operator="equal">
      <formula>0</formula>
    </cfRule>
    <cfRule type="expression" dxfId="360" priority="71">
      <formula>(H2="3")</formula>
    </cfRule>
  </conditionalFormatting>
  <conditionalFormatting sqref="AD29:AJ29">
    <cfRule type="expression" dxfId="359" priority="68">
      <formula>$H$2=0</formula>
    </cfRule>
    <cfRule type="expression" dxfId="358" priority="69" stopIfTrue="1">
      <formula>(OR(AD2="1",AD2="2",AD2="3"))</formula>
    </cfRule>
  </conditionalFormatting>
  <conditionalFormatting sqref="AD30:AJ30">
    <cfRule type="expression" dxfId="357" priority="67">
      <formula>(OR(AD2="2",AD2="3"))</formula>
    </cfRule>
  </conditionalFormatting>
  <conditionalFormatting sqref="AD31">
    <cfRule type="expression" dxfId="356" priority="66">
      <formula>(AD2="3")</formula>
    </cfRule>
  </conditionalFormatting>
  <conditionalFormatting sqref="H33:N33">
    <cfRule type="cellIs" dxfId="355" priority="45" operator="equal">
      <formula>0</formula>
    </cfRule>
  </conditionalFormatting>
  <conditionalFormatting sqref="H32:N32">
    <cfRule type="cellIs" dxfId="354" priority="44" operator="equal">
      <formula>0</formula>
    </cfRule>
  </conditionalFormatting>
  <conditionalFormatting sqref="AD33:AJ33">
    <cfRule type="cellIs" dxfId="353" priority="42" operator="equal">
      <formula>0</formula>
    </cfRule>
  </conditionalFormatting>
  <conditionalFormatting sqref="AD31">
    <cfRule type="cellIs" dxfId="352" priority="41" operator="equal">
      <formula>0</formula>
    </cfRule>
  </conditionalFormatting>
  <conditionalFormatting sqref="C8:F9">
    <cfRule type="expression" dxfId="351" priority="39">
      <formula>(OR($E$2=3,$E$2=4,$E$2=5))</formula>
    </cfRule>
  </conditionalFormatting>
  <conditionalFormatting sqref="F20:I20">
    <cfRule type="cellIs" dxfId="350" priority="37" operator="equal">
      <formula>0</formula>
    </cfRule>
  </conditionalFormatting>
  <conditionalFormatting sqref="AF26">
    <cfRule type="expression" dxfId="349" priority="3">
      <formula>(OR($E$2=3,$E$2=4,$E$2=5))</formula>
    </cfRule>
  </conditionalFormatting>
  <conditionalFormatting sqref="AB20:AE20">
    <cfRule type="cellIs" dxfId="348" priority="1" operator="equal">
      <formula>0</formula>
    </cfRule>
  </conditionalFormatting>
  <pageMargins left="0.7" right="0.7" top="0.75" bottom="0.75" header="0.3" footer="0.3"/>
  <pageSetup paperSize="9" scale="79" orientation="landscape" horizontalDpi="4294967292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6">
    <tabColor rgb="FF66FF33"/>
  </sheetPr>
  <dimension ref="A1:AR39"/>
  <sheetViews>
    <sheetView workbookViewId="0"/>
  </sheetViews>
  <sheetFormatPr baseColWidth="10" defaultRowHeight="15"/>
  <cols>
    <col min="1" max="1" width="4" customWidth="1"/>
    <col min="2" max="2" width="5.140625" customWidth="1"/>
    <col min="3" max="3" width="6.42578125" customWidth="1"/>
    <col min="4" max="4" width="11.28515625" customWidth="1"/>
    <col min="5" max="5" width="4.42578125" customWidth="1"/>
    <col min="6" max="6" width="7.42578125" customWidth="1"/>
    <col min="7" max="7" width="6" customWidth="1"/>
    <col min="8" max="8" width="8.42578125" customWidth="1"/>
    <col min="9" max="9" width="5.5703125" customWidth="1"/>
    <col min="10" max="10" width="5" customWidth="1"/>
    <col min="11" max="11" width="6.28515625" customWidth="1"/>
    <col min="12" max="12" width="4.42578125" customWidth="1"/>
    <col min="13" max="13" width="13" customWidth="1"/>
    <col min="14" max="14" width="6.28515625" customWidth="1"/>
    <col min="15" max="16" width="6" customWidth="1"/>
    <col min="17" max="17" width="7.7109375" customWidth="1"/>
    <col min="18" max="18" width="5.28515625" customWidth="1"/>
    <col min="19" max="19" width="12.28515625" customWidth="1"/>
    <col min="20" max="20" width="6" customWidth="1"/>
    <col min="21" max="21" width="7" customWidth="1"/>
    <col min="22" max="22" width="5.140625" customWidth="1"/>
    <col min="23" max="23" width="6.42578125" customWidth="1"/>
    <col min="24" max="24" width="11.28515625" customWidth="1"/>
    <col min="25" max="25" width="4.42578125" customWidth="1"/>
    <col min="26" max="26" width="7.42578125" customWidth="1"/>
    <col min="27" max="27" width="6" customWidth="1"/>
    <col min="28" max="28" width="8.42578125" customWidth="1"/>
    <col min="29" max="29" width="5.5703125" customWidth="1"/>
    <col min="30" max="30" width="5" customWidth="1"/>
    <col min="31" max="31" width="6.28515625" customWidth="1"/>
    <col min="32" max="32" width="4.42578125" customWidth="1"/>
    <col min="33" max="33" width="13" customWidth="1"/>
    <col min="34" max="36" width="6" customWidth="1"/>
    <col min="37" max="37" width="7.7109375" customWidth="1"/>
    <col min="38" max="38" width="5.28515625" customWidth="1"/>
    <col min="39" max="39" width="12.28515625" customWidth="1"/>
    <col min="40" max="40" width="6" customWidth="1"/>
    <col min="43" max="43" width="7" customWidth="1"/>
    <col min="44" max="44" width="5.5703125" customWidth="1"/>
  </cols>
  <sheetData>
    <row r="1" spans="1:44" ht="21.75" thickBot="1">
      <c r="A1" s="1"/>
      <c r="B1" s="1443" t="s">
        <v>51</v>
      </c>
      <c r="C1" s="1415"/>
      <c r="D1" s="1415"/>
      <c r="E1" s="1415">
        <f>Rens.!J1</f>
        <v>0</v>
      </c>
      <c r="F1" s="1415"/>
      <c r="G1" s="1415"/>
      <c r="H1" s="18">
        <f ca="1">Rens.!$D$3</f>
        <v>2021</v>
      </c>
      <c r="I1" s="1415" t="str">
        <f>Rens.!$J$3</f>
        <v>Quadrette</v>
      </c>
      <c r="J1" s="1415"/>
      <c r="K1" s="1415"/>
      <c r="L1" s="1415"/>
      <c r="M1" s="19" t="e">
        <f>Rens.!#REF!</f>
        <v>#REF!</v>
      </c>
      <c r="N1" s="1443" t="s">
        <v>23</v>
      </c>
      <c r="O1" s="1415"/>
      <c r="P1" s="1415"/>
      <c r="Q1" s="1415"/>
      <c r="R1" s="1415"/>
      <c r="S1" s="1447"/>
      <c r="T1" s="4">
        <f>Rens.!$E$8</f>
        <v>0</v>
      </c>
      <c r="W1" s="1"/>
      <c r="X1" s="1443" t="s">
        <v>51</v>
      </c>
      <c r="Y1" s="1415"/>
      <c r="Z1" s="1415"/>
      <c r="AA1" s="1415">
        <f>Rens.!J1</f>
        <v>0</v>
      </c>
      <c r="AB1" s="1415"/>
      <c r="AC1" s="1415"/>
      <c r="AD1" s="18">
        <f ca="1">Rens.!$D$3</f>
        <v>2021</v>
      </c>
      <c r="AE1" s="1415" t="str">
        <f>Rens.!$J$3</f>
        <v>Quadrette</v>
      </c>
      <c r="AF1" s="1415"/>
      <c r="AG1" s="1415"/>
      <c r="AH1" s="1415"/>
      <c r="AI1" s="19" t="e">
        <f>Rens.!#REF!</f>
        <v>#REF!</v>
      </c>
      <c r="AJ1" s="1443" t="s">
        <v>23</v>
      </c>
      <c r="AK1" s="1415"/>
      <c r="AL1" s="1415"/>
      <c r="AM1" s="1415"/>
      <c r="AN1" s="1415"/>
      <c r="AO1" s="1447"/>
      <c r="AP1" s="5">
        <f>Rens.!$E$8</f>
        <v>0</v>
      </c>
      <c r="AQ1" s="3"/>
    </row>
    <row r="2" spans="1:44" ht="19.5" customHeight="1" thickBot="1">
      <c r="A2" s="1"/>
      <c r="B2" s="1443" t="s">
        <v>28</v>
      </c>
      <c r="C2" s="1415"/>
      <c r="D2" s="1415"/>
      <c r="E2" s="16">
        <f>Rens.!K16</f>
        <v>0</v>
      </c>
      <c r="F2" s="1415" t="s">
        <v>19</v>
      </c>
      <c r="G2" s="1415"/>
      <c r="H2" s="7">
        <f>Rens.!K17</f>
        <v>0</v>
      </c>
      <c r="I2" s="1415" t="s">
        <v>20</v>
      </c>
      <c r="J2" s="1415"/>
      <c r="K2" s="1415"/>
      <c r="L2" s="1415"/>
      <c r="M2" s="1415"/>
      <c r="N2" s="1415"/>
      <c r="O2" s="1415"/>
      <c r="P2" s="1415"/>
      <c r="Q2" s="1415"/>
      <c r="R2" s="1415"/>
      <c r="S2" s="1415"/>
      <c r="T2" s="1447"/>
      <c r="U2" s="33"/>
      <c r="V2" s="33"/>
      <c r="W2" s="1"/>
      <c r="X2" s="1443" t="s">
        <v>29</v>
      </c>
      <c r="Y2" s="1415"/>
      <c r="Z2" s="1415"/>
      <c r="AA2" s="17">
        <f>Rens.!L16</f>
        <v>0</v>
      </c>
      <c r="AB2" s="1415" t="s">
        <v>19</v>
      </c>
      <c r="AC2" s="1415"/>
      <c r="AD2" s="7">
        <f>Rens.!L17</f>
        <v>0</v>
      </c>
      <c r="AE2" s="1415" t="s">
        <v>20</v>
      </c>
      <c r="AF2" s="1415"/>
      <c r="AG2" s="1415"/>
      <c r="AH2" s="1415"/>
      <c r="AI2" s="1415"/>
      <c r="AJ2" s="1415"/>
      <c r="AK2" s="1415"/>
      <c r="AL2" s="1415"/>
      <c r="AM2" s="1415"/>
      <c r="AN2" s="1415"/>
      <c r="AO2" s="1415"/>
      <c r="AP2" s="1447"/>
      <c r="AQ2" s="3"/>
    </row>
    <row r="3" spans="1:44" ht="15.75" customHeight="1" thickBot="1">
      <c r="A3" s="38"/>
      <c r="B3" s="43"/>
      <c r="C3" s="44"/>
      <c r="D3" s="44"/>
      <c r="E3" s="44"/>
      <c r="F3" s="76" t="str">
        <f>CONCATENATE(E2,H2)</f>
        <v>00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  <c r="U3" s="44"/>
      <c r="V3" s="44"/>
      <c r="W3" s="38"/>
      <c r="X3" s="43"/>
      <c r="Y3" s="44"/>
      <c r="Z3" s="44"/>
      <c r="AA3" s="39"/>
      <c r="AB3" s="77" t="str">
        <f>CONCATENATE(AA2,AD2)</f>
        <v>00</v>
      </c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5"/>
      <c r="AQ3" s="40"/>
      <c r="AR3" s="40"/>
    </row>
    <row r="4" spans="1:44" ht="15.75" thickBot="1">
      <c r="A4" s="38"/>
      <c r="B4" s="43"/>
      <c r="C4" s="1444" t="s">
        <v>62</v>
      </c>
      <c r="D4" s="1445"/>
      <c r="E4" s="1445"/>
      <c r="F4" s="1445"/>
      <c r="G4" s="1445"/>
      <c r="H4" s="1445"/>
      <c r="I4" s="1445"/>
      <c r="J4" s="1445"/>
      <c r="K4" s="1445"/>
      <c r="L4" s="1445"/>
      <c r="M4" s="1445"/>
      <c r="N4" s="1445"/>
      <c r="O4" s="1445"/>
      <c r="P4" s="1445"/>
      <c r="Q4" s="1445"/>
      <c r="R4" s="1445"/>
      <c r="S4" s="1446"/>
      <c r="T4" s="1448"/>
      <c r="U4" s="46"/>
      <c r="V4" s="46"/>
      <c r="W4" s="38"/>
      <c r="X4" s="43"/>
      <c r="Y4" s="1444" t="s">
        <v>62</v>
      </c>
      <c r="Z4" s="1445"/>
      <c r="AA4" s="1445"/>
      <c r="AB4" s="1445"/>
      <c r="AC4" s="1445"/>
      <c r="AD4" s="1445"/>
      <c r="AE4" s="1445"/>
      <c r="AF4" s="1445"/>
      <c r="AG4" s="1445"/>
      <c r="AH4" s="1445"/>
      <c r="AI4" s="1445"/>
      <c r="AJ4" s="1445"/>
      <c r="AK4" s="1445"/>
      <c r="AL4" s="1445"/>
      <c r="AM4" s="1445"/>
      <c r="AN4" s="1445"/>
      <c r="AO4" s="1446"/>
      <c r="AP4" s="1448"/>
      <c r="AQ4" s="40"/>
      <c r="AR4" s="40"/>
    </row>
    <row r="5" spans="1:44">
      <c r="A5" s="38"/>
      <c r="B5" s="43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448"/>
      <c r="U5" s="46"/>
      <c r="V5" s="46"/>
      <c r="W5" s="38"/>
      <c r="X5" s="43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1448"/>
      <c r="AQ5" s="40"/>
      <c r="AR5" s="40"/>
    </row>
    <row r="6" spans="1:44" ht="15.75" thickBot="1">
      <c r="A6" s="38"/>
      <c r="B6" s="43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  <c r="S6" s="44"/>
      <c r="T6" s="45"/>
      <c r="U6" s="44"/>
      <c r="V6" s="44"/>
      <c r="W6" s="38"/>
      <c r="X6" s="43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8"/>
      <c r="AO6" s="44"/>
      <c r="AP6" s="45"/>
      <c r="AQ6" s="40"/>
      <c r="AR6" s="40"/>
    </row>
    <row r="7" spans="1:44" ht="15.75" thickBot="1">
      <c r="A7" s="38"/>
      <c r="B7" s="49" t="s">
        <v>6</v>
      </c>
      <c r="C7" s="50" t="s">
        <v>14</v>
      </c>
      <c r="D7" s="39"/>
      <c r="E7" s="47"/>
      <c r="F7" s="47"/>
      <c r="G7" s="44" t="s">
        <v>5</v>
      </c>
      <c r="H7" s="44"/>
      <c r="I7" s="44" t="s">
        <v>6</v>
      </c>
      <c r="J7" s="50" t="str">
        <f>IF(E2=2,"","C")</f>
        <v>C</v>
      </c>
      <c r="K7" s="39"/>
      <c r="L7" s="47"/>
      <c r="M7" s="47"/>
      <c r="N7" s="44" t="s">
        <v>5</v>
      </c>
      <c r="O7" s="44"/>
      <c r="P7" s="44"/>
      <c r="Q7" s="50" t="s">
        <v>41</v>
      </c>
      <c r="R7" s="47"/>
      <c r="S7" s="47" t="s">
        <v>59</v>
      </c>
      <c r="T7" s="51"/>
      <c r="U7" s="47"/>
      <c r="V7" s="47"/>
      <c r="W7" s="38"/>
      <c r="X7" s="49" t="s">
        <v>6</v>
      </c>
      <c r="Y7" s="50" t="s">
        <v>14</v>
      </c>
      <c r="Z7" s="39"/>
      <c r="AA7" s="47"/>
      <c r="AB7" s="47"/>
      <c r="AC7" s="44" t="s">
        <v>5</v>
      </c>
      <c r="AD7" s="44"/>
      <c r="AE7" s="44" t="s">
        <v>6</v>
      </c>
      <c r="AF7" s="50" t="str">
        <f>IF(AA2=2,"","C")</f>
        <v>C</v>
      </c>
      <c r="AG7" s="39"/>
      <c r="AH7" s="47"/>
      <c r="AI7" s="47"/>
      <c r="AJ7" s="44" t="s">
        <v>5</v>
      </c>
      <c r="AK7" s="44"/>
      <c r="AL7" s="44"/>
      <c r="AM7" s="50" t="s">
        <v>41</v>
      </c>
      <c r="AN7" s="47"/>
      <c r="AO7" s="47" t="s">
        <v>59</v>
      </c>
      <c r="AP7" s="51"/>
      <c r="AQ7" s="40"/>
      <c r="AR7" s="40"/>
    </row>
    <row r="8" spans="1:44" ht="15.75" thickBot="1">
      <c r="A8" s="52">
        <v>31</v>
      </c>
      <c r="B8" s="1325"/>
      <c r="C8" s="1305" t="str">
        <f>IF(ISNA(MATCH($A$8,Rens.!$U$5:$U$81,0)),"",INDEX(Rens.!$S$5:$S$81,MATCH($A$8,Rens.!$U$5:$U$81,0)))</f>
        <v/>
      </c>
      <c r="D8" s="1306"/>
      <c r="E8" s="1306"/>
      <c r="F8" s="1307"/>
      <c r="G8" s="53">
        <v>1</v>
      </c>
      <c r="H8" s="54">
        <v>33</v>
      </c>
      <c r="I8" s="1325"/>
      <c r="J8" s="1338" t="str">
        <f>IF(ISNA(MATCH($H$8,Rens.!$U$5:$U$81,0)),"",INDEX(Rens.!$S$5:$S$81,MATCH($H$8,Rens.!$U$5:$U$81,0)))</f>
        <v/>
      </c>
      <c r="K8" s="1339"/>
      <c r="L8" s="1339"/>
      <c r="M8" s="1340"/>
      <c r="N8" s="53">
        <v>1</v>
      </c>
      <c r="O8" s="44"/>
      <c r="P8" s="47">
        <v>35</v>
      </c>
      <c r="Q8" s="1417" t="str">
        <f>IF(E2+E3=4,0,IF(E2+E3=3,0,IF(ISNA(MATCH($P$8,Rens.!$U$5:$U$81,0)),"",INDEX(Rens.!$S$5:$S$81,MATCH($P$8,Rens.!$U$5:$U$81,0)))))</f>
        <v/>
      </c>
      <c r="R8" s="1418"/>
      <c r="S8" s="1419"/>
      <c r="T8" s="55"/>
      <c r="U8" s="47"/>
      <c r="V8" s="47"/>
      <c r="W8" s="38">
        <v>36</v>
      </c>
      <c r="X8" s="1325"/>
      <c r="Y8" s="1305" t="str">
        <f>IF(ISNA(MATCH($W$8,Rens.!$U$5:$U$81,0)),"",INDEX(Rens.!$S$5:$S$81,MATCH($W$8,Rens.!$U$5:$U$81,0)))</f>
        <v/>
      </c>
      <c r="Z8" s="1306"/>
      <c r="AA8" s="1306"/>
      <c r="AB8" s="1307"/>
      <c r="AC8" s="53">
        <v>1</v>
      </c>
      <c r="AD8" s="54">
        <v>38</v>
      </c>
      <c r="AE8" s="1325"/>
      <c r="AF8" s="1305" t="str">
        <f>IF(ISNA(MATCH($AD$8,Rens.!$U$5:$U$81,0)),"",INDEX(Rens.!$S$5:$S$81,MATCH($AD$8,Rens.!$U$5:$U$81,0)))</f>
        <v/>
      </c>
      <c r="AG8" s="1306"/>
      <c r="AH8" s="1306"/>
      <c r="AI8" s="1307"/>
      <c r="AJ8" s="53">
        <v>1</v>
      </c>
      <c r="AK8" s="44"/>
      <c r="AL8" s="47">
        <v>40</v>
      </c>
      <c r="AM8" s="1417" t="str">
        <f>IF($AA$2+$AA$3=4,0,IF($AA$2+$AA$3=3,0,IF(ISNA(MATCH($AL$8,Rens.!$U$5:$U$81,0)),"",INDEX(Rens.!$S$5:$S$81,MATCH($AL$8,Rens.!$U$5:$U$81,0)))))</f>
        <v/>
      </c>
      <c r="AN8" s="1418"/>
      <c r="AO8" s="1419"/>
      <c r="AP8" s="55"/>
      <c r="AQ8" s="40"/>
      <c r="AR8" s="40"/>
    </row>
    <row r="9" spans="1:44" ht="15.75" thickBot="1">
      <c r="A9" s="52">
        <v>32</v>
      </c>
      <c r="B9" s="1326"/>
      <c r="C9" s="1341" t="str">
        <f>IF(ISNA(MATCH($A$9,Rens.!$U$5:$U$81,0)),"",INDEX(Rens.!$S$5:$S$81,MATCH($A$9,Rens.!$U$5:$U$81,0)))</f>
        <v/>
      </c>
      <c r="D9" s="1342"/>
      <c r="E9" s="1342"/>
      <c r="F9" s="1343"/>
      <c r="G9" s="80">
        <v>0</v>
      </c>
      <c r="H9" s="54">
        <v>34</v>
      </c>
      <c r="I9" s="1326"/>
      <c r="J9" s="1344" t="s">
        <v>65</v>
      </c>
      <c r="K9" s="1342"/>
      <c r="L9" s="1342"/>
      <c r="M9" s="1343"/>
      <c r="N9" s="53">
        <v>0</v>
      </c>
      <c r="O9" s="44"/>
      <c r="P9" s="47"/>
      <c r="Q9" s="56" t="e">
        <f>IF(ISNA(MATCH($P$8,#REF!,0)),"",INDEX(#REF!,MATCH($P$8,#REF!,0)))</f>
        <v>#REF!</v>
      </c>
      <c r="R9" s="47"/>
      <c r="S9" s="47"/>
      <c r="T9" s="51"/>
      <c r="U9" s="47"/>
      <c r="V9" s="47"/>
      <c r="W9" s="38">
        <v>37</v>
      </c>
      <c r="X9" s="1326"/>
      <c r="Y9" s="1341" t="str">
        <f>IF(ISNA(MATCH($W$9,Rens.!$U$5:$U$81,0)),"",INDEX(Rens.!$S$5:$S$81,MATCH($W$9,Rens.!$U$5:$U$81,0)))</f>
        <v/>
      </c>
      <c r="Z9" s="1342"/>
      <c r="AA9" s="1342"/>
      <c r="AB9" s="1343"/>
      <c r="AC9" s="80">
        <v>0</v>
      </c>
      <c r="AD9" s="54">
        <v>39</v>
      </c>
      <c r="AE9" s="1326"/>
      <c r="AF9" s="1344"/>
      <c r="AG9" s="1342"/>
      <c r="AH9" s="1342"/>
      <c r="AI9" s="1343"/>
      <c r="AJ9" s="53">
        <v>0</v>
      </c>
      <c r="AK9" s="44"/>
      <c r="AL9" s="47"/>
      <c r="AM9" s="56" t="e">
        <f>IF(ISNA(MATCH($AL$8,#REF!,0)),"",INDEX(#REF!,MATCH($AL$8,#REF!,0)))</f>
        <v>#REF!</v>
      </c>
      <c r="AN9" s="47"/>
      <c r="AO9" s="47"/>
      <c r="AP9" s="51"/>
      <c r="AQ9" s="40"/>
      <c r="AR9" s="40"/>
    </row>
    <row r="10" spans="1:44" ht="15.75" thickBot="1">
      <c r="A10" s="38"/>
      <c r="B10" s="43"/>
      <c r="C10" s="92" t="s">
        <v>15</v>
      </c>
      <c r="D10" s="39"/>
      <c r="E10" s="47"/>
      <c r="F10" s="47"/>
      <c r="G10" s="47"/>
      <c r="H10" s="47"/>
      <c r="I10" s="47"/>
      <c r="J10" s="50" t="s">
        <v>40</v>
      </c>
      <c r="K10" s="39"/>
      <c r="L10" s="47"/>
      <c r="M10" s="47"/>
      <c r="N10" s="47" t="s">
        <v>69</v>
      </c>
      <c r="O10" s="47"/>
      <c r="P10" s="47"/>
      <c r="Q10" s="47"/>
      <c r="R10" s="47"/>
      <c r="S10" s="47"/>
      <c r="T10" s="51"/>
      <c r="U10" s="47"/>
      <c r="V10" s="47"/>
      <c r="W10" s="38"/>
      <c r="X10" s="43"/>
      <c r="Y10" s="92" t="s">
        <v>15</v>
      </c>
      <c r="Z10" s="39"/>
      <c r="AA10" s="47"/>
      <c r="AB10" s="47"/>
      <c r="AC10" s="47"/>
      <c r="AD10" s="47"/>
      <c r="AE10" s="47"/>
      <c r="AF10" s="50" t="s">
        <v>40</v>
      </c>
      <c r="AG10" s="39"/>
      <c r="AH10" s="47"/>
      <c r="AI10" s="47"/>
      <c r="AJ10" s="47"/>
      <c r="AK10" s="47"/>
      <c r="AL10" s="47"/>
      <c r="AM10" s="47"/>
      <c r="AN10" s="47"/>
      <c r="AO10" s="47"/>
      <c r="AP10" s="51"/>
      <c r="AQ10" s="40"/>
      <c r="AR10" s="40"/>
    </row>
    <row r="11" spans="1:44">
      <c r="A11" s="38"/>
      <c r="B11" s="43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51"/>
      <c r="U11" s="47"/>
      <c r="V11" s="47"/>
      <c r="W11" s="38"/>
      <c r="X11" s="43"/>
      <c r="Y11" s="48"/>
      <c r="Z11" s="48"/>
      <c r="AA11" s="48"/>
      <c r="AB11" s="48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51"/>
      <c r="AQ11" s="40"/>
      <c r="AR11" s="40"/>
    </row>
    <row r="12" spans="1:44">
      <c r="A12" s="38"/>
      <c r="B12" s="43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51"/>
      <c r="U12" s="47"/>
      <c r="V12" s="47"/>
      <c r="W12" s="38"/>
      <c r="X12" s="43"/>
      <c r="Y12" s="48"/>
      <c r="Z12" s="48"/>
      <c r="AA12" s="48"/>
      <c r="AB12" s="48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51"/>
      <c r="AQ12" s="40"/>
      <c r="AR12" s="40"/>
    </row>
    <row r="13" spans="1:44" ht="15.75" thickBot="1">
      <c r="A13" s="38"/>
      <c r="B13" s="49" t="s">
        <v>6</v>
      </c>
      <c r="C13" s="47"/>
      <c r="D13" s="78" t="s">
        <v>58</v>
      </c>
      <c r="E13" s="47"/>
      <c r="F13" s="47"/>
      <c r="G13" s="44" t="s">
        <v>5</v>
      </c>
      <c r="H13" s="44"/>
      <c r="I13" s="47"/>
      <c r="J13" s="47"/>
      <c r="K13" s="47"/>
      <c r="L13" s="47" t="s">
        <v>59</v>
      </c>
      <c r="M13" s="47"/>
      <c r="N13" s="47"/>
      <c r="O13" s="47"/>
      <c r="P13" s="44" t="s">
        <v>6</v>
      </c>
      <c r="Q13" s="47"/>
      <c r="R13" s="78" t="s">
        <v>57</v>
      </c>
      <c r="S13" s="47"/>
      <c r="T13" s="44" t="s">
        <v>5</v>
      </c>
      <c r="U13" s="57"/>
      <c r="V13" s="58"/>
      <c r="W13" s="38"/>
      <c r="X13" s="59" t="s">
        <v>6</v>
      </c>
      <c r="Y13" s="48"/>
      <c r="Z13" s="48" t="s">
        <v>58</v>
      </c>
      <c r="AA13" s="48"/>
      <c r="AB13" s="48"/>
      <c r="AC13" s="44" t="s">
        <v>5</v>
      </c>
      <c r="AD13" s="44"/>
      <c r="AE13" s="47"/>
      <c r="AF13" s="47"/>
      <c r="AG13" s="47"/>
      <c r="AH13" s="47" t="s">
        <v>59</v>
      </c>
      <c r="AI13" s="47"/>
      <c r="AJ13" s="47"/>
      <c r="AK13" s="47"/>
      <c r="AL13" s="44" t="s">
        <v>6</v>
      </c>
      <c r="AM13" s="47"/>
      <c r="AN13" s="47" t="s">
        <v>57</v>
      </c>
      <c r="AO13" s="47"/>
      <c r="AP13" s="45" t="s">
        <v>5</v>
      </c>
      <c r="AQ13" s="58"/>
      <c r="AR13" s="58"/>
    </row>
    <row r="14" spans="1:44" ht="15.75" thickBot="1">
      <c r="A14" s="38"/>
      <c r="B14" s="1325"/>
      <c r="C14" s="1305" t="str">
        <f>IF($G$8=$G$9,"résultat",IF($G$8&gt;$G$9,$C$9,$C$8))</f>
        <v/>
      </c>
      <c r="D14" s="1336"/>
      <c r="E14" s="1336"/>
      <c r="F14" s="1337"/>
      <c r="G14" s="53">
        <v>1</v>
      </c>
      <c r="H14" s="44"/>
      <c r="I14" s="47"/>
      <c r="J14" s="1370" t="str">
        <f>IF(ISTEXT($Q$8),IF(($G$9=$G$8),"résultat",IF(($N$9=$N$8),"résultat",IF(($U$14=2),$C$8,IF(($V$14=2),$C$9,IF(($U$15=2),$J$9,IF(($V$15=2),J8,0)))))))</f>
        <v/>
      </c>
      <c r="K14" s="1371"/>
      <c r="L14" s="1371"/>
      <c r="M14" s="1372"/>
      <c r="N14" s="55"/>
      <c r="O14" s="47"/>
      <c r="P14" s="1325"/>
      <c r="Q14" s="1364" t="str">
        <f>IF($E$2+$E$3=5,$Q$8,IF($N$8=$N$9,"résultat",IF($N$8&gt;$N$9,$J$8,$J$9)))</f>
        <v/>
      </c>
      <c r="R14" s="1365"/>
      <c r="S14" s="1366"/>
      <c r="T14" s="61">
        <v>1</v>
      </c>
      <c r="U14" s="62">
        <f>IF(G8&gt;G9,1)+IF(N8&gt;N9,1)</f>
        <v>2</v>
      </c>
      <c r="V14" s="63">
        <f>IF(G9&gt;G8,1)+IF(N9&gt;N8,1)</f>
        <v>0</v>
      </c>
      <c r="W14" s="38"/>
      <c r="X14" s="1325"/>
      <c r="Y14" s="1427" t="str">
        <f>IF($AC$8=$AC$9,"résultat",IF($AC$8&gt;$AC$9,$Y$9,$Y$8))</f>
        <v/>
      </c>
      <c r="Z14" s="1336"/>
      <c r="AA14" s="1336"/>
      <c r="AB14" s="1337"/>
      <c r="AC14" s="53">
        <v>1</v>
      </c>
      <c r="AD14" s="44"/>
      <c r="AE14" s="47"/>
      <c r="AF14" s="1428" t="str">
        <f>IF(ISTEXT($AM$8),IF(($AC$9=$AC$8),"résultat",IF(($AJ$9=$AJ$8),"résultat",IF(($AQ$14=2),$Y$8,IF(($AR$14=2),$Y$9,IF(($AQ$15=2),$AF$9,IF(($AR$15=2),$AF$8,0)))))))</f>
        <v/>
      </c>
      <c r="AG14" s="1371"/>
      <c r="AH14" s="1371"/>
      <c r="AI14" s="1372"/>
      <c r="AJ14" s="60"/>
      <c r="AK14" s="47"/>
      <c r="AL14" s="1325"/>
      <c r="AM14" s="1364" t="str">
        <f>IF($AA$2+$AA$3=5,$AM$8,IF($AJ$8&gt;$AJ$9,$AF$8,$AF$9))</f>
        <v/>
      </c>
      <c r="AN14" s="1365"/>
      <c r="AO14" s="1366"/>
      <c r="AP14" s="53">
        <v>1</v>
      </c>
      <c r="AQ14" s="62">
        <f>IF(AC8&gt;AC9,1)+IF(AJ8&gt;AJ9,1)</f>
        <v>2</v>
      </c>
      <c r="AR14" s="63">
        <f>IF(AC9&gt;AC8,1)+IF(AJ9&gt;AJ8,1)</f>
        <v>0</v>
      </c>
    </row>
    <row r="15" spans="1:44" ht="15.75" thickBot="1">
      <c r="A15" s="38"/>
      <c r="B15" s="1326"/>
      <c r="C15" s="1333" t="str">
        <f>IF($N$8=$N$9,"résultat",IF($N$8&lt;$N$9,$J$8,$J$9))</f>
        <v>D7</v>
      </c>
      <c r="D15" s="1334"/>
      <c r="E15" s="1334"/>
      <c r="F15" s="1335"/>
      <c r="G15" s="64">
        <v>0</v>
      </c>
      <c r="H15" s="44"/>
      <c r="I15" s="47"/>
      <c r="J15" s="65" t="str">
        <f>IF(ISTEXT(J14)," ",0)</f>
        <v xml:space="preserve"> </v>
      </c>
      <c r="K15" s="47"/>
      <c r="L15" s="47"/>
      <c r="M15" s="47"/>
      <c r="N15" s="47"/>
      <c r="O15" s="47"/>
      <c r="P15" s="1326"/>
      <c r="Q15" s="1333" t="str">
        <f>IF(ISBLANK($Q$8),IF($G$8&gt;$G$9,$C$8,$C$9),IF(ISNUMBER($Q$8),IF(G8=G9,"résultat",IF($G$8&gt;$G$9,$C$8,$C$9)),IF(ISTEXT($Q$8),IF(($G$9=$G$8),"résultat",IF(($N$9=$N$8),"résultat",IF(($U$14=2),$J$8,IF(($V$14=2),$J$9,IF(($U$15=2),$C$8,IF(($V$15=2),$C$9)))))))))</f>
        <v/>
      </c>
      <c r="R15" s="1334"/>
      <c r="S15" s="1335"/>
      <c r="T15" s="80">
        <v>0</v>
      </c>
      <c r="U15" s="66">
        <f>IF(G8&gt;G9,1)+IF(N9&gt;N8,1)</f>
        <v>1</v>
      </c>
      <c r="V15" s="67">
        <f>IF(G9&gt;G8,1)+IF(N8&gt;N9,1)</f>
        <v>1</v>
      </c>
      <c r="W15" s="38"/>
      <c r="X15" s="1326"/>
      <c r="Y15" s="1333">
        <f>IF($AJ$8=$AJ$9,"résultat",IF($AJ$8&lt;$AJ$9,$AF$8,$AF$9))</f>
        <v>0</v>
      </c>
      <c r="Z15" s="1334"/>
      <c r="AA15" s="1334"/>
      <c r="AB15" s="1335"/>
      <c r="AC15" s="53">
        <v>0</v>
      </c>
      <c r="AD15" s="44"/>
      <c r="AE15" s="47"/>
      <c r="AF15" s="47"/>
      <c r="AG15" s="47"/>
      <c r="AH15" s="47"/>
      <c r="AI15" s="47"/>
      <c r="AJ15" s="47"/>
      <c r="AK15" s="47"/>
      <c r="AL15" s="1326"/>
      <c r="AM15" s="1333" t="str">
        <f>IF(ISBLANK($AM$8),IF($AC$8&gt;$AC$9,$Y$8,$Y$9),IF(ISNUMBER($AM$8),IF($AC$8&gt;$AC$9,$Y$8,$Y$9),IF(ISTEXT($AM$8),IF(($AC$9=$AC$8),"résultat",IF(($AJ$9=$AJ$8),"résultat",IF(($AQ$14=2),$AF$8,IF(($AR$14=2),$AF$9,IF(($AQ$15=2),$Y$8,IF(($AR$15=2),$Y$9)))))))))</f>
        <v/>
      </c>
      <c r="AN15" s="1334"/>
      <c r="AO15" s="1335"/>
      <c r="AP15" s="79">
        <v>0</v>
      </c>
      <c r="AQ15" s="66">
        <f>IF(AC8&gt;AC9,1)+IF(AJ9&gt;AJ8,1)</f>
        <v>1</v>
      </c>
      <c r="AR15" s="67">
        <f>IF(AC9&gt;AC8,1)+IF(AJ8&gt;AJ9,1)</f>
        <v>1</v>
      </c>
    </row>
    <row r="16" spans="1:44">
      <c r="A16" s="38"/>
      <c r="B16" s="43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68"/>
      <c r="Q16" s="47"/>
      <c r="R16" s="47"/>
      <c r="S16" s="47"/>
      <c r="T16" s="51"/>
      <c r="U16" s="47"/>
      <c r="V16" s="47"/>
      <c r="W16" s="38"/>
      <c r="X16" s="43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51"/>
      <c r="AQ16" s="40"/>
      <c r="AR16" s="40"/>
    </row>
    <row r="17" spans="1:44">
      <c r="A17" s="38"/>
      <c r="B17" s="43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51"/>
      <c r="U17" s="47"/>
      <c r="V17" s="47"/>
      <c r="W17" s="38"/>
      <c r="X17" s="43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51"/>
      <c r="AQ17" s="40"/>
      <c r="AR17" s="40"/>
    </row>
    <row r="18" spans="1:44">
      <c r="A18" s="38"/>
      <c r="B18" s="43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2"/>
      <c r="T18" s="51"/>
      <c r="U18" s="47"/>
      <c r="V18" s="47"/>
      <c r="W18" s="38"/>
      <c r="X18" s="43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51"/>
      <c r="AQ18" s="40"/>
      <c r="AR18" s="40"/>
    </row>
    <row r="19" spans="1:44" ht="15.75" thickBot="1">
      <c r="A19" s="38"/>
      <c r="B19" s="43"/>
      <c r="C19" s="47"/>
      <c r="D19" s="47"/>
      <c r="E19" s="44" t="s">
        <v>6</v>
      </c>
      <c r="F19" s="47"/>
      <c r="G19" s="47"/>
      <c r="H19" s="47"/>
      <c r="I19" s="47"/>
      <c r="J19" s="44" t="s">
        <v>5</v>
      </c>
      <c r="K19" s="44"/>
      <c r="L19" s="44" t="s">
        <v>6</v>
      </c>
      <c r="M19" s="47"/>
      <c r="N19" s="47"/>
      <c r="O19" s="47"/>
      <c r="P19" s="47"/>
      <c r="Q19" s="44" t="s">
        <v>5</v>
      </c>
      <c r="R19" s="47"/>
      <c r="S19" s="47"/>
      <c r="T19" s="51"/>
      <c r="U19" s="69"/>
      <c r="V19" s="47"/>
      <c r="W19" s="38"/>
      <c r="X19" s="43"/>
      <c r="Y19" s="47"/>
      <c r="Z19" s="47"/>
      <c r="AA19" s="44" t="s">
        <v>6</v>
      </c>
      <c r="AB19" s="47"/>
      <c r="AC19" s="47"/>
      <c r="AD19" s="47"/>
      <c r="AE19" s="47"/>
      <c r="AF19" s="44" t="s">
        <v>5</v>
      </c>
      <c r="AG19" s="44"/>
      <c r="AH19" s="44" t="s">
        <v>6</v>
      </c>
      <c r="AI19" s="47"/>
      <c r="AJ19" s="47"/>
      <c r="AK19" s="47"/>
      <c r="AL19" s="47"/>
      <c r="AM19" s="44" t="s">
        <v>5</v>
      </c>
      <c r="AN19" s="47"/>
      <c r="AO19" s="47"/>
      <c r="AP19" s="51"/>
      <c r="AQ19" s="40"/>
      <c r="AR19" s="40"/>
    </row>
    <row r="20" spans="1:44" ht="15.75" thickBot="1">
      <c r="A20" s="38"/>
      <c r="B20" s="43"/>
      <c r="C20" s="47"/>
      <c r="D20" s="47"/>
      <c r="E20" s="1325"/>
      <c r="F20" s="1341" t="b">
        <f>IF($F$3+$G$3=53,IF($G$14=$G$15,"résultat",IF($G$14&gt;$G$15,$C$14,$C$15)),IF($F$3+$G$3=52,IF($G$14=$G$15,"résultat",IF($G$14&gt;$G$15,$C$14,$C$15)),IF($F$3+$G$3=42,"0",IF($F$3+$G$3=43,"0",IF($F$3+$G$3=32,IF(0&gt;0,0,0),IF($F$3+$G$3=31,IF($T$14=$T$15,"résultat",IF($T$14&lt;$T$15,$Q$14,$Q$15))))))))</f>
        <v>0</v>
      </c>
      <c r="G20" s="1345"/>
      <c r="H20" s="1345"/>
      <c r="I20" s="1346"/>
      <c r="J20" s="53">
        <v>0</v>
      </c>
      <c r="K20" s="44"/>
      <c r="L20" s="1325" t="s">
        <v>16</v>
      </c>
      <c r="M20" s="1423" t="b">
        <f>IF($E$2+$E$3=5,$J$14)</f>
        <v>0</v>
      </c>
      <c r="N20" s="1368"/>
      <c r="O20" s="1368"/>
      <c r="P20" s="1369"/>
      <c r="Q20" s="53">
        <v>0</v>
      </c>
      <c r="R20" s="47"/>
      <c r="S20" s="47"/>
      <c r="T20" s="51"/>
      <c r="U20" s="47"/>
      <c r="V20" s="47"/>
      <c r="W20" s="38"/>
      <c r="X20" s="43"/>
      <c r="Y20" s="47"/>
      <c r="Z20" s="47"/>
      <c r="AA20" s="1325"/>
      <c r="AB20" s="1341" t="b">
        <f>IF($AB$3+$AC$3=53,IF($AC$14=$AC$15,"résultat",IF($AC$14&gt;$AC$15,$Y$14,$Y$15)),IF($AB$3+$AC$3=52,IF($AC$14=$AC$15,"résultat",IF($AC$14&gt;$AC$15,$Y$14,$Y$15)),IF($AB$3+$AC$3=42,"0",IF($AB$3+$AC$3=43,"0",IF($AB$3+$AC$3=32,IF(0&gt;0,0,0),IF($AB$3+$AC$3=31,IF($AP$14=$AP$15,"résultat",IF($AP$14&lt;$AP$15,$AM$14,$AM$15))))))))</f>
        <v>0</v>
      </c>
      <c r="AC20" s="1345"/>
      <c r="AD20" s="1345"/>
      <c r="AE20" s="1346"/>
      <c r="AF20" s="53">
        <v>0</v>
      </c>
      <c r="AG20" s="44"/>
      <c r="AH20" s="1325" t="s">
        <v>16</v>
      </c>
      <c r="AI20" s="1423" t="b">
        <f>IF($AA$2+$AA$3=5,$AF$14)</f>
        <v>0</v>
      </c>
      <c r="AJ20" s="1368"/>
      <c r="AK20" s="1368"/>
      <c r="AL20" s="1369"/>
      <c r="AM20" s="53">
        <v>0</v>
      </c>
      <c r="AN20" s="47"/>
      <c r="AO20" s="47"/>
      <c r="AP20" s="51"/>
      <c r="AQ20" s="40"/>
      <c r="AR20" s="40"/>
    </row>
    <row r="21" spans="1:44" ht="15.75" thickBot="1">
      <c r="A21" s="38"/>
      <c r="B21" s="43"/>
      <c r="C21" s="47"/>
      <c r="D21" s="47"/>
      <c r="E21" s="1326"/>
      <c r="F21" s="1341" t="b">
        <f>IF($F$3+$G$3=53,IF($T$14=$T$15,"résultat",IF($T$14&lt;$T$15,$Q$14,$Q$15)),(IF($F$3+$G$3=52,IF($T$14=$T$15,"résultat",IF($T$14&lt;$T$15,$Q$14,$Q$15)),(IF($F$3+$G$3=43,IF(0&gt;0,0,0),(IF($F$3+$G$3=42,IF(0&gt;0,0,0),(IF($F$3+$G$3=32,IF(0&lt;0,0,0),(IF($F$3+$G$3=31,IF($G$14=$G$15,"résultat",IF($G$14&gt;$G$15,$C$14,$C$15)))))))))))))</f>
        <v>0</v>
      </c>
      <c r="G21" s="1342"/>
      <c r="H21" s="1342"/>
      <c r="I21" s="1343"/>
      <c r="J21" s="53">
        <v>0</v>
      </c>
      <c r="K21" s="44"/>
      <c r="L21" s="1326"/>
      <c r="M21" s="1341" t="b">
        <f>IF($F$3+$G$3=53,IF($T$14=$T$15,"résultat",IF($T$14&gt;$T$15,$Q$14,$Q$15)),(IF($F$3+$G$3=52,IF($T$14=$T$15,"résultat",IF($T$14&gt;$T$15,$Q$14,$Q$15)),(IF($F$3+$G$3=43,IF(0&gt;0,0,0),(IF($F$3+$G$3=42,IF(0&gt;0,0,0),(IF($F$3+$G$3=32,IF(0&gt;0,0,0),(IF($F$3+$G$3=31,IF(0&gt;0,0,0))))))))))))</f>
        <v>0</v>
      </c>
      <c r="N21" s="1342"/>
      <c r="O21" s="1342"/>
      <c r="P21" s="1343"/>
      <c r="Q21" s="53">
        <v>0</v>
      </c>
      <c r="R21" s="47"/>
      <c r="S21" s="69"/>
      <c r="T21" s="51"/>
      <c r="U21" s="47"/>
      <c r="V21" s="42"/>
      <c r="W21" s="38"/>
      <c r="X21" s="43"/>
      <c r="Y21" s="47"/>
      <c r="Z21" s="47"/>
      <c r="AA21" s="1326"/>
      <c r="AB21" s="1341" t="b">
        <f>IF($AB$3+$AC$3=53,IF($AP$14=$AP$15,"résultat",IF($AP$14&lt;$AP$15,$AM$14,$AM$15)),(IF($AB$3+$AC$3=52,IF($AP$14=$AP$15,"résultat",IF($AP$14&lt;$AP$15,$AM$14,$AM$15)),(IF($AB$3+$AC$3=43,IF(0&gt;0,0,0),(IF($AB$3+$AC$3=42,IF(0&gt;0,0,0),(IF($AB$3+$AC$3=32,IF(0&lt;0,0,0),(IF($AB$3+$AC$3=31,IF($AC$14=$AC$15,"résultat",IF($AC$14&gt;$AC$15,$Y$14,$Y$15)))))))))))))</f>
        <v>0</v>
      </c>
      <c r="AC21" s="1342"/>
      <c r="AD21" s="1342"/>
      <c r="AE21" s="1343"/>
      <c r="AF21" s="53">
        <v>0</v>
      </c>
      <c r="AG21" s="44"/>
      <c r="AH21" s="1326"/>
      <c r="AI21" s="1341" t="b">
        <f>IF($AB$3+$AC$3=53,IF($AP$14=$AP$15,"résultat",IF($AP$14&gt;$AP$15,$AM$14,$AM$15)),(IF($AB$3+$AC$3=52,IF($AP$14=$AP$15,"résultat",IF($AP$14&gt;$AP$15,$AM$14,$AM$15)),(IF($AB$3+$AC$3=43,IF(0&gt;0,0,0),(IF($AB$3+$AC$3=42,IF(0&gt;0,0,0),(IF($AB$3+$AC$3=32,IF(0&gt;0,0,0),(IF($AB$3+$AC$3=31,IF(0&gt;0,0,0))))))))))))</f>
        <v>0</v>
      </c>
      <c r="AJ21" s="1342"/>
      <c r="AK21" s="1342"/>
      <c r="AL21" s="1343"/>
      <c r="AM21" s="53">
        <v>0</v>
      </c>
      <c r="AN21" s="47"/>
      <c r="AO21" s="47"/>
      <c r="AP21" s="51"/>
      <c r="AQ21" s="40"/>
      <c r="AR21" s="40"/>
    </row>
    <row r="22" spans="1:44">
      <c r="A22" s="38"/>
      <c r="B22" s="43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51"/>
      <c r="U22" s="47"/>
      <c r="V22" s="47"/>
      <c r="W22" s="38"/>
      <c r="X22" s="43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51"/>
      <c r="AQ22" s="40"/>
      <c r="AR22" s="40"/>
    </row>
    <row r="23" spans="1:44">
      <c r="A23" s="38"/>
      <c r="B23" s="43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51"/>
      <c r="U23" s="47"/>
      <c r="V23" s="47"/>
      <c r="W23" s="38"/>
      <c r="X23" s="43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51"/>
      <c r="AQ23" s="40"/>
      <c r="AR23" s="40"/>
    </row>
    <row r="24" spans="1:44" ht="15.75" thickBot="1">
      <c r="A24" s="38"/>
      <c r="B24" s="43"/>
      <c r="C24" s="47"/>
      <c r="D24" s="47"/>
      <c r="E24" s="47"/>
      <c r="F24" s="47"/>
      <c r="G24" s="47"/>
      <c r="H24" s="47"/>
      <c r="I24" s="44" t="s">
        <v>6</v>
      </c>
      <c r="J24" s="47"/>
      <c r="K24" s="47"/>
      <c r="L24" s="47"/>
      <c r="M24" s="47"/>
      <c r="N24" s="44" t="s">
        <v>5</v>
      </c>
      <c r="O24" s="44"/>
      <c r="P24" s="70"/>
      <c r="Q24" s="47"/>
      <c r="R24" s="47"/>
      <c r="S24" s="47"/>
      <c r="T24" s="51"/>
      <c r="U24" s="47"/>
      <c r="V24" s="47"/>
      <c r="W24" s="38"/>
      <c r="X24" s="43"/>
      <c r="Y24" s="47"/>
      <c r="Z24" s="47"/>
      <c r="AA24" s="47"/>
      <c r="AB24" s="47"/>
      <c r="AC24" s="47"/>
      <c r="AD24" s="47"/>
      <c r="AE24" s="44" t="s">
        <v>6</v>
      </c>
      <c r="AF24" s="47"/>
      <c r="AG24" s="47"/>
      <c r="AH24" s="47"/>
      <c r="AI24" s="47"/>
      <c r="AJ24" s="44" t="s">
        <v>5</v>
      </c>
      <c r="AK24" s="44"/>
      <c r="AL24" s="70"/>
      <c r="AM24" s="47"/>
      <c r="AN24" s="47"/>
      <c r="AO24" s="47"/>
      <c r="AP24" s="51"/>
      <c r="AQ24" s="40"/>
      <c r="AR24" s="40"/>
    </row>
    <row r="25" spans="1:44" ht="15.75" thickBot="1">
      <c r="A25" s="38"/>
      <c r="B25" s="43"/>
      <c r="C25" s="47"/>
      <c r="D25" s="47"/>
      <c r="E25" s="47"/>
      <c r="F25" s="47"/>
      <c r="G25" s="47"/>
      <c r="H25" s="47"/>
      <c r="I25" s="1325"/>
      <c r="J25" s="1250" t="b">
        <f>IF($F$3+$G$3=53,IF(0&lt;0,0,0),(IF($F$3+$G$3=52,IF($Q$20=$Q$21,"résultat",IF($Q$20&lt;$Q$21,$M$20,$M$21)),IF($F$3+$G$3=43,IF(0&lt;0,0,0),(IF($F$3+$G$3=42,IF($T$14=$T$15,"résultat",IF($T$14&lt;$T$15,$Q$14,$Q$15)),IF($F$3+$G$3=32,IF($T$14=$T$15,"résultat",IF($T$14&lt;$T$15,$Q$14,$Q$15)),IF($F$3+$G$3=31,IF($J$20=$J$21,"résultat",IF($J$20&gt;$J$21,$F$20,$F$21))))))))))</f>
        <v>0</v>
      </c>
      <c r="K25" s="1327"/>
      <c r="L25" s="1327"/>
      <c r="M25" s="1328"/>
      <c r="N25" s="53">
        <v>1</v>
      </c>
      <c r="O25" s="44"/>
      <c r="P25" s="47"/>
      <c r="Q25" s="47"/>
      <c r="R25" s="47"/>
      <c r="S25" s="47"/>
      <c r="T25" s="51"/>
      <c r="U25" s="47"/>
      <c r="V25" s="47"/>
      <c r="W25" s="38"/>
      <c r="X25" s="43"/>
      <c r="Y25" s="47"/>
      <c r="Z25" s="47"/>
      <c r="AA25" s="47"/>
      <c r="AB25" s="47"/>
      <c r="AC25" s="47"/>
      <c r="AD25" s="47"/>
      <c r="AE25" s="1325"/>
      <c r="AF25" s="1250" t="b">
        <f>IF($AB$3+$AC$3=53,IF(0&lt;0,0,0),(IF($AB$3+$AC$3=52,IF($AM$20=$AM$21,"résultat",IF($AM$20&lt;$AM$21,$AI$20,$AI$21)),IF($AB$3+$AC$3=43,IF(0&lt;0,0,0),(IF($AB$3+$AC$3=42,IF($AP$14=$AP$15,"résultat",IF($AP$14&lt;$AP$15,$AM$14,$AM$15)),IF($AB$3+$AC$3=32,IF($AP$14=$AP$15,"résultat",IF($AP$14&lt;$AP$15,$AM$14,$AM$15)),IF($AB$3+$AC$3=31,IF($AF$20=$AF$21,"résultat",IF($AF$20&gt;$AF$21,$AB$20,$AB$21))))))))))</f>
        <v>0</v>
      </c>
      <c r="AG25" s="1327"/>
      <c r="AH25" s="1327"/>
      <c r="AI25" s="1328"/>
      <c r="AJ25" s="53">
        <v>1</v>
      </c>
      <c r="AK25" s="44"/>
      <c r="AL25" s="47"/>
      <c r="AM25" s="47"/>
      <c r="AN25" s="47"/>
      <c r="AO25" s="47"/>
      <c r="AP25" s="51"/>
      <c r="AQ25" s="40"/>
      <c r="AR25" s="40"/>
    </row>
    <row r="26" spans="1:44" ht="15.75" thickBot="1">
      <c r="A26" s="38"/>
      <c r="B26" s="43"/>
      <c r="C26" s="47"/>
      <c r="D26" s="47"/>
      <c r="E26" s="47"/>
      <c r="F26" s="47"/>
      <c r="G26" s="47"/>
      <c r="H26" s="47"/>
      <c r="I26" s="1326"/>
      <c r="J26" s="1347" t="b">
        <f>IF($F$3+$G$3=53,IF(0&gt;0,0,0),(IF($F$3+$G$3=52,IF($J$20=$J$21,"résultat",IF($J$20&gt;$J$21,$F$20,$F$21)),IF($F$3+$G$3=43,IF(0&gt;0,0,0),(IF(F3+G3=42,IF($G$14=$G$15,"résultat",IF($G$14&gt;$G$15,$C$14,$C$15)),(IF($F$3+$G$3=32,IF($G$14=$G$15,"résultat",IF($G$14&gt;$G$15,$C$14,$C$15)),(IF($F$3+$G$3=31,IF($T$14=$T$15,"résultat",IF($T$14&gt;$T$15,$Q$14,$Q$15))))))))))))</f>
        <v>0</v>
      </c>
      <c r="K26" s="1348"/>
      <c r="L26" s="1348"/>
      <c r="M26" s="1349"/>
      <c r="N26" s="53">
        <v>0</v>
      </c>
      <c r="O26" s="44"/>
      <c r="P26" s="47"/>
      <c r="Q26" s="47"/>
      <c r="R26" s="47"/>
      <c r="S26" s="47"/>
      <c r="T26" s="51"/>
      <c r="U26" s="47"/>
      <c r="V26" s="47"/>
      <c r="W26" s="38"/>
      <c r="X26" s="43"/>
      <c r="Y26" s="47"/>
      <c r="Z26" s="47"/>
      <c r="AA26" s="47"/>
      <c r="AB26" s="47"/>
      <c r="AC26" s="47"/>
      <c r="AD26" s="47"/>
      <c r="AE26" s="1326"/>
      <c r="AF26" s="1347" t="b">
        <f>IF($AB$3+$AC$3=53,IF(0&gt;0,0,0),(IF($AB$3+$AC$3=52,IF(AF20=AF21,"résultat",IF($AF$20&gt;$AF$21,$AB$20,$AB$21)),IF($AB$3+$AC$3=43,IF(0&gt;0,0,0),(IF($AB$3+$AC$3=42,IF(AC14=AC15,"résultat",IF($AC$14&gt;$AC$15,$Y$14,$Y$15)),(IF($AB$3+$AC$3=32,IF(AC14=AC15,"résultat",IF($AC$14&gt;$AC$15,$Y$14,$Y$15)),(IF($AB$3+$AC$3=31,IF(AP14=AP15,"résultat",IF($AP$14&gt;$AP$15,$AM$14,$AM$15))))))))))))</f>
        <v>0</v>
      </c>
      <c r="AG26" s="1348"/>
      <c r="AH26" s="1348"/>
      <c r="AI26" s="1349"/>
      <c r="AJ26" s="53">
        <v>0</v>
      </c>
      <c r="AK26" s="44"/>
      <c r="AL26" s="47"/>
      <c r="AM26" s="47"/>
      <c r="AN26" s="47"/>
      <c r="AO26" s="47"/>
      <c r="AP26" s="51"/>
      <c r="AQ26" s="40"/>
      <c r="AR26" s="40"/>
    </row>
    <row r="27" spans="1:44" ht="15.75" thickBot="1">
      <c r="A27" s="38"/>
      <c r="B27" s="43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51"/>
      <c r="U27" s="47"/>
      <c r="V27" s="47"/>
      <c r="W27" s="38"/>
      <c r="X27" s="43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51"/>
      <c r="AQ27" s="40"/>
      <c r="AR27" s="40"/>
    </row>
    <row r="28" spans="1:44" ht="15.75" thickBot="1">
      <c r="A28" s="38"/>
      <c r="B28" s="43"/>
      <c r="D28" s="47"/>
      <c r="E28" s="47"/>
      <c r="F28" s="47"/>
      <c r="G28" s="47"/>
      <c r="H28" s="47"/>
      <c r="I28" s="47"/>
      <c r="J28" s="1440" t="s">
        <v>56</v>
      </c>
      <c r="K28" s="1441"/>
      <c r="L28" s="1441"/>
      <c r="M28" s="1442"/>
      <c r="N28" s="47"/>
      <c r="O28" s="47"/>
      <c r="P28" s="69"/>
      <c r="Q28" s="47"/>
      <c r="R28" s="47"/>
      <c r="S28" s="47"/>
      <c r="T28" s="51"/>
      <c r="W28" s="38"/>
      <c r="X28" s="43"/>
      <c r="Z28" s="47"/>
      <c r="AA28" s="47"/>
      <c r="AB28" s="47"/>
      <c r="AC28" s="47"/>
      <c r="AD28" s="47"/>
      <c r="AE28" s="47"/>
      <c r="AF28" s="1440" t="s">
        <v>56</v>
      </c>
      <c r="AG28" s="1441"/>
      <c r="AH28" s="1441"/>
      <c r="AI28" s="1442"/>
      <c r="AJ28" s="47"/>
      <c r="AK28" s="47"/>
      <c r="AL28" s="69"/>
      <c r="AM28" s="47"/>
      <c r="AN28" s="47"/>
      <c r="AO28" s="47"/>
      <c r="AP28" s="51"/>
    </row>
    <row r="29" spans="1:44" ht="15.75" thickBot="1">
      <c r="A29" s="38"/>
      <c r="B29" s="43"/>
      <c r="D29" s="1432" t="s">
        <v>0</v>
      </c>
      <c r="E29" s="1433"/>
      <c r="F29" s="1434"/>
      <c r="G29" s="47"/>
      <c r="H29" s="1429" t="b">
        <f>IF($F$3+$G$3=53,IF($Q$20=$Q$21,"résultat",IF($Q$20&gt;$Q$21,$M$20,$M$21)),(IF($F$3+$G$3=52,IF($Q$20=$Q$21,"résultat",IF($Q$20&gt;$Q$21,$M$20,$M$21)),(IF($F$3+$G$3=43,IF($T$14=$T$15,"résultat",IF($T$14&gt;$T$15,$Q$14,$Q$15)),(IF($F$3+$G$3=42,IF($T$14=$T$15,"résultat",IF($T$14&gt;$T$15,$Q$14,$Q$15)),(IF($F$3+$G$3=32,IF($T$14=$T$15,"résultat",IF($T$14&gt;$T$15,$Q$14,$Q$15)),(IF($F$3+$G$3=31,IF($N$25=$N$26,"résultat",IF($N$25&gt;$N$26,$J$25,$J$26)))))))))))))</f>
        <v>0</v>
      </c>
      <c r="I29" s="1452"/>
      <c r="J29" s="1452"/>
      <c r="K29" s="1452"/>
      <c r="L29" s="1452"/>
      <c r="M29" s="1452"/>
      <c r="N29" s="1453"/>
      <c r="O29" s="47"/>
      <c r="P29" s="47"/>
      <c r="Q29" s="47"/>
      <c r="R29" s="47"/>
      <c r="S29" s="47"/>
      <c r="T29" s="51"/>
      <c r="W29" s="38"/>
      <c r="X29" s="43"/>
      <c r="Z29" s="1432" t="s">
        <v>0</v>
      </c>
      <c r="AA29" s="1433"/>
      <c r="AB29" s="1434"/>
      <c r="AC29" s="47"/>
      <c r="AD29" s="1429" t="b">
        <f>IF($AB$3+$AC$3=53,IF($AM$20=$AM$21,"résultat",IF($AM$20&gt;$AM$21,$AI$20,$AI$21)),(IF($AB$3+$AC$3=52,IF($AM$20=$AM$21,"résultat",IF($AM$20&gt;$AM$21,$AI$20,$AI$21)),(IF($AB$3+$AC$3=43,IF($AP$14=$AP$15,"résultat",IF($AP$14&gt;$AP$15,$AM$14,$AM$15)),(IF($AB$3+$AC$3=42,IF($AP$14=$AP$15,"résultat",IF($AP$14&gt;$AP$15,$AM$14,$AM$15)),(IF($AB$3+$AC$3=32,IF($AP$14=$AP$15,"résultat",IF($AP$14&gt;$AP$15,$AM$14,$AM$15)),(IF($AB$3+$AC$3=31,IF($AJ$25=$AJ$26,"résultat",IF($AJ$25&gt;$AJ$26,$AF$25,$AF$26)))))))))))))</f>
        <v>0</v>
      </c>
      <c r="AE29" s="1452"/>
      <c r="AF29" s="1452"/>
      <c r="AG29" s="1452"/>
      <c r="AH29" s="1452"/>
      <c r="AI29" s="1452"/>
      <c r="AJ29" s="1453"/>
      <c r="AK29" s="47"/>
      <c r="AL29" s="47"/>
      <c r="AM29" s="60" t="s">
        <v>70</v>
      </c>
      <c r="AN29" s="47"/>
      <c r="AO29" s="47"/>
      <c r="AP29" s="51"/>
    </row>
    <row r="30" spans="1:44">
      <c r="A30" s="38"/>
      <c r="B30" s="43"/>
      <c r="D30" s="1396" t="s">
        <v>1</v>
      </c>
      <c r="E30" s="1397"/>
      <c r="F30" s="1398"/>
      <c r="G30" s="47"/>
      <c r="H30" s="1399" t="b">
        <f>IF($F$3+$G$3=53,IF($Q$20=$Q$21,"résultat",IF($Q$20&lt;$Q$21,$M$20,$M$21)),(IF($F$3+$G$3=52,IF($N$25=$N$26,"résultat",IF($N$25&gt;$N$26,$J$25,$J$26)),(IF($F$3+$G$3=43,IF($T$14=$T$15,"résultat",IF($T$14&lt;$T$15,$Q$14,$Q$15)),(IF($F$3+$G$3=42,IF($N$25=$N$26,"résultat",IF($N$25&gt;$N$26,$J$25,$J$26)),(IF($F$3+$G$3=32,IF($N$25=$N$26,"résultat",IF($N$25&gt;$N$26,$J$25,$J$26)),(IF($F$3+$G$3=31,IF($N$25=$N$26,"résultat",IF($N$25&lt;$N$26,$J$25,$J$26)))))))))))))</f>
        <v>0</v>
      </c>
      <c r="I30" s="1400"/>
      <c r="J30" s="1400"/>
      <c r="K30" s="1400"/>
      <c r="L30" s="1400"/>
      <c r="M30" s="1400"/>
      <c r="N30" s="1401"/>
      <c r="O30" s="47"/>
      <c r="P30" s="71"/>
      <c r="Q30" s="71"/>
      <c r="R30" s="71"/>
      <c r="S30" s="71"/>
      <c r="T30" s="51"/>
      <c r="W30" s="38"/>
      <c r="X30" s="43"/>
      <c r="Z30" s="1396" t="s">
        <v>1</v>
      </c>
      <c r="AA30" s="1397"/>
      <c r="AB30" s="1398"/>
      <c r="AC30" s="47"/>
      <c r="AD30" s="1399" t="b">
        <f>IF($AB$3+$AC$3=53,IF($AM$20=$AM$21,"résultat",IF($AM$20&lt;$AM$21,$AI$20,$AI$21)),(IF($AB$3+$AC$3=52,IF($AJ$25=$AJ$26,"résultat",IF($AJ$25&gt;$AJ$26,$AF$25,$AF$26)),(IF($AB$3+$AC$3=43,IF($AP$14=$AP$15,"résultat",IF($AP$14&lt;$AP$15,$AM$14,$AM$15)),(IF($AB$3+$AC$3=42,IF($AJ$25=$AJ$26,"résultat",IF($AJ$25&gt;$AJ$26,$AF$25,$AF$26)),(IF($AB$3+$AC$3=32,IF($AJ$25=$AJ$26,"résultat",IF($AJ$25&gt;$AJ$26,$AF$25,$AF$26)),(IF($AB$3+$AC$3=31,IF($AJ$25=$AJ$26,"résultat",IF($AJ$25&lt;$AJ$26,$AF$25,$AF$26)))))))))))))</f>
        <v>0</v>
      </c>
      <c r="AE30" s="1400"/>
      <c r="AF30" s="1400"/>
      <c r="AG30" s="1400"/>
      <c r="AH30" s="1400"/>
      <c r="AI30" s="1400"/>
      <c r="AJ30" s="1401"/>
      <c r="AK30" s="47"/>
      <c r="AL30" s="71"/>
      <c r="AM30" s="71"/>
      <c r="AN30" s="71"/>
      <c r="AO30" s="47"/>
      <c r="AP30" s="51"/>
    </row>
    <row r="31" spans="1:44">
      <c r="A31" s="38"/>
      <c r="B31" s="43"/>
      <c r="D31" s="1396" t="s">
        <v>2</v>
      </c>
      <c r="E31" s="1397"/>
      <c r="F31" s="1398"/>
      <c r="G31" s="47"/>
      <c r="H31" s="1405" t="b">
        <f>IF($F$3+$G$3=53,IF($J$20=$J$21,"résultat",IF($J$20&gt;$J$21,$F$20,$F$21)),(IF($F$3+$G$3=52,IF($N$25=$N$26,"résultat",IF($N$25&lt;$N$26,$J$25,$J$26)),(IF($F$3+$G$3=43,IF($G$14=$G$15,"résultat",IF($G$14&gt;$G$15,$C$14,$C$15)),(IF($F$3+$G$3=42,IF($N$25=$N$26,"résultat",IF($N$25&lt;$N$26,$J$25,$J$26)),(IF($F$3+$G$3=32,IF($N$25=$N$26,"résultat",IF($N$25&lt;$N$26,$J$25,$J$26)),(IF($F$3+$G$3=31,IF($J$20=$J$21,"résultat",IF($J$20&lt;$J$21,$F$20,$F$21)))))))))))))</f>
        <v>0</v>
      </c>
      <c r="I31" s="1406"/>
      <c r="J31" s="1406"/>
      <c r="K31" s="1406"/>
      <c r="L31" s="1406"/>
      <c r="M31" s="1406"/>
      <c r="N31" s="1407"/>
      <c r="O31" s="47"/>
      <c r="P31" s="47"/>
      <c r="Q31" s="47"/>
      <c r="R31" s="47"/>
      <c r="S31" s="47"/>
      <c r="T31" s="51"/>
      <c r="W31" s="38"/>
      <c r="X31" s="43"/>
      <c r="Z31" s="1396" t="s">
        <v>2</v>
      </c>
      <c r="AA31" s="1397"/>
      <c r="AB31" s="1398"/>
      <c r="AC31" s="47"/>
      <c r="AD31" s="1402" t="b">
        <f>IF($AB$3+$AC$3=53,IF($AF$20=$AF$21,"résultat",IF($AF$20&gt;$AF$21,$AB$20,$AB$21)),(IF($AB$3+$AC$3=52,IF($AJ$25=$AJ$26,"résultat",IF($AJ$25&lt;$AJ$26,$AF$25,$AF$26)),(IF($AB$3+$AC$3=43,IF($AC$14=$AC$15,"résultat",IF($AC$14&gt;$G$15,$Y$14,$Y$15)),(IF($AB$3+$AC$3=42,IF($AJ$25=$AJ$26,"résultat",IF($AJ$25&lt;$AJ$26,$AF$25,$AF$26)),(IF($AB$3+$AC$3=32,IF($AJ$25=$AJ$26,"résultat",IF($AJ$25&lt;$AJ$26,$AF$25,$AF$26)),(IF($AB$3+$AC$3=31,IF($AF$20=$AF$21,"résultat",IF($AF$20&lt;$AF$21,$AB$20,$AB$21)))))))))))))</f>
        <v>0</v>
      </c>
      <c r="AE31" s="1403"/>
      <c r="AF31" s="1403"/>
      <c r="AG31" s="1403"/>
      <c r="AH31" s="1403"/>
      <c r="AI31" s="1403"/>
      <c r="AJ31" s="1404"/>
      <c r="AK31" s="47"/>
      <c r="AL31" s="47"/>
      <c r="AM31" s="47"/>
      <c r="AN31" s="47"/>
      <c r="AO31" s="47"/>
      <c r="AP31" s="51"/>
    </row>
    <row r="32" spans="1:44">
      <c r="A32" s="38"/>
      <c r="B32" s="43"/>
      <c r="D32" s="1396" t="s">
        <v>3</v>
      </c>
      <c r="E32" s="1397"/>
      <c r="F32" s="1398"/>
      <c r="G32" s="47"/>
      <c r="H32" s="1405" t="b">
        <f>IF($F$3+$G$3=53,IF($J$20=$J$21,"résultat",IF($J$20&lt;$J$21,$F$20,$F$21)),(IF($F$3+$G$3=52,IF($J$20=$J$21,"résultat",IF($J$20&lt;$J$21,$F$20,$F$21)),(IF($F$3+$G$3=43,IF($G$14=$G$15,"résultat",IF($G$14&lt;$G$15,$C$14,$C$15)),(IF($F$3+$G$3=42,IF($G$14=$G$15,"résultat",IF($G$14&lt;$G$15,$C$14,$C$15)),(IF($F$3+$G$3=32,IF(0&gt;0,0,0),(IF($F$3+$G$3=31,IF(0&gt;0,0,0))))))))))))</f>
        <v>0</v>
      </c>
      <c r="I32" s="1406"/>
      <c r="J32" s="1406"/>
      <c r="K32" s="1406"/>
      <c r="L32" s="1406"/>
      <c r="M32" s="1406"/>
      <c r="N32" s="1407"/>
      <c r="O32" s="47"/>
      <c r="P32" s="47"/>
      <c r="Q32" s="47"/>
      <c r="R32" s="47"/>
      <c r="S32" s="47"/>
      <c r="T32" s="51"/>
      <c r="W32" s="38"/>
      <c r="X32" s="43"/>
      <c r="Z32" s="1396" t="s">
        <v>3</v>
      </c>
      <c r="AA32" s="1397"/>
      <c r="AB32" s="1398"/>
      <c r="AC32" s="47"/>
      <c r="AD32" s="1405" t="b">
        <f>IF($AB$3+$AC$3=53,IF($AF$20=$AF$21,"résultat",IF($AF$20&lt;$AF$21,$AB$20,$AB$21)),(IF($AB$3+$AC$3=52,IF($AF$20=$AF$21,"résultat",IF($AF$20&lt;$AF$21,$AB$20,$AB$21)),(IF($AB$3+$AC$3=43,IF($AC$14=$AC$15,"résultat",IF($AC$14&lt;$AC$15,$Y$14,$Y$15)),(IF($AB$3+$AC$3=42,IF($AC$14=$AC$15,"résultat",IF($AC$14&lt;$AC$15,$Y$14,$Y$15)),(IF($AB$3+$AC$3=32,IF(0&gt;0,0,0),(IF($AB$3+$AC$3=31,IF(0&gt;0,0,0))))))))))))</f>
        <v>0</v>
      </c>
      <c r="AE32" s="1406"/>
      <c r="AF32" s="1406"/>
      <c r="AG32" s="1406"/>
      <c r="AH32" s="1406"/>
      <c r="AI32" s="1406"/>
      <c r="AJ32" s="1407"/>
      <c r="AK32" s="47"/>
      <c r="AL32" s="47"/>
      <c r="AM32" s="47"/>
      <c r="AN32" s="47"/>
      <c r="AO32" s="47"/>
      <c r="AP32" s="51"/>
    </row>
    <row r="33" spans="1:44" ht="15.75" thickBot="1">
      <c r="A33" s="38"/>
      <c r="B33" s="43"/>
      <c r="D33" s="1390" t="s">
        <v>4</v>
      </c>
      <c r="E33" s="1391"/>
      <c r="F33" s="1392"/>
      <c r="G33" s="47"/>
      <c r="H33" s="1393" t="b">
        <f>IF($F$3+$G$3=53,IF($G$14=$G$15,"résultat",IF($G$14&lt;$G$15,$C$14,$C$15)),(IF($F$3+$G$3=52,IF($G$14=$G$15,"résultat",IF($G$14&lt;$G$15,$C$14,$C$15)),(IF($F$3+$G$3=43,IF(0&gt;0,0,0),(IF($F$3+$G$3=42,IF(0&gt;0,0,0),(IF($F$3+$G$3=32,IF(0&gt;0,0,0),(IF($F$3+$G$3=31,IF(0&gt;0,0,0))))))))))))</f>
        <v>0</v>
      </c>
      <c r="I33" s="1394"/>
      <c r="J33" s="1394"/>
      <c r="K33" s="1394"/>
      <c r="L33" s="1394"/>
      <c r="M33" s="1394"/>
      <c r="N33" s="1395"/>
      <c r="O33" s="47"/>
      <c r="P33" s="47"/>
      <c r="Q33" s="47"/>
      <c r="R33" s="47"/>
      <c r="S33" s="47"/>
      <c r="T33" s="51"/>
      <c r="W33" s="38"/>
      <c r="X33" s="43"/>
      <c r="Z33" s="1390" t="s">
        <v>4</v>
      </c>
      <c r="AA33" s="1391"/>
      <c r="AB33" s="1392"/>
      <c r="AC33" s="47"/>
      <c r="AD33" s="1393" t="b">
        <f>IF($AB$3+$AC$3=53,IF(AC14=AC15,"résultat",IF($AC$14&lt;$AC$15,$Y$14,$Y$15)),(IF($AB$3+$AC$3=52,IF(AC14=AC15,"résultat",IF($AC$14&lt;$AC$15,$Y$14,$Y$15)),(IF($AB$3+$AC$3=43,IF(0&gt;0,0,0),(IF($AB$3+$AC$3=42,IF(0&gt;0,0,0),(IF($AB$3+$AC$3=32,IF(0&gt;0,0,0),(IF($AB$3+$AC$3=31,IF(0&gt;0,0,0))))))))))))</f>
        <v>0</v>
      </c>
      <c r="AE33" s="1394"/>
      <c r="AF33" s="1394"/>
      <c r="AG33" s="1394"/>
      <c r="AH33" s="1394"/>
      <c r="AI33" s="1394"/>
      <c r="AJ33" s="1395"/>
      <c r="AK33" s="47"/>
      <c r="AL33" s="47"/>
      <c r="AM33" s="47"/>
      <c r="AN33" s="47"/>
      <c r="AO33" s="47"/>
      <c r="AP33" s="51"/>
    </row>
    <row r="34" spans="1:44">
      <c r="A34" s="38"/>
      <c r="B34" s="43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47"/>
      <c r="O34" s="47"/>
      <c r="P34" s="47"/>
      <c r="Q34" s="47"/>
      <c r="R34" s="47"/>
      <c r="S34" s="47"/>
      <c r="T34" s="51"/>
      <c r="U34" s="47"/>
      <c r="V34" s="47"/>
      <c r="W34" s="38"/>
      <c r="X34" s="43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7"/>
      <c r="AK34" s="47"/>
      <c r="AL34" s="47"/>
      <c r="AM34" s="47"/>
      <c r="AN34" s="47"/>
      <c r="AO34" s="47"/>
      <c r="AP34" s="51"/>
      <c r="AQ34" s="40"/>
      <c r="AR34" s="40"/>
    </row>
    <row r="35" spans="1:44" ht="15.75" thickBot="1">
      <c r="A35" s="38"/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4"/>
      <c r="O35" s="74"/>
      <c r="P35" s="74"/>
      <c r="Q35" s="74"/>
      <c r="R35" s="74"/>
      <c r="S35" s="74"/>
      <c r="T35" s="75"/>
      <c r="U35" s="38"/>
      <c r="V35" s="38"/>
      <c r="W35" s="38"/>
      <c r="X35" s="72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5"/>
      <c r="AQ35" s="40"/>
      <c r="AR35" s="40"/>
    </row>
    <row r="39" spans="1:4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</sheetData>
  <sheetProtection formatColumns="0" formatRows="0" selectLockedCells="1"/>
  <mergeCells count="88">
    <mergeCell ref="H30:N30"/>
    <mergeCell ref="Z30:AB30"/>
    <mergeCell ref="AD30:AJ30"/>
    <mergeCell ref="D31:F31"/>
    <mergeCell ref="H31:N31"/>
    <mergeCell ref="Z31:AB31"/>
    <mergeCell ref="AD31:AJ31"/>
    <mergeCell ref="D30:F30"/>
    <mergeCell ref="I25:I26"/>
    <mergeCell ref="J25:M25"/>
    <mergeCell ref="AE25:AE26"/>
    <mergeCell ref="AF25:AI25"/>
    <mergeCell ref="J26:M26"/>
    <mergeCell ref="AF26:AI26"/>
    <mergeCell ref="AA20:AA21"/>
    <mergeCell ref="AB20:AE20"/>
    <mergeCell ref="AH20:AH21"/>
    <mergeCell ref="AI20:AL20"/>
    <mergeCell ref="F21:I21"/>
    <mergeCell ref="M21:P21"/>
    <mergeCell ref="AB21:AE21"/>
    <mergeCell ref="AI21:AL21"/>
    <mergeCell ref="C4:S4"/>
    <mergeCell ref="AM14:AO14"/>
    <mergeCell ref="C15:F15"/>
    <mergeCell ref="Q15:S15"/>
    <mergeCell ref="Y15:AB15"/>
    <mergeCell ref="AM15:AO15"/>
    <mergeCell ref="Q14:S14"/>
    <mergeCell ref="X14:X15"/>
    <mergeCell ref="Y14:AB14"/>
    <mergeCell ref="AF14:AI14"/>
    <mergeCell ref="AL14:AL15"/>
    <mergeCell ref="X8:X9"/>
    <mergeCell ref="Y8:AB8"/>
    <mergeCell ref="AE8:AE9"/>
    <mergeCell ref="AF8:AI8"/>
    <mergeCell ref="AM8:AO8"/>
    <mergeCell ref="Y9:AB9"/>
    <mergeCell ref="AF9:AI9"/>
    <mergeCell ref="B8:B9"/>
    <mergeCell ref="C8:F8"/>
    <mergeCell ref="I8:I9"/>
    <mergeCell ref="J8:M8"/>
    <mergeCell ref="Q8:S8"/>
    <mergeCell ref="C9:F9"/>
    <mergeCell ref="J9:M9"/>
    <mergeCell ref="B14:B15"/>
    <mergeCell ref="C14:F14"/>
    <mergeCell ref="J14:M14"/>
    <mergeCell ref="P14:P15"/>
    <mergeCell ref="E20:E21"/>
    <mergeCell ref="F20:I20"/>
    <mergeCell ref="L20:L21"/>
    <mergeCell ref="M20:P20"/>
    <mergeCell ref="D32:F32"/>
    <mergeCell ref="H32:N32"/>
    <mergeCell ref="Z32:AB32"/>
    <mergeCell ref="AD32:AJ32"/>
    <mergeCell ref="D33:F33"/>
    <mergeCell ref="H33:N33"/>
    <mergeCell ref="Z33:AB33"/>
    <mergeCell ref="AD33:AJ33"/>
    <mergeCell ref="J28:M28"/>
    <mergeCell ref="AF28:AI28"/>
    <mergeCell ref="D29:F29"/>
    <mergeCell ref="H29:N29"/>
    <mergeCell ref="Z29:AB29"/>
    <mergeCell ref="AD29:AJ29"/>
    <mergeCell ref="X2:Z2"/>
    <mergeCell ref="T4:T5"/>
    <mergeCell ref="Y4:AO4"/>
    <mergeCell ref="X1:Z1"/>
    <mergeCell ref="AA1:AC1"/>
    <mergeCell ref="AE1:AH1"/>
    <mergeCell ref="AJ1:AO1"/>
    <mergeCell ref="AB2:AC2"/>
    <mergeCell ref="AE2:AG2"/>
    <mergeCell ref="AH2:AP2"/>
    <mergeCell ref="AP4:AP5"/>
    <mergeCell ref="I1:L1"/>
    <mergeCell ref="N1:S1"/>
    <mergeCell ref="B1:D1"/>
    <mergeCell ref="E1:G1"/>
    <mergeCell ref="B2:D2"/>
    <mergeCell ref="F2:G2"/>
    <mergeCell ref="I2:K2"/>
    <mergeCell ref="L2:T2"/>
  </mergeCells>
  <conditionalFormatting sqref="H32">
    <cfRule type="expression" dxfId="347" priority="200">
      <formula>$H$2=5</formula>
    </cfRule>
    <cfRule type="expression" dxfId="346" priority="201">
      <formula>$H$2=4</formula>
    </cfRule>
    <cfRule type="expression" dxfId="345" priority="202">
      <formula>$H$2=0</formula>
    </cfRule>
  </conditionalFormatting>
  <conditionalFormatting sqref="H29:N29">
    <cfRule type="expression" dxfId="344" priority="197">
      <formula>$H$2=0</formula>
    </cfRule>
    <cfRule type="expression" dxfId="343" priority="198" stopIfTrue="1">
      <formula>(OR(H2="1",H2="2",H2="3"))</formula>
    </cfRule>
  </conditionalFormatting>
  <conditionalFormatting sqref="H30:N30">
    <cfRule type="expression" dxfId="342" priority="196">
      <formula>(OR(H2="2",H2="3"))</formula>
    </cfRule>
  </conditionalFormatting>
  <conditionalFormatting sqref="H31:N31">
    <cfRule type="expression" dxfId="341" priority="195">
      <formula>(H2="3")</formula>
    </cfRule>
  </conditionalFormatting>
  <conditionalFormatting sqref="H32:N32">
    <cfRule type="cellIs" dxfId="340" priority="194" operator="equal">
      <formula>0</formula>
    </cfRule>
  </conditionalFormatting>
  <conditionalFormatting sqref="H33:N33">
    <cfRule type="cellIs" dxfId="339" priority="193" operator="equal">
      <formula>0</formula>
    </cfRule>
  </conditionalFormatting>
  <conditionalFormatting sqref="AD32">
    <cfRule type="expression" dxfId="338" priority="184">
      <formula>$H$2=5</formula>
    </cfRule>
    <cfRule type="expression" dxfId="337" priority="185">
      <formula>$H$2=4</formula>
    </cfRule>
    <cfRule type="expression" dxfId="336" priority="186">
      <formula>$AA$2=0</formula>
    </cfRule>
  </conditionalFormatting>
  <conditionalFormatting sqref="AD32:AJ32">
    <cfRule type="cellIs" dxfId="335" priority="179" operator="equal">
      <formula>0</formula>
    </cfRule>
  </conditionalFormatting>
  <conditionalFormatting sqref="AD33:AJ33">
    <cfRule type="cellIs" dxfId="334" priority="178" operator="equal">
      <formula>0</formula>
    </cfRule>
  </conditionalFormatting>
  <conditionalFormatting sqref="H33 AD33">
    <cfRule type="expression" dxfId="333" priority="225">
      <formula>$AF$2=5</formula>
    </cfRule>
  </conditionalFormatting>
  <conditionalFormatting sqref="AD33">
    <cfRule type="expression" dxfId="332" priority="224">
      <formula>$AA$2=0</formula>
    </cfRule>
  </conditionalFormatting>
  <conditionalFormatting sqref="AD30">
    <cfRule type="expression" dxfId="331" priority="210">
      <formula>$AA$2=0</formula>
    </cfRule>
    <cfRule type="expression" dxfId="330" priority="211">
      <formula>$AF$2=5</formula>
    </cfRule>
    <cfRule type="expression" dxfId="329" priority="212">
      <formula>$AF$2=4</formula>
    </cfRule>
    <cfRule type="expression" dxfId="328" priority="213">
      <formula>$AF$2=3</formula>
    </cfRule>
    <cfRule type="expression" dxfId="327" priority="214">
      <formula>$AF$2=2</formula>
    </cfRule>
  </conditionalFormatting>
  <conditionalFormatting sqref="AD31:AJ31">
    <cfRule type="expression" dxfId="326" priority="206">
      <formula>$AA$2=0</formula>
    </cfRule>
    <cfRule type="expression" dxfId="325" priority="207">
      <formula>$AF$2=5</formula>
    </cfRule>
    <cfRule type="expression" dxfId="324" priority="208">
      <formula>$AF$2=4</formula>
    </cfRule>
    <cfRule type="expression" dxfId="323" priority="209">
      <formula>$AF$2=3</formula>
    </cfRule>
  </conditionalFormatting>
  <conditionalFormatting sqref="AD32:AJ32">
    <cfRule type="expression" dxfId="322" priority="203">
      <formula>$AF$2=5</formula>
    </cfRule>
    <cfRule type="expression" dxfId="321" priority="204">
      <formula>$AA$2=0</formula>
    </cfRule>
    <cfRule type="expression" dxfId="320" priority="205">
      <formula>$AF$2=4</formula>
    </cfRule>
  </conditionalFormatting>
  <conditionalFormatting sqref="AD29:AJ29">
    <cfRule type="expression" dxfId="319" priority="199">
      <formula>$AF$2=1</formula>
    </cfRule>
  </conditionalFormatting>
  <conditionalFormatting sqref="AD29:AJ29">
    <cfRule type="expression" dxfId="318" priority="182">
      <formula>$AA$2=0</formula>
    </cfRule>
    <cfRule type="expression" dxfId="317" priority="183" stopIfTrue="1">
      <formula>(OR(AF2="1",AF2="2",AF2="3"))</formula>
    </cfRule>
  </conditionalFormatting>
  <conditionalFormatting sqref="AD30:AJ30">
    <cfRule type="expression" dxfId="316" priority="181">
      <formula>(OR(AF2="2",AF2="3"))</formula>
    </cfRule>
  </conditionalFormatting>
  <conditionalFormatting sqref="AD31:AJ31">
    <cfRule type="expression" dxfId="315" priority="180">
      <formula>(AF2="3")</formula>
    </cfRule>
  </conditionalFormatting>
  <conditionalFormatting sqref="AD29">
    <cfRule type="expression" dxfId="314" priority="264">
      <formula>$AF$2=2</formula>
    </cfRule>
    <cfRule type="expression" dxfId="313" priority="265">
      <formula>$AF$2=5</formula>
    </cfRule>
    <cfRule type="expression" dxfId="312" priority="266">
      <formula>$AF$2=4</formula>
    </cfRule>
    <cfRule type="expression" dxfId="311" priority="267">
      <formula>$AF$2=3</formula>
    </cfRule>
    <cfRule type="expression" dxfId="310" priority="268">
      <formula>$AA$2=0</formula>
    </cfRule>
  </conditionalFormatting>
  <conditionalFormatting sqref="H33 AD33">
    <cfRule type="expression" dxfId="309" priority="163">
      <formula>$AD$2=5</formula>
    </cfRule>
  </conditionalFormatting>
  <conditionalFormatting sqref="AD33">
    <cfRule type="expression" dxfId="308" priority="162">
      <formula>$AD$2=0</formula>
    </cfRule>
  </conditionalFormatting>
  <conditionalFormatting sqref="AD29">
    <cfRule type="expression" dxfId="307" priority="154">
      <formula>$AD$2=2</formula>
    </cfRule>
    <cfRule type="expression" dxfId="306" priority="155">
      <formula>$AD$2=5</formula>
    </cfRule>
    <cfRule type="expression" dxfId="305" priority="156">
      <formula>$AD$2=4</formula>
    </cfRule>
    <cfRule type="expression" dxfId="304" priority="157">
      <formula>$AD$2=3</formula>
    </cfRule>
    <cfRule type="expression" dxfId="303" priority="158">
      <formula>$H$2=0</formula>
    </cfRule>
  </conditionalFormatting>
  <conditionalFormatting sqref="AD30">
    <cfRule type="expression" dxfId="302" priority="149">
      <formula>$AD$2=0</formula>
    </cfRule>
    <cfRule type="expression" dxfId="301" priority="150">
      <formula>$AD$2=5</formula>
    </cfRule>
    <cfRule type="expression" dxfId="300" priority="151">
      <formula>$AD$2=4</formula>
    </cfRule>
    <cfRule type="expression" dxfId="299" priority="152">
      <formula>$AD$2=3</formula>
    </cfRule>
    <cfRule type="expression" dxfId="298" priority="153">
      <formula>$AD$2=2</formula>
    </cfRule>
  </conditionalFormatting>
  <conditionalFormatting sqref="AD31">
    <cfRule type="expression" dxfId="297" priority="145">
      <formula>$AD$2=0</formula>
    </cfRule>
    <cfRule type="expression" dxfId="296" priority="146">
      <formula>$AD$2=5</formula>
    </cfRule>
    <cfRule type="expression" dxfId="295" priority="147">
      <formula>$AD$2=4</formula>
    </cfRule>
    <cfRule type="expression" dxfId="294" priority="148">
      <formula>$AD$2=3</formula>
    </cfRule>
  </conditionalFormatting>
  <conditionalFormatting sqref="AD32:AJ32">
    <cfRule type="cellIs" dxfId="293" priority="141" operator="equal">
      <formula>0</formula>
    </cfRule>
    <cfRule type="expression" dxfId="292" priority="142">
      <formula>$AD$2=5</formula>
    </cfRule>
    <cfRule type="expression" dxfId="291" priority="143">
      <formula>$AD$2=0</formula>
    </cfRule>
    <cfRule type="expression" dxfId="290" priority="144">
      <formula>$AD$2=4</formula>
    </cfRule>
  </conditionalFormatting>
  <conditionalFormatting sqref="H32 AD32">
    <cfRule type="expression" dxfId="289" priority="140">
      <formula>$H$2=0</formula>
    </cfRule>
  </conditionalFormatting>
  <conditionalFormatting sqref="AD29:AJ29">
    <cfRule type="expression" dxfId="288" priority="139">
      <formula>$AD$2=1</formula>
    </cfRule>
  </conditionalFormatting>
  <conditionalFormatting sqref="H29:N29">
    <cfRule type="expression" dxfId="287" priority="137">
      <formula>$H$2=0</formula>
    </cfRule>
    <cfRule type="expression" dxfId="286" priority="138" stopIfTrue="1">
      <formula>(OR(H2="1",H2="2",H2="3"))</formula>
    </cfRule>
  </conditionalFormatting>
  <conditionalFormatting sqref="H30:N30">
    <cfRule type="expression" dxfId="285" priority="136">
      <formula>(OR(H2="2",H2="3"))</formula>
    </cfRule>
  </conditionalFormatting>
  <conditionalFormatting sqref="H31:N31">
    <cfRule type="cellIs" dxfId="284" priority="134" operator="equal">
      <formula>0</formula>
    </cfRule>
    <cfRule type="expression" dxfId="283" priority="135">
      <formula>(H2="3")</formula>
    </cfRule>
  </conditionalFormatting>
  <conditionalFormatting sqref="AD29:AJ29">
    <cfRule type="expression" dxfId="282" priority="132">
      <formula>$H$2=0</formula>
    </cfRule>
    <cfRule type="expression" dxfId="281" priority="133" stopIfTrue="1">
      <formula>(OR(AD2="1",AD2="2",AD2="3"))</formula>
    </cfRule>
  </conditionalFormatting>
  <conditionalFormatting sqref="AD30:AJ30">
    <cfRule type="expression" dxfId="280" priority="131">
      <formula>(OR(AD2="2",AD2="3"))</formula>
    </cfRule>
  </conditionalFormatting>
  <conditionalFormatting sqref="AD31">
    <cfRule type="expression" dxfId="279" priority="130">
      <formula>(AD2="3")</formula>
    </cfRule>
  </conditionalFormatting>
  <conditionalFormatting sqref="H33:N33">
    <cfRule type="cellIs" dxfId="278" priority="109" operator="equal">
      <formula>0</formula>
    </cfRule>
  </conditionalFormatting>
  <conditionalFormatting sqref="H32:N32">
    <cfRule type="cellIs" dxfId="277" priority="108" operator="equal">
      <formula>0</formula>
    </cfRule>
  </conditionalFormatting>
  <conditionalFormatting sqref="AD33:AJ33">
    <cfRule type="cellIs" dxfId="276" priority="106" operator="equal">
      <formula>0</formula>
    </cfRule>
  </conditionalFormatting>
  <conditionalFormatting sqref="AD31:AJ31">
    <cfRule type="cellIs" dxfId="275" priority="105" operator="equal">
      <formula>0</formula>
    </cfRule>
  </conditionalFormatting>
  <conditionalFormatting sqref="C8:F9">
    <cfRule type="expression" dxfId="274" priority="67">
      <formula>(OR($E$2=3,$E$2=4,$E$2=5))</formula>
    </cfRule>
  </conditionalFormatting>
  <conditionalFormatting sqref="AF9:AI9">
    <cfRule type="cellIs" dxfId="273" priority="7" operator="equal">
      <formula>$E$2=0</formula>
    </cfRule>
  </conditionalFormatting>
  <conditionalFormatting sqref="AF8:AI9">
    <cfRule type="expression" dxfId="272" priority="6">
      <formula>(OR($E$2=3,$E$2=4,$E$2=5))</formula>
    </cfRule>
  </conditionalFormatting>
  <conditionalFormatting sqref="C14:F15">
    <cfRule type="cellIs" dxfId="271" priority="5" operator="equal">
      <formula>0</formula>
    </cfRule>
  </conditionalFormatting>
  <conditionalFormatting sqref="Q14:S15">
    <cfRule type="cellIs" dxfId="270" priority="4" operator="equal">
      <formula>0</formula>
    </cfRule>
  </conditionalFormatting>
  <conditionalFormatting sqref="F20:I21">
    <cfRule type="cellIs" dxfId="269" priority="3" operator="equal">
      <formula>0</formula>
    </cfRule>
  </conditionalFormatting>
  <conditionalFormatting sqref="M20:P21">
    <cfRule type="cellIs" dxfId="268" priority="2" operator="equal">
      <formula>0</formula>
    </cfRule>
  </conditionalFormatting>
  <conditionalFormatting sqref="J25:M26">
    <cfRule type="cellIs" dxfId="26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horizontalDpi="4294967292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7">
    <tabColor rgb="FF66FF33"/>
    <pageSetUpPr fitToPage="1"/>
  </sheetPr>
  <dimension ref="A1:AR39"/>
  <sheetViews>
    <sheetView workbookViewId="0"/>
  </sheetViews>
  <sheetFormatPr baseColWidth="10" defaultRowHeight="15"/>
  <cols>
    <col min="1" max="1" width="4" customWidth="1"/>
    <col min="2" max="2" width="5.140625" customWidth="1"/>
    <col min="3" max="3" width="6.42578125" customWidth="1"/>
    <col min="4" max="4" width="11.28515625" customWidth="1"/>
    <col min="5" max="5" width="4.42578125" customWidth="1"/>
    <col min="6" max="6" width="7.42578125" customWidth="1"/>
    <col min="7" max="7" width="6" customWidth="1"/>
    <col min="8" max="8" width="8.42578125" customWidth="1"/>
    <col min="9" max="9" width="5.5703125" customWidth="1"/>
    <col min="10" max="10" width="5" customWidth="1"/>
    <col min="11" max="11" width="6.28515625" customWidth="1"/>
    <col min="12" max="12" width="4.42578125" customWidth="1"/>
    <col min="13" max="13" width="13" customWidth="1"/>
    <col min="14" max="14" width="6.28515625" customWidth="1"/>
    <col min="15" max="16" width="6" customWidth="1"/>
    <col min="17" max="17" width="7.7109375" customWidth="1"/>
    <col min="18" max="18" width="5.28515625" customWidth="1"/>
    <col min="19" max="19" width="12.28515625" customWidth="1"/>
    <col min="20" max="20" width="6" customWidth="1"/>
    <col min="21" max="21" width="8.140625" customWidth="1"/>
    <col min="22" max="22" width="5.140625" customWidth="1"/>
    <col min="23" max="23" width="6.42578125" customWidth="1"/>
    <col min="24" max="24" width="11.28515625" customWidth="1"/>
    <col min="25" max="25" width="4.42578125" customWidth="1"/>
    <col min="26" max="26" width="7.42578125" customWidth="1"/>
    <col min="27" max="27" width="6" customWidth="1"/>
    <col min="28" max="28" width="8.42578125" customWidth="1"/>
    <col min="29" max="29" width="5.5703125" customWidth="1"/>
    <col min="30" max="30" width="8.5703125" customWidth="1"/>
    <col min="31" max="31" width="6.28515625" customWidth="1"/>
    <col min="32" max="32" width="4.42578125" customWidth="1"/>
    <col min="33" max="33" width="13" customWidth="1"/>
    <col min="34" max="36" width="6" customWidth="1"/>
    <col min="37" max="37" width="7.7109375" customWidth="1"/>
    <col min="38" max="38" width="5.28515625" customWidth="1"/>
    <col min="39" max="39" width="12.28515625" customWidth="1"/>
    <col min="40" max="40" width="6" customWidth="1"/>
    <col min="43" max="43" width="8.42578125" customWidth="1"/>
    <col min="44" max="44" width="9.140625" customWidth="1"/>
  </cols>
  <sheetData>
    <row r="1" spans="1:44" ht="21.75" thickBot="1">
      <c r="A1" s="1"/>
      <c r="B1" s="1443" t="s">
        <v>51</v>
      </c>
      <c r="C1" s="1415"/>
      <c r="D1" s="1415"/>
      <c r="E1" s="1415">
        <f>Rens.!J1</f>
        <v>0</v>
      </c>
      <c r="F1" s="1415"/>
      <c r="G1" s="1415"/>
      <c r="H1" s="18">
        <f ca="1">Rens.!$D$3</f>
        <v>2021</v>
      </c>
      <c r="I1" s="1415" t="str">
        <f>Rens.!$J$3</f>
        <v>Quadrette</v>
      </c>
      <c r="J1" s="1415"/>
      <c r="K1" s="1415"/>
      <c r="L1" s="1415"/>
      <c r="M1" s="19" t="e">
        <f>Rens.!#REF!</f>
        <v>#REF!</v>
      </c>
      <c r="N1" s="1443" t="s">
        <v>23</v>
      </c>
      <c r="O1" s="1415"/>
      <c r="P1" s="1415"/>
      <c r="Q1" s="1415"/>
      <c r="R1" s="1415"/>
      <c r="S1" s="1447"/>
      <c r="T1" s="4">
        <f>Rens.!$E$8</f>
        <v>0</v>
      </c>
      <c r="W1" s="1"/>
      <c r="X1" s="1443" t="s">
        <v>51</v>
      </c>
      <c r="Y1" s="1415"/>
      <c r="Z1" s="1415"/>
      <c r="AA1" s="1415">
        <f>Rens.!J1</f>
        <v>0</v>
      </c>
      <c r="AB1" s="1415"/>
      <c r="AC1" s="1415"/>
      <c r="AD1" s="18">
        <f ca="1">Rens.!$D$3</f>
        <v>2021</v>
      </c>
      <c r="AE1" s="1415" t="str">
        <f>Rens.!$J$3</f>
        <v>Quadrette</v>
      </c>
      <c r="AF1" s="1415"/>
      <c r="AG1" s="1415"/>
      <c r="AH1" s="1415"/>
      <c r="AI1" s="19" t="e">
        <f>Rens.!#REF!</f>
        <v>#REF!</v>
      </c>
      <c r="AJ1" s="1443" t="s">
        <v>23</v>
      </c>
      <c r="AK1" s="1415"/>
      <c r="AL1" s="1415"/>
      <c r="AM1" s="1415"/>
      <c r="AN1" s="1415"/>
      <c r="AO1" s="1447"/>
      <c r="AP1" s="5">
        <f>Rens.!$E$8</f>
        <v>0</v>
      </c>
      <c r="AQ1" s="3"/>
    </row>
    <row r="2" spans="1:44" ht="19.5" customHeight="1" thickBot="1">
      <c r="A2" s="1"/>
      <c r="B2" s="1443" t="s">
        <v>30</v>
      </c>
      <c r="C2" s="1415"/>
      <c r="D2" s="1415"/>
      <c r="E2" s="16">
        <f>Rens.!M16</f>
        <v>0</v>
      </c>
      <c r="F2" s="1415" t="s">
        <v>19</v>
      </c>
      <c r="G2" s="1415"/>
      <c r="H2" s="7">
        <f>Rens.!M17</f>
        <v>0</v>
      </c>
      <c r="I2" s="1415" t="s">
        <v>20</v>
      </c>
      <c r="J2" s="1415"/>
      <c r="K2" s="1415"/>
      <c r="L2" s="1415"/>
      <c r="M2" s="1415"/>
      <c r="N2" s="1415"/>
      <c r="O2" s="1415"/>
      <c r="P2" s="1415"/>
      <c r="Q2" s="1415"/>
      <c r="R2" s="1415"/>
      <c r="S2" s="1415"/>
      <c r="T2" s="1447"/>
      <c r="W2" s="1"/>
      <c r="X2" s="1443" t="s">
        <v>31</v>
      </c>
      <c r="Y2" s="1415"/>
      <c r="Z2" s="1415"/>
      <c r="AA2" s="17">
        <f>Rens.!N16</f>
        <v>0</v>
      </c>
      <c r="AB2" s="1415" t="s">
        <v>19</v>
      </c>
      <c r="AC2" s="1415"/>
      <c r="AD2" s="7">
        <f>Rens.!N17</f>
        <v>0</v>
      </c>
      <c r="AE2" s="1415" t="s">
        <v>20</v>
      </c>
      <c r="AF2" s="1415"/>
      <c r="AG2" s="1415"/>
      <c r="AH2" s="1415"/>
      <c r="AI2" s="1415"/>
      <c r="AJ2" s="1415"/>
      <c r="AK2" s="1415"/>
      <c r="AL2" s="1415"/>
      <c r="AM2" s="1415"/>
      <c r="AN2" s="1415"/>
      <c r="AO2" s="1415"/>
      <c r="AP2" s="1447"/>
      <c r="AQ2" s="3"/>
    </row>
    <row r="3" spans="1:44" ht="15.75" customHeight="1" thickBot="1">
      <c r="A3" s="38"/>
      <c r="B3" s="43"/>
      <c r="C3" s="44"/>
      <c r="D3" s="44"/>
      <c r="E3" s="44"/>
      <c r="F3" s="76" t="str">
        <f>CONCATENATE(E2,H2)</f>
        <v>00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  <c r="U3" s="44"/>
      <c r="V3" s="44"/>
      <c r="W3" s="38"/>
      <c r="X3" s="43"/>
      <c r="Y3" s="44"/>
      <c r="Z3" s="44"/>
      <c r="AA3" s="39"/>
      <c r="AB3" s="77" t="str">
        <f>CONCATENATE(AA2,AD2)</f>
        <v>00</v>
      </c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5"/>
      <c r="AQ3" s="40"/>
      <c r="AR3" s="40"/>
    </row>
    <row r="4" spans="1:44" ht="15.75" thickBot="1">
      <c r="A4" s="38"/>
      <c r="B4" s="43"/>
      <c r="C4" s="1444" t="s">
        <v>62</v>
      </c>
      <c r="D4" s="1445"/>
      <c r="E4" s="1445"/>
      <c r="F4" s="1445"/>
      <c r="G4" s="1445"/>
      <c r="H4" s="1445"/>
      <c r="I4" s="1445"/>
      <c r="J4" s="1445"/>
      <c r="K4" s="1445"/>
      <c r="L4" s="1445"/>
      <c r="M4" s="1445"/>
      <c r="N4" s="1445"/>
      <c r="O4" s="1445"/>
      <c r="P4" s="1445"/>
      <c r="Q4" s="1445"/>
      <c r="R4" s="1445"/>
      <c r="S4" s="1446"/>
      <c r="T4" s="1448"/>
      <c r="U4" s="46"/>
      <c r="V4" s="46"/>
      <c r="W4" s="38"/>
      <c r="X4" s="43"/>
      <c r="Y4" s="1444" t="s">
        <v>62</v>
      </c>
      <c r="Z4" s="1445"/>
      <c r="AA4" s="1445"/>
      <c r="AB4" s="1445"/>
      <c r="AC4" s="1445"/>
      <c r="AD4" s="1445"/>
      <c r="AE4" s="1445"/>
      <c r="AF4" s="1445"/>
      <c r="AG4" s="1445"/>
      <c r="AH4" s="1445"/>
      <c r="AI4" s="1445"/>
      <c r="AJ4" s="1445"/>
      <c r="AK4" s="1445"/>
      <c r="AL4" s="1445"/>
      <c r="AM4" s="1445"/>
      <c r="AN4" s="1445"/>
      <c r="AO4" s="1446"/>
      <c r="AP4" s="1448"/>
      <c r="AQ4" s="40"/>
      <c r="AR4" s="40"/>
    </row>
    <row r="5" spans="1:44">
      <c r="A5" s="38"/>
      <c r="B5" s="43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448"/>
      <c r="U5" s="46"/>
      <c r="V5" s="46"/>
      <c r="W5" s="38"/>
      <c r="X5" s="43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1448"/>
      <c r="AQ5" s="40"/>
      <c r="AR5" s="40"/>
    </row>
    <row r="6" spans="1:44" ht="15.75" thickBot="1">
      <c r="A6" s="38"/>
      <c r="B6" s="43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  <c r="S6" s="44"/>
      <c r="T6" s="45"/>
      <c r="U6" s="44"/>
      <c r="V6" s="44"/>
      <c r="W6" s="38"/>
      <c r="X6" s="43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8"/>
      <c r="AO6" s="44"/>
      <c r="AP6" s="45"/>
      <c r="AQ6" s="40"/>
      <c r="AR6" s="40"/>
    </row>
    <row r="7" spans="1:44" ht="15.75" thickBot="1">
      <c r="A7" s="38"/>
      <c r="B7" s="49" t="s">
        <v>6</v>
      </c>
      <c r="C7" s="50" t="s">
        <v>14</v>
      </c>
      <c r="D7" s="39"/>
      <c r="E7" s="47"/>
      <c r="F7" s="47"/>
      <c r="G7" s="44" t="s">
        <v>5</v>
      </c>
      <c r="H7" s="44"/>
      <c r="I7" s="44" t="s">
        <v>6</v>
      </c>
      <c r="J7" s="50" t="str">
        <f>IF(E2=2,"","C")</f>
        <v>C</v>
      </c>
      <c r="K7" s="39"/>
      <c r="L7" s="47"/>
      <c r="M7" s="47"/>
      <c r="N7" s="44" t="s">
        <v>5</v>
      </c>
      <c r="O7" s="44"/>
      <c r="P7" s="44"/>
      <c r="Q7" s="50" t="s">
        <v>41</v>
      </c>
      <c r="R7" s="47"/>
      <c r="S7" s="47" t="s">
        <v>59</v>
      </c>
      <c r="T7" s="51"/>
      <c r="U7" s="47"/>
      <c r="V7" s="47"/>
      <c r="W7" s="38"/>
      <c r="X7" s="49" t="s">
        <v>6</v>
      </c>
      <c r="Y7" s="50" t="s">
        <v>14</v>
      </c>
      <c r="Z7" s="39"/>
      <c r="AA7" s="47"/>
      <c r="AB7" s="47"/>
      <c r="AC7" s="44" t="s">
        <v>5</v>
      </c>
      <c r="AD7" s="44"/>
      <c r="AE7" s="44" t="s">
        <v>6</v>
      </c>
      <c r="AF7" s="50" t="str">
        <f>IF(AA2=2,"","C")</f>
        <v>C</v>
      </c>
      <c r="AG7" s="39"/>
      <c r="AH7" s="47"/>
      <c r="AI7" s="47"/>
      <c r="AJ7" s="44" t="s">
        <v>5</v>
      </c>
      <c r="AK7" s="44"/>
      <c r="AL7" s="44"/>
      <c r="AM7" s="50" t="s">
        <v>41</v>
      </c>
      <c r="AN7" s="47"/>
      <c r="AO7" s="47" t="s">
        <v>59</v>
      </c>
      <c r="AP7" s="51"/>
      <c r="AQ7" s="40"/>
      <c r="AR7" s="40"/>
    </row>
    <row r="8" spans="1:44" ht="15.75" thickBot="1">
      <c r="A8" s="52">
        <v>41</v>
      </c>
      <c r="B8" s="1325"/>
      <c r="C8" s="1305" t="str">
        <f>IF(ISNA(MATCH($A$8,Rens.!$U$5:$U$81,0)),"",INDEX(Rens.!$S$5:$S$81,MATCH($A$8,Rens.!$U$5:$U$81,0)))</f>
        <v/>
      </c>
      <c r="D8" s="1306"/>
      <c r="E8" s="1306"/>
      <c r="F8" s="1307"/>
      <c r="G8" s="53">
        <v>1</v>
      </c>
      <c r="H8" s="54">
        <v>43</v>
      </c>
      <c r="I8" s="1325"/>
      <c r="J8" s="1338" t="str">
        <f>IF(ISNA(MATCH($H$8,Rens.!$U$5:$U$81,0)),"",INDEX(Rens.!$S$5:$S$81,MATCH($H$8,Rens.!$U$5:$U$81,0)))</f>
        <v/>
      </c>
      <c r="K8" s="1339"/>
      <c r="L8" s="1339"/>
      <c r="M8" s="1340"/>
      <c r="N8" s="53">
        <v>1</v>
      </c>
      <c r="O8" s="44"/>
      <c r="P8" s="47">
        <v>45</v>
      </c>
      <c r="Q8" s="1417" t="str">
        <f>IF(E2+E3=4,0,IF(E2+E3=3,0,IF(ISNA(MATCH($P$8,Rens.!$U$5:$U$81,0)),"",INDEX(Rens.!$S$5:$S$81,MATCH($P$8,Rens.!$U$5:$U$81,0)))))</f>
        <v/>
      </c>
      <c r="R8" s="1418"/>
      <c r="S8" s="1419"/>
      <c r="T8" s="55"/>
      <c r="U8" s="47"/>
      <c r="V8" s="47"/>
      <c r="W8" s="38">
        <v>46</v>
      </c>
      <c r="X8" s="1325"/>
      <c r="Y8" s="1305" t="str">
        <f>IF(ISNA(MATCH($W$8,Rens.!$U$5:$U$81,0)),"",INDEX(Rens.!$S$5:$S$81,MATCH($W$8,Rens.!$U$5:$U$81,0)))</f>
        <v/>
      </c>
      <c r="Z8" s="1306"/>
      <c r="AA8" s="1306"/>
      <c r="AB8" s="1307"/>
      <c r="AC8" s="53">
        <v>1</v>
      </c>
      <c r="AD8" s="54">
        <v>48</v>
      </c>
      <c r="AE8" s="1325"/>
      <c r="AF8" s="1305" t="str">
        <f>IF(ISNA(MATCH($AD$8,Rens.!$U$5:$U$81,0)),"",INDEX(Rens.!$S$5:$S$81,MATCH($AD$8,Rens.!$U$5:$U$81,0)))</f>
        <v/>
      </c>
      <c r="AG8" s="1306"/>
      <c r="AH8" s="1306"/>
      <c r="AI8" s="1307"/>
      <c r="AJ8" s="53">
        <v>1</v>
      </c>
      <c r="AK8" s="44"/>
      <c r="AL8" s="47">
        <v>50</v>
      </c>
      <c r="AM8" s="1417" t="str">
        <f>IF($AA$2+$AA$3=4,0,IF($AA$2+$AA$3=3,0,IF(ISNA(MATCH($AL$8,Rens.!$U$5:$U$81,0)),"",INDEX(Rens.!$S$5:$S$81,MATCH($AL$8,Rens.!$U$5:$U$81,0)))))</f>
        <v/>
      </c>
      <c r="AN8" s="1418"/>
      <c r="AO8" s="1419"/>
      <c r="AP8" s="55"/>
      <c r="AQ8" s="40"/>
      <c r="AR8" s="40"/>
    </row>
    <row r="9" spans="1:44" ht="15.75" thickBot="1">
      <c r="A9" s="52">
        <v>42</v>
      </c>
      <c r="B9" s="1326"/>
      <c r="C9" s="1341" t="str">
        <f>IF(ISNA(MATCH($A$9,Rens.!$U$5:$U$81,0)),"",INDEX(Rens.!$S$5:$S$81,MATCH($A$9,Rens.!$U$5:$U$81,0)))</f>
        <v/>
      </c>
      <c r="D9" s="1342"/>
      <c r="E9" s="1342"/>
      <c r="F9" s="1343"/>
      <c r="G9" s="80">
        <v>0</v>
      </c>
      <c r="H9" s="54">
        <v>44</v>
      </c>
      <c r="I9" s="1326"/>
      <c r="J9" s="1341" t="str">
        <f>IF(ISNA(MATCH($H$9,Rens.!$U$5:$U$81,0)),"0ffice",INDEX(Rens.!$S$5:$S$81,MATCH($H$9,Rens.!$U$5:$U$81,0)))</f>
        <v>0ffice</v>
      </c>
      <c r="K9" s="1342"/>
      <c r="L9" s="1342"/>
      <c r="M9" s="1343"/>
      <c r="N9" s="53">
        <v>0</v>
      </c>
      <c r="O9" s="44"/>
      <c r="P9" s="47"/>
      <c r="Q9" s="56" t="e">
        <f>IF(ISNA(MATCH($P$8,#REF!,0)),"",INDEX(#REF!,MATCH($P$8,#REF!,0)))</f>
        <v>#REF!</v>
      </c>
      <c r="R9" s="47"/>
      <c r="S9" s="47"/>
      <c r="T9" s="51"/>
      <c r="U9" s="47"/>
      <c r="V9" s="47"/>
      <c r="W9" s="38">
        <v>47</v>
      </c>
      <c r="X9" s="1326"/>
      <c r="Y9" s="1341" t="str">
        <f>IF(ISNA(MATCH($W$9,Rens.!$U$5:$U$81,0)),"",INDEX(Rens.!$S$5:$S$81,MATCH($W$9,Rens.!$U$5:$U$81,0)))</f>
        <v/>
      </c>
      <c r="Z9" s="1342"/>
      <c r="AA9" s="1342"/>
      <c r="AB9" s="1343"/>
      <c r="AC9" s="80">
        <v>0</v>
      </c>
      <c r="AD9" s="54">
        <v>49</v>
      </c>
      <c r="AE9" s="1326"/>
      <c r="AF9" s="1341" t="str">
        <f>IF(ISNA(MATCH($AD$9,Rens.!$U$5:$U$81,0)),"",INDEX(Rens.!$S$5:$S$81,MATCH($AD$9,Rens.!$U$5:$U$81,0)))</f>
        <v/>
      </c>
      <c r="AG9" s="1342"/>
      <c r="AH9" s="1342"/>
      <c r="AI9" s="1343"/>
      <c r="AJ9" s="53">
        <v>0</v>
      </c>
      <c r="AK9" s="44"/>
      <c r="AL9" s="47"/>
      <c r="AM9" s="56" t="e">
        <f>IF(ISNA(MATCH($AL$8,#REF!,0)),"",INDEX(#REF!,MATCH($AL$8,#REF!,0)))</f>
        <v>#REF!</v>
      </c>
      <c r="AN9" s="47"/>
      <c r="AO9" s="47"/>
      <c r="AP9" s="51"/>
      <c r="AQ9" s="40"/>
      <c r="AR9" s="40"/>
    </row>
    <row r="10" spans="1:44" ht="15.75" thickBot="1">
      <c r="A10" s="38"/>
      <c r="B10" s="43"/>
      <c r="C10" s="92" t="s">
        <v>15</v>
      </c>
      <c r="D10" s="39"/>
      <c r="E10" s="47"/>
      <c r="F10" s="47"/>
      <c r="G10" s="47"/>
      <c r="H10" s="47"/>
      <c r="I10" s="47"/>
      <c r="J10" s="50" t="s">
        <v>40</v>
      </c>
      <c r="K10" s="39"/>
      <c r="L10" s="47"/>
      <c r="M10" s="47"/>
      <c r="N10" s="47"/>
      <c r="O10" s="47"/>
      <c r="P10" s="47"/>
      <c r="Q10" s="47"/>
      <c r="R10" s="47"/>
      <c r="S10" s="47"/>
      <c r="T10" s="51"/>
      <c r="U10" s="47"/>
      <c r="V10" s="47"/>
      <c r="W10" s="38"/>
      <c r="X10" s="43"/>
      <c r="Y10" s="92" t="s">
        <v>15</v>
      </c>
      <c r="Z10" s="39"/>
      <c r="AA10" s="47"/>
      <c r="AB10" s="47"/>
      <c r="AC10" s="47"/>
      <c r="AD10" s="47"/>
      <c r="AE10" s="47"/>
      <c r="AF10" s="50" t="s">
        <v>40</v>
      </c>
      <c r="AG10" s="39"/>
      <c r="AH10" s="47"/>
      <c r="AI10" s="47"/>
      <c r="AJ10" s="47"/>
      <c r="AK10" s="47"/>
      <c r="AL10" s="47"/>
      <c r="AM10" s="47"/>
      <c r="AN10" s="47"/>
      <c r="AO10" s="47"/>
      <c r="AP10" s="51"/>
      <c r="AQ10" s="40"/>
      <c r="AR10" s="40"/>
    </row>
    <row r="11" spans="1:44">
      <c r="A11" s="38"/>
      <c r="B11" s="43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51"/>
      <c r="U11" s="47"/>
      <c r="V11" s="47"/>
      <c r="W11" s="38"/>
      <c r="X11" s="43"/>
      <c r="Y11" s="48"/>
      <c r="Z11" s="48"/>
      <c r="AA11" s="48"/>
      <c r="AB11" s="48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51"/>
      <c r="AQ11" s="40"/>
      <c r="AR11" s="40"/>
    </row>
    <row r="12" spans="1:44">
      <c r="A12" s="38"/>
      <c r="B12" s="43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51"/>
      <c r="U12" s="47"/>
      <c r="V12" s="47"/>
      <c r="W12" s="38"/>
      <c r="X12" s="43"/>
      <c r="Y12" s="48"/>
      <c r="Z12" s="48"/>
      <c r="AA12" s="48"/>
      <c r="AB12" s="48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51"/>
      <c r="AQ12" s="40"/>
      <c r="AR12" s="40"/>
    </row>
    <row r="13" spans="1:44" ht="15.75" thickBot="1">
      <c r="A13" s="38"/>
      <c r="B13" s="49" t="s">
        <v>6</v>
      </c>
      <c r="C13" s="47"/>
      <c r="D13" s="78" t="s">
        <v>58</v>
      </c>
      <c r="E13" s="47"/>
      <c r="F13" s="47"/>
      <c r="G13" s="44" t="s">
        <v>5</v>
      </c>
      <c r="H13" s="44"/>
      <c r="I13" s="47"/>
      <c r="J13" s="47"/>
      <c r="K13" s="47"/>
      <c r="L13" s="47" t="s">
        <v>59</v>
      </c>
      <c r="M13" s="47"/>
      <c r="N13" s="47"/>
      <c r="O13" s="47"/>
      <c r="P13" s="44" t="s">
        <v>6</v>
      </c>
      <c r="Q13" s="47"/>
      <c r="R13" s="78" t="s">
        <v>57</v>
      </c>
      <c r="S13" s="47"/>
      <c r="T13" s="44" t="s">
        <v>5</v>
      </c>
      <c r="U13" s="57"/>
      <c r="V13" s="58"/>
      <c r="W13" s="38"/>
      <c r="X13" s="59" t="s">
        <v>6</v>
      </c>
      <c r="Y13" s="48"/>
      <c r="Z13" s="48" t="s">
        <v>58</v>
      </c>
      <c r="AA13" s="48"/>
      <c r="AB13" s="48"/>
      <c r="AC13" s="44" t="s">
        <v>5</v>
      </c>
      <c r="AD13" s="44"/>
      <c r="AE13" s="47"/>
      <c r="AF13" s="47"/>
      <c r="AG13" s="47"/>
      <c r="AH13" s="47" t="s">
        <v>59</v>
      </c>
      <c r="AI13" s="47"/>
      <c r="AJ13" s="47"/>
      <c r="AK13" s="47"/>
      <c r="AL13" s="44" t="s">
        <v>6</v>
      </c>
      <c r="AM13" s="47"/>
      <c r="AN13" s="47" t="s">
        <v>57</v>
      </c>
      <c r="AO13" s="47"/>
      <c r="AP13" s="45" t="s">
        <v>5</v>
      </c>
      <c r="AQ13" s="58"/>
      <c r="AR13" s="58"/>
    </row>
    <row r="14" spans="1:44" ht="15.75" thickBot="1">
      <c r="A14" s="38"/>
      <c r="B14" s="1325"/>
      <c r="C14" s="1305" t="str">
        <f>IF($G$8=$G$9,"résultat",IF($G$8&gt;$G$9,$C$9,$C$8))</f>
        <v/>
      </c>
      <c r="D14" s="1336"/>
      <c r="E14" s="1336"/>
      <c r="F14" s="1337"/>
      <c r="G14" s="53">
        <v>1</v>
      </c>
      <c r="H14" s="44"/>
      <c r="I14" s="47"/>
      <c r="J14" s="1370" t="str">
        <f>IF(ISTEXT($Q$8),IF(($G$9=$G$8),"résultat",IF(($N$9=$N$8),"résultat",IF(($U$14=2),$C$8,IF(($V$14=2),$C$9,IF(($U$15=2),$J$9,IF(($V$15=2),J8,0)))))))</f>
        <v/>
      </c>
      <c r="K14" s="1371"/>
      <c r="L14" s="1371"/>
      <c r="M14" s="1372"/>
      <c r="N14" s="55"/>
      <c r="O14" s="47"/>
      <c r="P14" s="1325"/>
      <c r="Q14" s="1364" t="str">
        <f>IF($E$2+$E$3=5,$Q$8,IF($N$8=$N$9,"résultat",IF($N$8&gt;$N$9,$J$8,$J$9)))</f>
        <v/>
      </c>
      <c r="R14" s="1365"/>
      <c r="S14" s="1366"/>
      <c r="T14" s="61">
        <v>1</v>
      </c>
      <c r="U14" s="62">
        <f>IF(G8&gt;G9,1)+IF(N8&gt;N9,1)</f>
        <v>2</v>
      </c>
      <c r="V14" s="63">
        <f>IF(G9&gt;G8,1)+IF(N9&gt;N8,1)</f>
        <v>0</v>
      </c>
      <c r="W14" s="38"/>
      <c r="X14" s="1325"/>
      <c r="Y14" s="1427" t="str">
        <f>IF($AC$8=$AC$9,"résultat",IF($AC$8&gt;$AC$9,$Y$9,$Y$8))</f>
        <v/>
      </c>
      <c r="Z14" s="1336"/>
      <c r="AA14" s="1336"/>
      <c r="AB14" s="1337"/>
      <c r="AC14" s="53">
        <v>1</v>
      </c>
      <c r="AD14" s="44"/>
      <c r="AE14" s="47"/>
      <c r="AF14" s="1428" t="str">
        <f>IF(ISTEXT($AM$8),IF(($AC$9=$AC$8),"résultat",IF(($AJ$9=$AJ$8),"résultat",IF(($AQ$14=2),$Y$8,IF(($AR$14=2),$Y$9,IF(($AQ$15=2),$AF$9,IF(($AR$15=2),$AF$8,0)))))))</f>
        <v/>
      </c>
      <c r="AG14" s="1371"/>
      <c r="AH14" s="1371"/>
      <c r="AI14" s="1372"/>
      <c r="AJ14" s="60"/>
      <c r="AK14" s="47"/>
      <c r="AL14" s="1325"/>
      <c r="AM14" s="1364" t="str">
        <f>IF($AA$2+$AA$3=5,$AM$8,IF($AJ$8&gt;$AJ$9,$AF$8,$AF$9))</f>
        <v/>
      </c>
      <c r="AN14" s="1365"/>
      <c r="AO14" s="1366"/>
      <c r="AP14" s="96">
        <v>1</v>
      </c>
      <c r="AQ14" s="62">
        <f>IF(AC8&gt;AC9,1)+IF(AJ8&gt;AJ9,1)</f>
        <v>2</v>
      </c>
      <c r="AR14" s="63">
        <f>IF(AC9&gt;AC8,1)+IF(AJ9&gt;AJ8,1)</f>
        <v>0</v>
      </c>
    </row>
    <row r="15" spans="1:44" ht="15.75" thickBot="1">
      <c r="A15" s="38"/>
      <c r="B15" s="1326"/>
      <c r="C15" s="1333" t="str">
        <f>IF($N$8=$N$9,"résultat",IF($N$8&lt;$N$9,$J$8,$J$9))</f>
        <v>0ffice</v>
      </c>
      <c r="D15" s="1334"/>
      <c r="E15" s="1334"/>
      <c r="F15" s="1335"/>
      <c r="G15" s="64">
        <v>0</v>
      </c>
      <c r="H15" s="44"/>
      <c r="I15" s="47"/>
      <c r="J15" s="65" t="str">
        <f>IF(ISTEXT(J14)," ",0)</f>
        <v xml:space="preserve"> </v>
      </c>
      <c r="K15" s="47"/>
      <c r="L15" s="47"/>
      <c r="M15" s="47"/>
      <c r="N15" s="47"/>
      <c r="O15" s="47"/>
      <c r="P15" s="1326"/>
      <c r="Q15" s="1333" t="str">
        <f>IF(ISBLANK($Q$8),IF($G$8&gt;$G$9,$C$8,$C$9),IF(ISNUMBER($Q$8),IF(G8=G9,"résultat",IF($G$8&gt;$G$9,$C$8,$C$9)),IF(ISTEXT($Q$8),IF(($G$9=$G$8),"résultat",IF(($N$9=$N$8),"résultat",IF(($U$14=2),$J$8,IF(($V$14=2),$J$9,IF(($U$15=2),$C$8,IF(($V$15=2),$C$9)))))))))</f>
        <v/>
      </c>
      <c r="R15" s="1334"/>
      <c r="S15" s="1335"/>
      <c r="T15" s="80">
        <v>0</v>
      </c>
      <c r="U15" s="66">
        <f>IF(G8&gt;G9,1)+IF(N9&gt;N8,1)</f>
        <v>1</v>
      </c>
      <c r="V15" s="67">
        <f>IF(G9&gt;G8,1)+IF(N8&gt;N9,1)</f>
        <v>1</v>
      </c>
      <c r="W15" s="38"/>
      <c r="X15" s="1326"/>
      <c r="Y15" s="1333" t="str">
        <f>IF($AJ$8=$AJ$9,"résultat",IF($AJ$8&lt;$AJ$9,$AF$8,$AF$9))</f>
        <v/>
      </c>
      <c r="Z15" s="1334"/>
      <c r="AA15" s="1334"/>
      <c r="AB15" s="1335"/>
      <c r="AC15" s="53">
        <v>0</v>
      </c>
      <c r="AD15" s="44"/>
      <c r="AE15" s="47"/>
      <c r="AF15" s="47"/>
      <c r="AG15" s="47"/>
      <c r="AH15" s="47"/>
      <c r="AI15" s="47"/>
      <c r="AJ15" s="47"/>
      <c r="AK15" s="47"/>
      <c r="AL15" s="1326"/>
      <c r="AM15" s="1333" t="str">
        <f>IF(ISBLANK($AM$8),IF($AC$8&gt;$AC$9,$Y$8,$Y$9),IF(ISNUMBER($AM$8),IF($AC$8&gt;$AC$9,$Y$8,$Y$9),IF(ISTEXT($AM$8),IF(($AC$9=$AC$8),"résultat",IF(($AJ$9=$AJ$8),"résultat",IF(($AQ$14=2),$AF$8,IF(($AR$14=2),$AF$9,IF(($AQ$15=2),$Y$8,IF(($AR$15=2),$Y$9)))))))))</f>
        <v/>
      </c>
      <c r="AN15" s="1334"/>
      <c r="AO15" s="1335"/>
      <c r="AP15" s="95">
        <v>0</v>
      </c>
      <c r="AQ15" s="66">
        <f>IF(AC8&gt;AC9,1)+IF(AJ9&gt;AJ8,1)</f>
        <v>1</v>
      </c>
      <c r="AR15" s="67">
        <f>IF(AC9&gt;AC8,1)+IF(AJ8&gt;AJ9,1)</f>
        <v>1</v>
      </c>
    </row>
    <row r="16" spans="1:44">
      <c r="A16" s="38"/>
      <c r="B16" s="43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68"/>
      <c r="Q16" s="47"/>
      <c r="R16" s="47"/>
      <c r="S16" s="47"/>
      <c r="T16" s="51"/>
      <c r="U16" s="47"/>
      <c r="V16" s="47"/>
      <c r="W16" s="38"/>
      <c r="X16" s="43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51"/>
      <c r="AQ16" s="40"/>
      <c r="AR16" s="40"/>
    </row>
    <row r="17" spans="1:44">
      <c r="A17" s="38"/>
      <c r="B17" s="43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51"/>
      <c r="U17" s="47"/>
      <c r="V17" s="47"/>
      <c r="W17" s="38"/>
      <c r="X17" s="43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51"/>
      <c r="AQ17" s="40"/>
      <c r="AR17" s="40"/>
    </row>
    <row r="18" spans="1:44">
      <c r="A18" s="38"/>
      <c r="B18" s="43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2"/>
      <c r="T18" s="51"/>
      <c r="U18" s="47"/>
      <c r="V18" s="47"/>
      <c r="W18" s="38"/>
      <c r="X18" s="43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51"/>
      <c r="AQ18" s="40"/>
      <c r="AR18" s="40"/>
    </row>
    <row r="19" spans="1:44" ht="15.75" thickBot="1">
      <c r="A19" s="38"/>
      <c r="B19" s="43"/>
      <c r="C19" s="47"/>
      <c r="D19" s="47"/>
      <c r="E19" s="44" t="s">
        <v>6</v>
      </c>
      <c r="F19" s="47"/>
      <c r="G19" s="47"/>
      <c r="H19" s="47"/>
      <c r="I19" s="47"/>
      <c r="J19" s="44" t="s">
        <v>5</v>
      </c>
      <c r="K19" s="44"/>
      <c r="L19" s="44" t="s">
        <v>6</v>
      </c>
      <c r="M19" s="47"/>
      <c r="N19" s="47"/>
      <c r="O19" s="47"/>
      <c r="P19" s="47"/>
      <c r="Q19" s="44" t="s">
        <v>5</v>
      </c>
      <c r="R19" s="47"/>
      <c r="S19" s="47"/>
      <c r="T19" s="51"/>
      <c r="U19" s="69"/>
      <c r="V19" s="47"/>
      <c r="W19" s="38"/>
      <c r="X19" s="43"/>
      <c r="Y19" s="47"/>
      <c r="Z19" s="47"/>
      <c r="AA19" s="44" t="s">
        <v>6</v>
      </c>
      <c r="AB19" s="47"/>
      <c r="AC19" s="47"/>
      <c r="AD19" s="47"/>
      <c r="AE19" s="47"/>
      <c r="AF19" s="44" t="s">
        <v>5</v>
      </c>
      <c r="AG19" s="44"/>
      <c r="AH19" s="44" t="s">
        <v>6</v>
      </c>
      <c r="AI19" s="47"/>
      <c r="AJ19" s="47"/>
      <c r="AK19" s="47"/>
      <c r="AL19" s="47"/>
      <c r="AM19" s="44" t="s">
        <v>5</v>
      </c>
      <c r="AN19" s="47"/>
      <c r="AO19" s="47"/>
      <c r="AP19" s="51"/>
      <c r="AQ19" s="40"/>
      <c r="AR19" s="40"/>
    </row>
    <row r="20" spans="1:44" ht="15.75" thickBot="1">
      <c r="A20" s="38"/>
      <c r="B20" s="43"/>
      <c r="C20" s="47"/>
      <c r="D20" s="47"/>
      <c r="E20" s="1325"/>
      <c r="F20" s="1341" t="b">
        <f>IF($F$3+$G$3=53,IF($G$14=$G$15,"résultat",IF($G$14&gt;$G$15,$C$14,$C$15)),IF($F$3+$G$3=52,IF($G$14=$G$15,"résultat",IF($G$14&gt;$G$15,$C$14,$C$15)),IF($F$3+$G$3=42,"0",IF($F$3+$G$3=43,"0",IF($F$3+$G$3=32,IF(0&gt;0,0,0),IF($F$3+$G$3=31,IF($T$14=$T$15,"résultat",IF($T$14&lt;$T$15,$Q$14,$Q$15))))))))</f>
        <v>0</v>
      </c>
      <c r="G20" s="1345"/>
      <c r="H20" s="1345"/>
      <c r="I20" s="1346"/>
      <c r="J20" s="53">
        <v>1</v>
      </c>
      <c r="K20" s="44"/>
      <c r="L20" s="1325" t="s">
        <v>16</v>
      </c>
      <c r="M20" s="1423" t="b">
        <f>IF($E$2+$E$3=5,$J$14)</f>
        <v>0</v>
      </c>
      <c r="N20" s="1368"/>
      <c r="O20" s="1368"/>
      <c r="P20" s="1369"/>
      <c r="Q20" s="53">
        <v>1</v>
      </c>
      <c r="R20" s="47"/>
      <c r="S20" s="47"/>
      <c r="T20" s="51"/>
      <c r="U20" s="47"/>
      <c r="V20" s="47"/>
      <c r="W20" s="38"/>
      <c r="X20" s="43"/>
      <c r="Y20" s="47"/>
      <c r="Z20" s="47"/>
      <c r="AA20" s="1325"/>
      <c r="AB20" s="1341" t="b">
        <f>IF($AB$3+$AC$3=53,IF($AC$14=$AC$15,"résultat",IF($AC$14&gt;$AC$15,$Y$14,$Y$15)),IF($AB$3+$AC$3=52,IF($AC$14=$AC$15,"résultat",IF($AC$14&gt;$AC$15,$Y$14,$Y$15)),IF($AB$3+$AC$3=42,"0",IF($AB$3+$AC$3=43,"0",IF($AB$3+$AC$3=32,IF(0&gt;0,0,0),IF($AB$3+$AC$3=31,IF($AP$14=$AP$15,"résultat",IF($AP$14&lt;$AP$15,$AM$14,$AM$15))))))))</f>
        <v>0</v>
      </c>
      <c r="AC20" s="1345"/>
      <c r="AD20" s="1345"/>
      <c r="AE20" s="1346"/>
      <c r="AF20" s="53">
        <v>0</v>
      </c>
      <c r="AG20" s="44"/>
      <c r="AH20" s="1325" t="s">
        <v>16</v>
      </c>
      <c r="AI20" s="1423" t="b">
        <f>IF($AA$2+$AA$3=5,$AF$14)</f>
        <v>0</v>
      </c>
      <c r="AJ20" s="1368"/>
      <c r="AK20" s="1368"/>
      <c r="AL20" s="1369"/>
      <c r="AM20" s="53">
        <v>0</v>
      </c>
      <c r="AN20" s="47"/>
      <c r="AO20" s="47"/>
      <c r="AP20" s="51"/>
      <c r="AQ20" s="40"/>
      <c r="AR20" s="40"/>
    </row>
    <row r="21" spans="1:44" ht="15.75" thickBot="1">
      <c r="A21" s="38"/>
      <c r="B21" s="43"/>
      <c r="C21" s="47"/>
      <c r="D21" s="47"/>
      <c r="E21" s="1326"/>
      <c r="F21" s="1341" t="b">
        <f>IF($F$3+$G$3=53,IF($T$14=$T$15,"résultat",IF($T$14&lt;$T$15,$Q$14,$Q$15)),(IF($F$3+$G$3=52,IF($T$14=$T$15,"résultat",IF($T$14&lt;$T$15,$Q$14,$Q$15)),(IF($F$3+$G$3=43,IF(0&gt;0,0,0),(IF($F$3+$G$3=42,IF(0&gt;0,0,0),(IF($F$3+$G$3=32,IF(0&lt;0,0,0),(IF($F$3+$G$3=31,IF($G$14=$G$15,"résultat",IF($G$14&gt;$G$15,$C$14,$C$15)))))))))))))</f>
        <v>0</v>
      </c>
      <c r="G21" s="1342"/>
      <c r="H21" s="1342"/>
      <c r="I21" s="1343"/>
      <c r="J21" s="53">
        <v>0</v>
      </c>
      <c r="K21" s="44"/>
      <c r="L21" s="1326"/>
      <c r="M21" s="1341" t="b">
        <f>IF($F$3+$G$3=53,IF($T$14=$T$15,"résultat",IF($T$14&gt;$T$15,$Q$14,$Q$15)),(IF($F$3+$G$3=52,IF($T$14=$T$15,"résultat",IF($T$14&gt;$T$15,$Q$14,$Q$15)),(IF($F$3+$G$3=43,IF(0&gt;0,0,0),(IF($F$3+$G$3=42,IF(0&gt;0,0,0),(IF($F$3+$G$3=32,IF(0&gt;0,0,0),(IF($F$3+$G$3=31,IF(0&gt;0,0,0))))))))))))</f>
        <v>0</v>
      </c>
      <c r="N21" s="1342"/>
      <c r="O21" s="1342"/>
      <c r="P21" s="1343"/>
      <c r="Q21" s="53">
        <v>0</v>
      </c>
      <c r="R21" s="47"/>
      <c r="S21" s="69"/>
      <c r="T21" s="51"/>
      <c r="U21" s="47"/>
      <c r="V21" s="42"/>
      <c r="W21" s="38"/>
      <c r="X21" s="43"/>
      <c r="Y21" s="47"/>
      <c r="Z21" s="47"/>
      <c r="AA21" s="1326"/>
      <c r="AB21" s="1341" t="b">
        <f>IF($AB$3+$AC$3=53,IF($AP$14=$AP$15,"résultat",IF($AP$14&lt;$AP$15,$AM$14,$AM$15)),(IF($AB$3+$AC$3=52,IF($AP$14=$AP$15,"résultat",IF($AP$14&lt;$AP$15,$AM$14,$AM$15)),(IF($AB$3+$AC$3=43,IF(0&gt;0,0,0),(IF($AB$3+$AC$3=42,IF(0&gt;0,0,0),(IF($AB$3+$AC$3=32,IF(0&lt;0,0,0),(IF($AB$3+$AC$3=31,IF($AC$14=$AC$15,"résultat",IF($AC$14&gt;$AC$15,$Y$14,$Y$15)))))))))))))</f>
        <v>0</v>
      </c>
      <c r="AC21" s="1342"/>
      <c r="AD21" s="1342"/>
      <c r="AE21" s="1343"/>
      <c r="AF21" s="53">
        <v>0</v>
      </c>
      <c r="AG21" s="44"/>
      <c r="AH21" s="1326"/>
      <c r="AI21" s="1341" t="b">
        <f>IF($AB$3+$AC$3=53,IF($AP$14=$AP$15,"résultat",IF($AP$14&gt;$AP$15,$AM$14,$AM$15)),(IF($AB$3+$AC$3=52,IF($AP$14=$AP$15,"résultat",IF($AP$14&gt;$AP$15,$AM$14,$AM$15)),(IF($AB$3+$AC$3=43,IF(0&gt;0,0,0),(IF($AB$3+$AC$3=42,IF(0&gt;0,0,0),(IF($AB$3+$AC$3=32,IF(0&gt;0,0,0),(IF($AB$3+$AC$3=31,IF(0&gt;0,0,0))))))))))))</f>
        <v>0</v>
      </c>
      <c r="AJ21" s="1342"/>
      <c r="AK21" s="1342"/>
      <c r="AL21" s="1343"/>
      <c r="AM21" s="53">
        <v>0</v>
      </c>
      <c r="AN21" s="47"/>
      <c r="AO21" s="47"/>
      <c r="AP21" s="51"/>
      <c r="AQ21" s="40"/>
      <c r="AR21" s="40"/>
    </row>
    <row r="22" spans="1:44">
      <c r="A22" s="38"/>
      <c r="B22" s="43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51"/>
      <c r="U22" s="47"/>
      <c r="V22" s="47"/>
      <c r="W22" s="38"/>
      <c r="X22" s="43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51"/>
      <c r="AQ22" s="40"/>
      <c r="AR22" s="40"/>
    </row>
    <row r="23" spans="1:44">
      <c r="A23" s="38"/>
      <c r="B23" s="43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51"/>
      <c r="U23" s="47"/>
      <c r="V23" s="47"/>
      <c r="W23" s="38"/>
      <c r="X23" s="43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51"/>
      <c r="AQ23" s="40"/>
      <c r="AR23" s="40"/>
    </row>
    <row r="24" spans="1:44" ht="15.75" thickBot="1">
      <c r="A24" s="38"/>
      <c r="B24" s="43"/>
      <c r="C24" s="47"/>
      <c r="D24" s="47"/>
      <c r="E24" s="47"/>
      <c r="F24" s="47"/>
      <c r="G24" s="47"/>
      <c r="H24" s="47"/>
      <c r="I24" s="44" t="s">
        <v>6</v>
      </c>
      <c r="J24" s="47"/>
      <c r="K24" s="47"/>
      <c r="L24" s="47"/>
      <c r="M24" s="47"/>
      <c r="N24" s="44" t="s">
        <v>5</v>
      </c>
      <c r="O24" s="44"/>
      <c r="P24" s="70"/>
      <c r="Q24" s="47"/>
      <c r="R24" s="47"/>
      <c r="S24" s="47"/>
      <c r="T24" s="51"/>
      <c r="U24" s="47"/>
      <c r="V24" s="47"/>
      <c r="W24" s="38"/>
      <c r="X24" s="43"/>
      <c r="Y24" s="47"/>
      <c r="Z24" s="47"/>
      <c r="AA24" s="47"/>
      <c r="AB24" s="47"/>
      <c r="AC24" s="47"/>
      <c r="AD24" s="47"/>
      <c r="AE24" s="44" t="s">
        <v>6</v>
      </c>
      <c r="AF24" s="47"/>
      <c r="AG24" s="47"/>
      <c r="AH24" s="47"/>
      <c r="AI24" s="47"/>
      <c r="AJ24" s="44" t="s">
        <v>5</v>
      </c>
      <c r="AK24" s="44"/>
      <c r="AL24" s="70"/>
      <c r="AM24" s="47"/>
      <c r="AN24" s="47"/>
      <c r="AO24" s="47"/>
      <c r="AP24" s="51"/>
      <c r="AQ24" s="40"/>
      <c r="AR24" s="40"/>
    </row>
    <row r="25" spans="1:44" ht="15.75" thickBot="1">
      <c r="A25" s="38"/>
      <c r="B25" s="43"/>
      <c r="C25" s="47"/>
      <c r="D25" s="47"/>
      <c r="E25" s="47"/>
      <c r="F25" s="47"/>
      <c r="G25" s="47"/>
      <c r="H25" s="47"/>
      <c r="I25" s="1325"/>
      <c r="J25" s="1250" t="b">
        <f>IF($F$3+$G$3=53,IF(0&lt;0,0,0),(IF($F$3+$G$3=52,IF($Q$20=$Q$21,"résultat",IF($Q$20&lt;$Q$21,$M$20,$M$21)),IF($F$3+$G$3=43,IF(0&lt;0,0,0),(IF($F$3+$G$3=42,IF($T$14=$T$15,"résultat",IF($T$14&lt;$T$15,$Q$14,$Q$15)),IF($F$3+$G$3=32,IF($T$14=$T$15,"résultat",IF($T$14&lt;$T$15,$Q$14,$Q$15)),IF($F$3+$G$3=31,IF($J$20=$J$21,"résultat",IF($J$20&gt;$J$21,$F$20,$F$21))))))))))</f>
        <v>0</v>
      </c>
      <c r="K25" s="1327"/>
      <c r="L25" s="1327"/>
      <c r="M25" s="1328"/>
      <c r="N25" s="53">
        <v>1</v>
      </c>
      <c r="O25" s="44"/>
      <c r="P25" s="47"/>
      <c r="Q25" s="47"/>
      <c r="R25" s="47"/>
      <c r="S25" s="47"/>
      <c r="T25" s="51"/>
      <c r="U25" s="47"/>
      <c r="V25" s="47"/>
      <c r="W25" s="38"/>
      <c r="X25" s="43"/>
      <c r="Y25" s="47"/>
      <c r="Z25" s="47"/>
      <c r="AA25" s="47"/>
      <c r="AB25" s="47"/>
      <c r="AC25" s="47"/>
      <c r="AD25" s="47"/>
      <c r="AE25" s="1325"/>
      <c r="AF25" s="1250" t="b">
        <f>IF($AB$3+$AC$3=53,IF(0&lt;0,0,0),(IF($AB$3+$AC$3=52,IF($AM$20=$AM$21,"résultat",IF($AM$20&lt;$AM$21,$AI$20,$AI$21)),IF($AB$3+$AC$3=43,IF(0&lt;0,0,0),(IF($AB$3+$AC$3=42,IF($AP$14=$AP$15,"résultat",IF($AP$14&lt;$AP$15,$AM$14,$AM$15)),IF($AB$3+$AC$3=32,IF($AP$14=$AP$15,"résultat",IF($AP$14&lt;$AP$15,$AM$14,$AM$15)),IF($AB$3+$AC$3=31,IF($AF$20=$AF$21,"résultat",IF($AF$20&gt;$AF$21,$AB$20,$AB$21))))))))))</f>
        <v>0</v>
      </c>
      <c r="AG25" s="1327"/>
      <c r="AH25" s="1327"/>
      <c r="AI25" s="1328"/>
      <c r="AJ25" s="53">
        <v>1</v>
      </c>
      <c r="AK25" s="44"/>
      <c r="AL25" s="47"/>
      <c r="AM25" s="47"/>
      <c r="AN25" s="47"/>
      <c r="AO25" s="47"/>
      <c r="AP25" s="51"/>
      <c r="AQ25" s="40"/>
      <c r="AR25" s="40"/>
    </row>
    <row r="26" spans="1:44" ht="15.75" thickBot="1">
      <c r="A26" s="38"/>
      <c r="B26" s="43"/>
      <c r="C26" s="47"/>
      <c r="D26" s="47"/>
      <c r="E26" s="47"/>
      <c r="F26" s="47"/>
      <c r="G26" s="47"/>
      <c r="H26" s="47"/>
      <c r="I26" s="1326"/>
      <c r="J26" s="1347" t="b">
        <f>IF($F$3+$G$3=53,IF(0&gt;0,0,0),(IF($F$3+$G$3=52,IF($J$20=$J$21,"résultat",IF($J$20&gt;$J$21,$F$20,$F$21)),IF($F$3+$G$3=43,IF(0&gt;0,0,0),(IF(F3+G3=42,IF($G$14=$G$15,"résultat",IF($G$14&gt;$G$15,$C$14,$C$15)),(IF($F$3+$G$3=32,IF($G$14=$G$15,"résultat",IF($G$14&gt;$G$15,$C$14,$C$15)),(IF($F$3+$G$3=31,IF($T$14=$T$15,"résultat",IF($T$14&gt;$T$15,$Q$14,$Q$15))))))))))))</f>
        <v>0</v>
      </c>
      <c r="K26" s="1348"/>
      <c r="L26" s="1348"/>
      <c r="M26" s="1349"/>
      <c r="N26" s="53">
        <v>0</v>
      </c>
      <c r="O26" s="44"/>
      <c r="P26" s="47"/>
      <c r="Q26" s="47"/>
      <c r="R26" s="47"/>
      <c r="S26" s="47"/>
      <c r="T26" s="51"/>
      <c r="U26" s="47"/>
      <c r="V26" s="47"/>
      <c r="W26" s="38"/>
      <c r="X26" s="43"/>
      <c r="Y26" s="47"/>
      <c r="Z26" s="47"/>
      <c r="AA26" s="47"/>
      <c r="AB26" s="47"/>
      <c r="AC26" s="47"/>
      <c r="AD26" s="47"/>
      <c r="AE26" s="1326"/>
      <c r="AF26" s="1347" t="b">
        <f>IF($AB$3+$AC$3=53,IF(0&gt;0,0,0),(IF($AB$3+$AC$3=52,IF(AF20=AF21,"résultat",IF($AF$20&gt;$AF$21,$AB$20,$AB$21)),IF($AB$3+$AC$3=43,IF(0&gt;0,0,0),(IF($AB$3+$AC$3=42,IF(AC14=AC15,"résultat",IF($AC$14&gt;$AC$15,$Y$14,$Y$15)),(IF($AB$3+$AC$3=32,IF(AC14=AC15,"résultat",IF($AC$14&gt;$AC$15,$Y$14,$Y$15)),(IF($AB$3+$AC$3=31,IF(AP14=AP15,"résultat",IF($AP$14&gt;$AP$15,$AM$14,$AM$15))))))))))))</f>
        <v>0</v>
      </c>
      <c r="AG26" s="1348"/>
      <c r="AH26" s="1348"/>
      <c r="AI26" s="1349"/>
      <c r="AJ26" s="53">
        <v>0</v>
      </c>
      <c r="AK26" s="44"/>
      <c r="AL26" s="47"/>
      <c r="AM26" s="47"/>
      <c r="AN26" s="47"/>
      <c r="AO26" s="47"/>
      <c r="AP26" s="51"/>
      <c r="AQ26" s="40"/>
      <c r="AR26" s="40"/>
    </row>
    <row r="27" spans="1:44" ht="15.75" thickBot="1">
      <c r="A27" s="38"/>
      <c r="B27" s="43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51"/>
      <c r="U27" s="47"/>
      <c r="V27" s="47"/>
      <c r="W27" s="38"/>
      <c r="X27" s="43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51"/>
      <c r="AQ27" s="40"/>
      <c r="AR27" s="40"/>
    </row>
    <row r="28" spans="1:44" ht="15.75" thickBot="1">
      <c r="A28" s="38"/>
      <c r="B28" s="43"/>
      <c r="D28" s="47"/>
      <c r="E28" s="47"/>
      <c r="F28" s="47"/>
      <c r="G28" s="47"/>
      <c r="H28" s="47"/>
      <c r="I28" s="47"/>
      <c r="J28" s="1440" t="s">
        <v>56</v>
      </c>
      <c r="K28" s="1441"/>
      <c r="L28" s="1441"/>
      <c r="M28" s="1442"/>
      <c r="N28" s="47"/>
      <c r="O28" s="47"/>
      <c r="P28" s="69"/>
      <c r="Q28" s="47"/>
      <c r="R28" s="47"/>
      <c r="S28" s="47"/>
      <c r="T28" s="51"/>
      <c r="W28" s="38"/>
      <c r="X28" s="43"/>
      <c r="Z28" s="47"/>
      <c r="AA28" s="47"/>
      <c r="AB28" s="47"/>
      <c r="AC28" s="47"/>
      <c r="AD28" s="47"/>
      <c r="AE28" s="47"/>
      <c r="AF28" s="1440" t="s">
        <v>56</v>
      </c>
      <c r="AG28" s="1441"/>
      <c r="AH28" s="1441"/>
      <c r="AI28" s="1442"/>
      <c r="AJ28" s="47"/>
      <c r="AK28" s="47"/>
      <c r="AL28" s="69"/>
      <c r="AM28" s="47"/>
      <c r="AN28" s="47"/>
      <c r="AO28" s="47"/>
      <c r="AP28" s="51"/>
    </row>
    <row r="29" spans="1:44" ht="15.75" thickBot="1">
      <c r="A29" s="38"/>
      <c r="B29" s="43"/>
      <c r="D29" s="1432" t="s">
        <v>0</v>
      </c>
      <c r="E29" s="1433"/>
      <c r="F29" s="1434"/>
      <c r="G29" s="47"/>
      <c r="H29" s="1429" t="b">
        <f>IF($F$3+$G$3=53,IF($Q$20=$Q$21,"résultat",IF($Q$20&gt;$Q$21,$M$20,$M$21)),(IF($F$3+$G$3=52,IF($Q$20=$Q$21,"résultat",IF($Q$20&gt;$Q$21,$M$20,$M$21)),(IF($F$3+$G$3=43,IF($T$14=$T$15,"résultat",IF($T$14&gt;$T$15,$Q$14,$Q$15)),(IF($F$3+$G$3=42,IF($T$14=$T$15,"résultat",IF($T$14&gt;$T$15,$Q$14,$Q$15)),(IF($F$3+$G$3=32,IF($T$14=$T$15,"résultat",IF($T$14&gt;$T$15,$Q$14,$Q$15)),(IF($F$3+$G$3=31,IF($N$25=$N$26,"résultat",IF($N$25&gt;$N$26,$J$25,$J$26)))))))))))))</f>
        <v>0</v>
      </c>
      <c r="I29" s="1452"/>
      <c r="J29" s="1452"/>
      <c r="K29" s="1452"/>
      <c r="L29" s="1452"/>
      <c r="M29" s="1452"/>
      <c r="N29" s="1453"/>
      <c r="O29" s="47"/>
      <c r="P29" s="47"/>
      <c r="Q29" s="47"/>
      <c r="R29" s="47"/>
      <c r="S29" s="47"/>
      <c r="T29" s="51"/>
      <c r="W29" s="38"/>
      <c r="X29" s="43"/>
      <c r="Z29" s="1432" t="s">
        <v>0</v>
      </c>
      <c r="AA29" s="1433"/>
      <c r="AB29" s="1434"/>
      <c r="AC29" s="47"/>
      <c r="AD29" s="1429" t="b">
        <f>IF($AB$3+$AC$3=53,IF($AM$20=$AM$21,"résultat",IF($AM$20&gt;$AM$21,$AI$20,$AI$21)),(IF($AB$3+$AC$3=52,IF($AM$20=$AM$21,"résultat",IF($AM$20&gt;$AM$21,$AI$20,$AI$21)),(IF($AB$3+$AC$3=43,IF($AP$14=$AP$15,"résultat",IF($AP$14&gt;$AP$15,$AM$14,$AM$15)),(IF($AB$3+$AC$3=42,IF($AP$14=$AP$15,"résultat",IF($AP$14&gt;$AP$15,$AM$14,$AM$15)),(IF($AB$3+$AC$3=32,IF($AP$14=$AP$15,"résultat",IF($AP$14&gt;$AP$15,$AM$14,$AM$15)),(IF($AB$3+$AC$3=31,IF($AJ$25=$AJ$26,"résultat",IF($AJ$25&gt;$AJ$26,$AF$25,$AF$26)))))))))))))</f>
        <v>0</v>
      </c>
      <c r="AE29" s="1452"/>
      <c r="AF29" s="1452"/>
      <c r="AG29" s="1452"/>
      <c r="AH29" s="1452"/>
      <c r="AI29" s="1452"/>
      <c r="AJ29" s="1453"/>
      <c r="AK29" s="47"/>
      <c r="AL29" s="47"/>
      <c r="AM29" s="60" t="s">
        <v>70</v>
      </c>
      <c r="AN29" s="47"/>
      <c r="AO29" s="47"/>
      <c r="AP29" s="51"/>
    </row>
    <row r="30" spans="1:44">
      <c r="A30" s="38"/>
      <c r="B30" s="43"/>
      <c r="D30" s="1396" t="s">
        <v>1</v>
      </c>
      <c r="E30" s="1397"/>
      <c r="F30" s="1398"/>
      <c r="G30" s="47"/>
      <c r="H30" s="1399" t="b">
        <f>IF($F$3+$G$3=53,IF($Q$20=$Q$21,"résultat",IF($Q$20&lt;$Q$21,$M$20,$M$21)),(IF($F$3+$G$3=52,IF($N$25=$N$26,"résultat",IF($N$25&gt;$N$26,$J$25,$J$26)),(IF($F$3+$G$3=43,IF($T$14=$T$15,"résultat",IF($T$14&lt;$T$15,$Q$14,$Q$15)),(IF($F$3+$G$3=42,IF($N$25=$N$26,"résultat",IF($N$25&gt;$N$26,$J$25,$J$26)),(IF($F$3+$G$3=32,IF($N$25=$N$26,"résultat",IF($N$25&gt;$N$26,$J$25,$J$26)),(IF($F$3+$G$3=31,IF($N$25=$N$26,"résultat",IF($N$25&lt;$N$26,$J$25,$J$26)))))))))))))</f>
        <v>0</v>
      </c>
      <c r="I30" s="1400"/>
      <c r="J30" s="1400"/>
      <c r="K30" s="1400"/>
      <c r="L30" s="1400"/>
      <c r="M30" s="1400"/>
      <c r="N30" s="1401"/>
      <c r="O30" s="47"/>
      <c r="P30" s="71"/>
      <c r="Q30" s="71"/>
      <c r="R30" s="71"/>
      <c r="S30" s="71"/>
      <c r="T30" s="51"/>
      <c r="W30" s="38"/>
      <c r="X30" s="43"/>
      <c r="Z30" s="1396" t="s">
        <v>1</v>
      </c>
      <c r="AA30" s="1397"/>
      <c r="AB30" s="1398"/>
      <c r="AC30" s="47"/>
      <c r="AD30" s="1399" t="b">
        <f>IF($AB$3+$AC$3=53,IF($AM$20=$AM$21,"résultat",IF($AM$20&lt;$AM$21,$AI$20,$AI$21)),(IF($AB$3+$AC$3=52,IF($AJ$25=$AJ$26,"résultat",IF($AJ$25&gt;$AJ$26,$AF$25,$AF$26)),(IF($AB$3+$AC$3=43,IF($AP$14=$AP$15,"résultat",IF($AP$14&lt;$AP$15,$AM$14,$AM$15)),(IF($AB$3+$AC$3=42,IF($AJ$25=$AJ$26,"résultat",IF($AJ$25&gt;$AJ$26,$AF$25,$AF$26)),(IF($AB$3+$AC$3=32,IF($AJ$25=$AJ$26,"résultat",IF($AJ$25&gt;$AJ$26,$AF$25,$AF$26)),(IF($AB$3+$AC$3=31,IF($AJ$25=$AJ$26,"résultat",IF($AJ$25&lt;$AJ$26,$AF$25,$AF$26)))))))))))))</f>
        <v>0</v>
      </c>
      <c r="AE30" s="1400"/>
      <c r="AF30" s="1400"/>
      <c r="AG30" s="1400"/>
      <c r="AH30" s="1400"/>
      <c r="AI30" s="1400"/>
      <c r="AJ30" s="1401"/>
      <c r="AK30" s="47"/>
      <c r="AL30" s="71"/>
      <c r="AM30" s="71"/>
      <c r="AN30" s="71"/>
      <c r="AO30" s="47"/>
      <c r="AP30" s="51"/>
    </row>
    <row r="31" spans="1:44">
      <c r="A31" s="38"/>
      <c r="B31" s="43"/>
      <c r="D31" s="1396" t="s">
        <v>2</v>
      </c>
      <c r="E31" s="1397"/>
      <c r="F31" s="1398"/>
      <c r="G31" s="47"/>
      <c r="H31" s="1405" t="b">
        <f>IF($F$3+$G$3=53,IF($J$20=$J$21,"résultat",IF($J$20&gt;$J$21,$F$20,$F$21)),(IF($F$3+$G$3=52,IF($N$25=$N$26,"résultat",IF($N$25&lt;$N$26,$J$25,$J$26)),(IF($F$3+$G$3=43,IF($G$14=$G$15,"résultat",IF($G$14&gt;$G$15,$C$14,$C$15)),(IF($F$3+$G$3=42,IF($N$25=$N$26,"résultat",IF($N$25&lt;$N$26,$J$25,$J$26)),(IF($F$3+$G$3=32,IF($N$25=$N$26,"résultat",IF($N$25&lt;$N$26,$J$25,$J$26)),(IF($F$3+$G$3=31,IF($J$20=$J$21,"résultat",IF($J$20&lt;$J$21,$F$20,$F$21)))))))))))))</f>
        <v>0</v>
      </c>
      <c r="I31" s="1406"/>
      <c r="J31" s="1406"/>
      <c r="K31" s="1406"/>
      <c r="L31" s="1406"/>
      <c r="M31" s="1406"/>
      <c r="N31" s="1407"/>
      <c r="O31" s="47"/>
      <c r="P31" s="47"/>
      <c r="Q31" s="47"/>
      <c r="R31" s="47"/>
      <c r="S31" s="47"/>
      <c r="T31" s="51"/>
      <c r="W31" s="38"/>
      <c r="X31" s="43"/>
      <c r="Z31" s="1396" t="s">
        <v>2</v>
      </c>
      <c r="AA31" s="1397"/>
      <c r="AB31" s="1398"/>
      <c r="AC31" s="47"/>
      <c r="AD31" s="1402" t="b">
        <f>IF($AB$3+$AC$3=53,IF($AF$20=$AF$21,"résultat",IF($AF$20&gt;$AF$21,$AB$20,$AB$21)),(IF($AB$3+$AC$3=52,IF($AJ$25=$AJ$26,"résultat",IF($AJ$25&lt;$AJ$26,$AF$25,$AF$26)),(IF($AB$3+$AC$3=43,IF($AC$14=$AC$15,"résultat",IF($AC$14&gt;$G$15,$Y$14,$Y$15)),(IF($AB$3+$AC$3=42,IF($AJ$25=$AJ$26,"résultat",IF($AJ$25&lt;$AJ$26,$AF$25,$AF$26)),(IF($AB$3+$AC$3=32,IF($AJ$25=$AJ$26,"résultat",IF($AJ$25&lt;$AJ$26,$AF$25,$AF$26)),(IF($AB$3+$AC$3=31,IF($AF$20=$AF$21,"résultat",IF($AF$20&lt;$AF$21,$AB$20,$AB$21)))))))))))))</f>
        <v>0</v>
      </c>
      <c r="AE31" s="1403"/>
      <c r="AF31" s="1403"/>
      <c r="AG31" s="1403"/>
      <c r="AH31" s="1403"/>
      <c r="AI31" s="1403"/>
      <c r="AJ31" s="1404"/>
      <c r="AK31" s="47"/>
      <c r="AL31" s="47"/>
      <c r="AM31" s="47"/>
      <c r="AN31" s="47"/>
      <c r="AO31" s="47"/>
      <c r="AP31" s="51"/>
    </row>
    <row r="32" spans="1:44">
      <c r="A32" s="38"/>
      <c r="B32" s="43"/>
      <c r="D32" s="1396" t="s">
        <v>3</v>
      </c>
      <c r="E32" s="1397"/>
      <c r="F32" s="1398"/>
      <c r="G32" s="47"/>
      <c r="H32" s="1405" t="b">
        <f>IF($F$3+$G$3=53,IF($J$20=$J$21,"résultat",IF($J$20&lt;$J$21,$F$20,$F$21)),(IF($F$3+$G$3=52,IF($J$20=$J$21,"résultat",IF($J$20&lt;$J$21,$F$20,$F$21)),(IF($F$3+$G$3=43,IF($G$14=$G$15,"résultat",IF($G$14&lt;$G$15,$C$14,$C$15)),(IF($F$3+$G$3=42,IF($G$14=$G$15,"résultat",IF($G$14&lt;$G$15,$C$14,$C$15)),(IF($F$3+$G$3=32,IF(0&gt;0,0,0),(IF($F$3+$G$3=31,IF(0&gt;0,0,0))))))))))))</f>
        <v>0</v>
      </c>
      <c r="I32" s="1406"/>
      <c r="J32" s="1406"/>
      <c r="K32" s="1406"/>
      <c r="L32" s="1406"/>
      <c r="M32" s="1406"/>
      <c r="N32" s="1407"/>
      <c r="O32" s="47"/>
      <c r="P32" s="47"/>
      <c r="Q32" s="47"/>
      <c r="R32" s="47"/>
      <c r="S32" s="47"/>
      <c r="T32" s="51"/>
      <c r="W32" s="38"/>
      <c r="X32" s="43"/>
      <c r="Z32" s="1396" t="s">
        <v>3</v>
      </c>
      <c r="AA32" s="1397"/>
      <c r="AB32" s="1398"/>
      <c r="AC32" s="47"/>
      <c r="AD32" s="1405" t="b">
        <f>IF($AB$3+$AC$3=53,IF($AF$20=$AF$21,"résultat",IF($AF$20&lt;$AF$21,$AB$20,$AB$21)),(IF($AB$3+$AC$3=52,IF($AF$20=$AF$21,"résultat",IF($AF$20&lt;$AF$21,$AB$20,$AB$21)),(IF($AB$3+$AC$3=43,IF($AC$14=$AC$15,"résultat",IF($AC$14&lt;$AC$15,$Y$14,$Y$15)),(IF($AB$3+$AC$3=42,IF($AC$14=$AC$15,"résultat",IF($AC$14&lt;$AC$15,$Y$14,$Y$15)),(IF($AB$3+$AC$3=32,IF(0&gt;0,0,0),(IF($AB$3+$AC$3=31,IF(0&gt;0,0,0))))))))))))</f>
        <v>0</v>
      </c>
      <c r="AE32" s="1406"/>
      <c r="AF32" s="1406"/>
      <c r="AG32" s="1406"/>
      <c r="AH32" s="1406"/>
      <c r="AI32" s="1406"/>
      <c r="AJ32" s="1407"/>
      <c r="AK32" s="47"/>
      <c r="AL32" s="47"/>
      <c r="AM32" s="47"/>
      <c r="AN32" s="47"/>
      <c r="AO32" s="47"/>
      <c r="AP32" s="51"/>
    </row>
    <row r="33" spans="1:44" ht="15.75" thickBot="1">
      <c r="A33" s="38"/>
      <c r="B33" s="43"/>
      <c r="D33" s="1390" t="s">
        <v>4</v>
      </c>
      <c r="E33" s="1391"/>
      <c r="F33" s="1392"/>
      <c r="G33" s="47"/>
      <c r="H33" s="1393" t="b">
        <f>IF($F$3+$G$3=53,IF($G$14=$G$15,"résultat",IF($G$14&lt;$G$15,$C$14,$C$15)),(IF($F$3+$G$3=52,IF($G$14=$G$15,"résultat",IF($G$14&lt;$G$15,$C$14,$C$15)),(IF($F$3+$G$3=43,IF(0&gt;0,0,0),(IF($F$3+$G$3=42,IF(0&gt;0,0,0),(IF($F$3+$G$3=32,IF(0&gt;0,0,0),(IF($F$3+$G$3=31,IF(0&gt;0,0,0))))))))))))</f>
        <v>0</v>
      </c>
      <c r="I33" s="1394"/>
      <c r="J33" s="1394"/>
      <c r="K33" s="1394"/>
      <c r="L33" s="1394"/>
      <c r="M33" s="1394"/>
      <c r="N33" s="1395"/>
      <c r="O33" s="47"/>
      <c r="P33" s="47"/>
      <c r="Q33" s="47"/>
      <c r="R33" s="47"/>
      <c r="S33" s="47"/>
      <c r="T33" s="51"/>
      <c r="W33" s="38"/>
      <c r="X33" s="43"/>
      <c r="Z33" s="1390" t="s">
        <v>4</v>
      </c>
      <c r="AA33" s="1391"/>
      <c r="AB33" s="1392"/>
      <c r="AC33" s="47"/>
      <c r="AD33" s="1393" t="b">
        <f>IF($AB$3+$AC$3=53,IF(AC14=AC15,"résultat",IF($AC$14&lt;$AC$15,$Y$14,$Y$15)),(IF($AB$3+$AC$3=52,IF(AC14=AC15,"résultat",IF($AC$14&lt;$AC$15,$Y$14,$Y$15)),(IF($AB$3+$AC$3=43,IF(0&gt;0,0,0),(IF($AB$3+$AC$3=42,IF(0&gt;0,0,0),(IF($AB$3+$AC$3=32,IF(0&gt;0,0,0),(IF($AB$3+$AC$3=31,IF(0&gt;0,0,0))))))))))))</f>
        <v>0</v>
      </c>
      <c r="AE33" s="1394"/>
      <c r="AF33" s="1394"/>
      <c r="AG33" s="1394"/>
      <c r="AH33" s="1394"/>
      <c r="AI33" s="1394"/>
      <c r="AJ33" s="1395"/>
      <c r="AK33" s="47"/>
      <c r="AL33" s="47"/>
      <c r="AM33" s="47"/>
      <c r="AN33" s="47"/>
      <c r="AO33" s="47"/>
      <c r="AP33" s="51"/>
    </row>
    <row r="34" spans="1:44">
      <c r="A34" s="38"/>
      <c r="B34" s="43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47"/>
      <c r="O34" s="47"/>
      <c r="P34" s="47"/>
      <c r="Q34" s="47"/>
      <c r="R34" s="47"/>
      <c r="S34" s="47"/>
      <c r="T34" s="51"/>
      <c r="U34" s="47"/>
      <c r="V34" s="47"/>
      <c r="W34" s="38"/>
      <c r="X34" s="43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7"/>
      <c r="AK34" s="47"/>
      <c r="AL34" s="47"/>
      <c r="AM34" s="47"/>
      <c r="AN34" s="47"/>
      <c r="AO34" s="47"/>
      <c r="AP34" s="51"/>
      <c r="AQ34" s="40"/>
      <c r="AR34" s="40"/>
    </row>
    <row r="35" spans="1:44" ht="15.75" thickBot="1">
      <c r="A35" s="38"/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4"/>
      <c r="O35" s="74"/>
      <c r="P35" s="74"/>
      <c r="Q35" s="74"/>
      <c r="R35" s="74"/>
      <c r="S35" s="74"/>
      <c r="T35" s="75"/>
      <c r="U35" s="38"/>
      <c r="V35" s="38"/>
      <c r="W35" s="38"/>
      <c r="X35" s="72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5"/>
      <c r="AQ35" s="40"/>
      <c r="AR35" s="40"/>
    </row>
    <row r="39" spans="1:4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</sheetData>
  <sheetProtection formatColumns="0" formatRows="0" selectLockedCells="1"/>
  <mergeCells count="88">
    <mergeCell ref="H30:N30"/>
    <mergeCell ref="Z30:AB30"/>
    <mergeCell ref="AD30:AJ30"/>
    <mergeCell ref="D31:F31"/>
    <mergeCell ref="H31:N31"/>
    <mergeCell ref="Z31:AB31"/>
    <mergeCell ref="AD31:AJ31"/>
    <mergeCell ref="D30:F30"/>
    <mergeCell ref="I25:I26"/>
    <mergeCell ref="J25:M25"/>
    <mergeCell ref="AE25:AE26"/>
    <mergeCell ref="AF25:AI25"/>
    <mergeCell ref="J26:M26"/>
    <mergeCell ref="AF26:AI26"/>
    <mergeCell ref="AA20:AA21"/>
    <mergeCell ref="AB20:AE20"/>
    <mergeCell ref="AH20:AH21"/>
    <mergeCell ref="AI20:AL20"/>
    <mergeCell ref="F21:I21"/>
    <mergeCell ref="M21:P21"/>
    <mergeCell ref="AB21:AE21"/>
    <mergeCell ref="AI21:AL21"/>
    <mergeCell ref="C4:S4"/>
    <mergeCell ref="AM14:AO14"/>
    <mergeCell ref="C15:F15"/>
    <mergeCell ref="Q15:S15"/>
    <mergeCell ref="Y15:AB15"/>
    <mergeCell ref="AM15:AO15"/>
    <mergeCell ref="Q14:S14"/>
    <mergeCell ref="X14:X15"/>
    <mergeCell ref="Y14:AB14"/>
    <mergeCell ref="AF14:AI14"/>
    <mergeCell ref="AL14:AL15"/>
    <mergeCell ref="X8:X9"/>
    <mergeCell ref="Y8:AB8"/>
    <mergeCell ref="AE8:AE9"/>
    <mergeCell ref="AF8:AI8"/>
    <mergeCell ref="AM8:AO8"/>
    <mergeCell ref="Y9:AB9"/>
    <mergeCell ref="AF9:AI9"/>
    <mergeCell ref="B8:B9"/>
    <mergeCell ref="C8:F8"/>
    <mergeCell ref="I8:I9"/>
    <mergeCell ref="J8:M8"/>
    <mergeCell ref="Q8:S8"/>
    <mergeCell ref="C9:F9"/>
    <mergeCell ref="J9:M9"/>
    <mergeCell ref="B14:B15"/>
    <mergeCell ref="C14:F14"/>
    <mergeCell ref="J14:M14"/>
    <mergeCell ref="P14:P15"/>
    <mergeCell ref="E20:E21"/>
    <mergeCell ref="F20:I20"/>
    <mergeCell ref="L20:L21"/>
    <mergeCell ref="M20:P20"/>
    <mergeCell ref="D32:F32"/>
    <mergeCell ref="H32:N32"/>
    <mergeCell ref="Z32:AB32"/>
    <mergeCell ref="AD32:AJ32"/>
    <mergeCell ref="D33:F33"/>
    <mergeCell ref="H33:N33"/>
    <mergeCell ref="Z33:AB33"/>
    <mergeCell ref="AD33:AJ33"/>
    <mergeCell ref="J28:M28"/>
    <mergeCell ref="AF28:AI28"/>
    <mergeCell ref="D29:F29"/>
    <mergeCell ref="H29:N29"/>
    <mergeCell ref="Z29:AB29"/>
    <mergeCell ref="AD29:AJ29"/>
    <mergeCell ref="X2:Z2"/>
    <mergeCell ref="T4:T5"/>
    <mergeCell ref="Y4:AO4"/>
    <mergeCell ref="X1:Z1"/>
    <mergeCell ref="AA1:AC1"/>
    <mergeCell ref="AE1:AH1"/>
    <mergeCell ref="AJ1:AO1"/>
    <mergeCell ref="AB2:AC2"/>
    <mergeCell ref="AE2:AG2"/>
    <mergeCell ref="AH2:AP2"/>
    <mergeCell ref="AP4:AP5"/>
    <mergeCell ref="I1:L1"/>
    <mergeCell ref="N1:S1"/>
    <mergeCell ref="B1:D1"/>
    <mergeCell ref="E1:G1"/>
    <mergeCell ref="B2:D2"/>
    <mergeCell ref="F2:G2"/>
    <mergeCell ref="I2:K2"/>
    <mergeCell ref="L2:T2"/>
  </mergeCells>
  <conditionalFormatting sqref="H32">
    <cfRule type="expression" dxfId="266" priority="285">
      <formula>$H$2=5</formula>
    </cfRule>
    <cfRule type="expression" dxfId="265" priority="286">
      <formula>$H$2=4</formula>
    </cfRule>
    <cfRule type="expression" dxfId="264" priority="287">
      <formula>$H$2=0</formula>
    </cfRule>
  </conditionalFormatting>
  <conditionalFormatting sqref="H29:N29">
    <cfRule type="expression" dxfId="263" priority="282">
      <formula>$H$2=0</formula>
    </cfRule>
    <cfRule type="expression" dxfId="262" priority="283" stopIfTrue="1">
      <formula>(OR(H2="1",H2="2",H2="3"))</formula>
    </cfRule>
  </conditionalFormatting>
  <conditionalFormatting sqref="H30:N30">
    <cfRule type="expression" dxfId="261" priority="281">
      <formula>(OR(H2="2",H2="3"))</formula>
    </cfRule>
  </conditionalFormatting>
  <conditionalFormatting sqref="H31:N31">
    <cfRule type="expression" dxfId="260" priority="280">
      <formula>(H2="3")</formula>
    </cfRule>
  </conditionalFormatting>
  <conditionalFormatting sqref="H32:N32">
    <cfRule type="cellIs" dxfId="259" priority="279" operator="equal">
      <formula>0</formula>
    </cfRule>
  </conditionalFormatting>
  <conditionalFormatting sqref="H33:N33">
    <cfRule type="cellIs" dxfId="258" priority="278" operator="equal">
      <formula>0</formula>
    </cfRule>
  </conditionalFormatting>
  <conditionalFormatting sqref="H33">
    <cfRule type="expression" dxfId="257" priority="310">
      <formula>$AF$2=5</formula>
    </cfRule>
  </conditionalFormatting>
  <conditionalFormatting sqref="AD30">
    <cfRule type="expression" dxfId="256" priority="296">
      <formula>$AF$2=5</formula>
    </cfRule>
    <cfRule type="expression" dxfId="255" priority="297">
      <formula>$AF$2=4</formula>
    </cfRule>
    <cfRule type="expression" dxfId="254" priority="298">
      <formula>$AF$2=3</formula>
    </cfRule>
    <cfRule type="expression" dxfId="253" priority="299">
      <formula>$AF$2=2</formula>
    </cfRule>
  </conditionalFormatting>
  <conditionalFormatting sqref="AD29:AJ29">
    <cfRule type="expression" dxfId="252" priority="284">
      <formula>$AF$2=1</formula>
    </cfRule>
    <cfRule type="expression" priority="1">
      <formula>(OR(FALSE,"OFFICE"))</formula>
    </cfRule>
  </conditionalFormatting>
  <conditionalFormatting sqref="AD29:AJ29">
    <cfRule type="expression" dxfId="251" priority="268" stopIfTrue="1">
      <formula>(OR(AF2="1",AF2="2",AF2="3"))</formula>
    </cfRule>
  </conditionalFormatting>
  <conditionalFormatting sqref="AD30:AJ30">
    <cfRule type="expression" dxfId="250" priority="266">
      <formula>(OR(AF2="2",AF2="3"))</formula>
    </cfRule>
  </conditionalFormatting>
  <conditionalFormatting sqref="AD29">
    <cfRule type="expression" dxfId="249" priority="349">
      <formula>$AF$2=2</formula>
    </cfRule>
    <cfRule type="expression" dxfId="248" priority="350">
      <formula>$AF$2=5</formula>
    </cfRule>
    <cfRule type="expression" dxfId="247" priority="351">
      <formula>$AF$2=4</formula>
    </cfRule>
    <cfRule type="expression" dxfId="246" priority="352">
      <formula>$AF$2=3</formula>
    </cfRule>
  </conditionalFormatting>
  <conditionalFormatting sqref="H33">
    <cfRule type="expression" dxfId="245" priority="248">
      <formula>$AD$2=5</formula>
    </cfRule>
  </conditionalFormatting>
  <conditionalFormatting sqref="AD29">
    <cfRule type="expression" dxfId="244" priority="239">
      <formula>$AD$2=2</formula>
    </cfRule>
    <cfRule type="expression" dxfId="243" priority="240">
      <formula>$AD$2=5</formula>
    </cfRule>
    <cfRule type="expression" dxfId="242" priority="241">
      <formula>$AD$2=4</formula>
    </cfRule>
    <cfRule type="expression" dxfId="241" priority="242">
      <formula>$AD$2=3</formula>
    </cfRule>
  </conditionalFormatting>
  <conditionalFormatting sqref="AD30">
    <cfRule type="expression" dxfId="240" priority="235">
      <formula>$AD$2=5</formula>
    </cfRule>
    <cfRule type="expression" dxfId="239" priority="236">
      <formula>$AD$2=4</formula>
    </cfRule>
    <cfRule type="expression" dxfId="238" priority="237">
      <formula>$AD$2=3</formula>
    </cfRule>
    <cfRule type="expression" dxfId="237" priority="238">
      <formula>$AD$2=2</formula>
    </cfRule>
  </conditionalFormatting>
  <conditionalFormatting sqref="AD29:AJ29">
    <cfRule type="expression" dxfId="236" priority="224">
      <formula>$AD$2=1</formula>
    </cfRule>
  </conditionalFormatting>
  <conditionalFormatting sqref="H29:N29">
    <cfRule type="expression" dxfId="235" priority="222">
      <formula>$H$2=0</formula>
    </cfRule>
    <cfRule type="expression" dxfId="234" priority="223" stopIfTrue="1">
      <formula>(OR(H2="1",H2="2",H2="3"))</formula>
    </cfRule>
  </conditionalFormatting>
  <conditionalFormatting sqref="H30:N30">
    <cfRule type="expression" dxfId="233" priority="221">
      <formula>(OR(H2="2",H2="3"))</formula>
    </cfRule>
  </conditionalFormatting>
  <conditionalFormatting sqref="H31:N31">
    <cfRule type="cellIs" dxfId="232" priority="219" operator="equal">
      <formula>0</formula>
    </cfRule>
    <cfRule type="expression" dxfId="231" priority="220">
      <formula>(H2="3")</formula>
    </cfRule>
  </conditionalFormatting>
  <conditionalFormatting sqref="AD29:AJ29">
    <cfRule type="expression" dxfId="230" priority="218" stopIfTrue="1">
      <formula>(OR(AD2="1",AD2="2",AD2="3"))</formula>
    </cfRule>
  </conditionalFormatting>
  <conditionalFormatting sqref="AD30:AJ30">
    <cfRule type="expression" dxfId="229" priority="216">
      <formula>(OR(AD2="2",AD2="3"))</formula>
    </cfRule>
  </conditionalFormatting>
  <conditionalFormatting sqref="H33:N33">
    <cfRule type="cellIs" dxfId="228" priority="194" operator="equal">
      <formula>0</formula>
    </cfRule>
  </conditionalFormatting>
  <conditionalFormatting sqref="H32:N32">
    <cfRule type="cellIs" dxfId="227" priority="193" operator="equal">
      <formula>0</formula>
    </cfRule>
  </conditionalFormatting>
  <conditionalFormatting sqref="C9:F9">
    <cfRule type="cellIs" dxfId="226" priority="130" operator="equal">
      <formula>$E$2=0</formula>
    </cfRule>
  </conditionalFormatting>
  <conditionalFormatting sqref="C8:F9">
    <cfRule type="expression" dxfId="225" priority="119">
      <formula>(OR($E$2=3,$E$2=4,$E$2=5))</formula>
    </cfRule>
  </conditionalFormatting>
  <conditionalFormatting sqref="AF9:AI9">
    <cfRule type="cellIs" dxfId="224" priority="3" operator="equal">
      <formula>0</formula>
    </cfRule>
  </conditionalFormatting>
  <conditionalFormatting sqref="AF8:AI9">
    <cfRule type="expression" dxfId="223" priority="2">
      <formula>(OR($E$2=3,$E$2=4,$E$2=5))</formula>
    </cfRule>
  </conditionalFormatting>
  <pageMargins left="0.7" right="0.7" top="0.75" bottom="0.75" header="0.3" footer="0.3"/>
  <pageSetup paperSize="9" scale="40" orientation="landscape" horizontalDpi="4294967292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8">
    <tabColor rgb="FF66FF33"/>
    <pageSetUpPr fitToPage="1"/>
  </sheetPr>
  <dimension ref="A1:AR40"/>
  <sheetViews>
    <sheetView workbookViewId="0"/>
  </sheetViews>
  <sheetFormatPr baseColWidth="10" defaultRowHeight="15"/>
  <cols>
    <col min="1" max="1" width="4" customWidth="1"/>
    <col min="2" max="2" width="5.140625" customWidth="1"/>
    <col min="3" max="3" width="6.42578125" customWidth="1"/>
    <col min="4" max="4" width="11.28515625" customWidth="1"/>
    <col min="5" max="5" width="4.42578125" customWidth="1"/>
    <col min="6" max="6" width="7.42578125" customWidth="1"/>
    <col min="7" max="7" width="6" customWidth="1"/>
    <col min="8" max="8" width="8.42578125" customWidth="1"/>
    <col min="9" max="9" width="5.5703125" customWidth="1"/>
    <col min="10" max="10" width="5" customWidth="1"/>
    <col min="11" max="11" width="6.28515625" customWidth="1"/>
    <col min="12" max="12" width="4.42578125" customWidth="1"/>
    <col min="13" max="13" width="13" customWidth="1"/>
    <col min="14" max="14" width="6.28515625" customWidth="1"/>
    <col min="15" max="16" width="6" customWidth="1"/>
    <col min="17" max="17" width="7.7109375" customWidth="1"/>
    <col min="18" max="18" width="5.28515625" customWidth="1"/>
    <col min="19" max="19" width="12.28515625" customWidth="1"/>
    <col min="20" max="20" width="6" customWidth="1"/>
    <col min="21" max="21" width="7.28515625" customWidth="1"/>
    <col min="22" max="22" width="5.140625" customWidth="1"/>
    <col min="23" max="23" width="6.42578125" customWidth="1"/>
    <col min="24" max="24" width="8.5703125" customWidth="1"/>
    <col min="25" max="25" width="4.42578125" customWidth="1"/>
    <col min="26" max="26" width="7.42578125" customWidth="1"/>
    <col min="27" max="27" width="6" customWidth="1"/>
    <col min="28" max="28" width="8.42578125" customWidth="1"/>
    <col min="29" max="29" width="5.5703125" customWidth="1"/>
    <col min="30" max="30" width="7.85546875" customWidth="1"/>
    <col min="31" max="31" width="6.28515625" customWidth="1"/>
    <col min="32" max="32" width="4.42578125" customWidth="1"/>
    <col min="33" max="33" width="13" customWidth="1"/>
    <col min="34" max="36" width="6" customWidth="1"/>
    <col min="37" max="37" width="7.7109375" customWidth="1"/>
    <col min="38" max="38" width="5.28515625" customWidth="1"/>
    <col min="39" max="39" width="12.28515625" customWidth="1"/>
    <col min="40" max="40" width="6" customWidth="1"/>
    <col min="43" max="43" width="7.140625" customWidth="1"/>
    <col min="44" max="44" width="8.5703125" customWidth="1"/>
  </cols>
  <sheetData>
    <row r="1" spans="1:44" ht="21.75" thickBot="1">
      <c r="A1" s="1"/>
      <c r="B1" s="1443" t="s">
        <v>51</v>
      </c>
      <c r="C1" s="1415"/>
      <c r="D1" s="1415"/>
      <c r="E1" s="1415">
        <f>Rens.!J1</f>
        <v>0</v>
      </c>
      <c r="F1" s="1415"/>
      <c r="G1" s="1415"/>
      <c r="H1" s="18">
        <f ca="1">Rens.!$D$3</f>
        <v>2021</v>
      </c>
      <c r="I1" s="1415" t="str">
        <f>Rens.!$J$3</f>
        <v>Quadrette</v>
      </c>
      <c r="J1" s="1415"/>
      <c r="K1" s="1415"/>
      <c r="L1" s="1415"/>
      <c r="M1" s="19" t="e">
        <f>Rens.!#REF!</f>
        <v>#REF!</v>
      </c>
      <c r="N1" s="1443" t="s">
        <v>23</v>
      </c>
      <c r="O1" s="1415"/>
      <c r="P1" s="1415"/>
      <c r="Q1" s="1415"/>
      <c r="R1" s="1415"/>
      <c r="S1" s="1447"/>
      <c r="T1" s="4">
        <f>Rens.!$E$8</f>
        <v>0</v>
      </c>
      <c r="W1" s="1"/>
      <c r="X1" s="1443" t="s">
        <v>51</v>
      </c>
      <c r="Y1" s="1415"/>
      <c r="Z1" s="1415"/>
      <c r="AA1" s="1415">
        <f>Rens.!J1</f>
        <v>0</v>
      </c>
      <c r="AB1" s="1415"/>
      <c r="AC1" s="1415"/>
      <c r="AD1" s="18">
        <f ca="1">Rens.!$D$3</f>
        <v>2021</v>
      </c>
      <c r="AE1" s="1415" t="str">
        <f>Rens.!$J$3</f>
        <v>Quadrette</v>
      </c>
      <c r="AF1" s="1415"/>
      <c r="AG1" s="1415"/>
      <c r="AH1" s="1415"/>
      <c r="AI1" s="19" t="e">
        <f>Rens.!#REF!</f>
        <v>#REF!</v>
      </c>
      <c r="AJ1" s="1443" t="s">
        <v>23</v>
      </c>
      <c r="AK1" s="1415"/>
      <c r="AL1" s="1415"/>
      <c r="AM1" s="1415"/>
      <c r="AN1" s="1415"/>
      <c r="AO1" s="1447"/>
      <c r="AP1" s="5">
        <f>Rens.!$E$8</f>
        <v>0</v>
      </c>
      <c r="AQ1" s="3"/>
    </row>
    <row r="2" spans="1:44" ht="19.5" customHeight="1" thickBot="1">
      <c r="A2" s="1"/>
      <c r="B2" s="1443" t="s">
        <v>32</v>
      </c>
      <c r="C2" s="1415"/>
      <c r="D2" s="1415"/>
      <c r="E2" s="16">
        <f>Rens.!O16</f>
        <v>0</v>
      </c>
      <c r="F2" s="1415" t="s">
        <v>19</v>
      </c>
      <c r="G2" s="1415"/>
      <c r="H2" s="7">
        <f>Rens.!O17</f>
        <v>0</v>
      </c>
      <c r="I2" s="1415" t="s">
        <v>20</v>
      </c>
      <c r="J2" s="1415"/>
      <c r="K2" s="1415"/>
      <c r="L2" s="1415"/>
      <c r="M2" s="1415"/>
      <c r="N2" s="1415"/>
      <c r="O2" s="1415"/>
      <c r="P2" s="1415"/>
      <c r="Q2" s="1415"/>
      <c r="R2" s="1415"/>
      <c r="S2" s="1415"/>
      <c r="T2" s="1447"/>
      <c r="W2" s="1"/>
      <c r="X2" s="1443" t="s">
        <v>33</v>
      </c>
      <c r="Y2" s="1415"/>
      <c r="Z2" s="1415"/>
      <c r="AA2" s="17" t="e">
        <f>Rens.!#REF!</f>
        <v>#REF!</v>
      </c>
      <c r="AB2" s="1415" t="s">
        <v>19</v>
      </c>
      <c r="AC2" s="1415"/>
      <c r="AD2" s="7" t="e">
        <f>Rens.!#REF!</f>
        <v>#REF!</v>
      </c>
      <c r="AE2" s="1415" t="s">
        <v>20</v>
      </c>
      <c r="AF2" s="1415"/>
      <c r="AG2" s="1415"/>
      <c r="AH2" s="1415"/>
      <c r="AI2" s="1415"/>
      <c r="AJ2" s="1415"/>
      <c r="AK2" s="1415"/>
      <c r="AL2" s="1415"/>
      <c r="AM2" s="1415"/>
      <c r="AN2" s="1415"/>
      <c r="AO2" s="1415"/>
      <c r="AP2" s="1447"/>
      <c r="AQ2" s="3"/>
    </row>
    <row r="3" spans="1:44" ht="15.75" customHeight="1" thickBot="1">
      <c r="A3" s="38"/>
      <c r="B3" s="43"/>
      <c r="C3" s="44"/>
      <c r="D3" s="44"/>
      <c r="E3" s="44"/>
      <c r="F3" s="76" t="str">
        <f>CONCATENATE(E2,H2)</f>
        <v>00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  <c r="W3" s="38"/>
      <c r="X3" s="43"/>
      <c r="Y3" s="44"/>
      <c r="Z3" s="44"/>
      <c r="AA3" s="39"/>
      <c r="AB3" s="77" t="e">
        <f>CONCATENATE(AA2,AD2)</f>
        <v>#REF!</v>
      </c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5"/>
      <c r="AQ3" s="40"/>
      <c r="AR3" s="40"/>
    </row>
    <row r="4" spans="1:44" ht="15.75" thickBot="1">
      <c r="A4" s="38"/>
      <c r="B4" s="43"/>
      <c r="C4" s="1444" t="s">
        <v>62</v>
      </c>
      <c r="D4" s="1445"/>
      <c r="E4" s="1445"/>
      <c r="F4" s="1445"/>
      <c r="G4" s="1445"/>
      <c r="H4" s="1445"/>
      <c r="I4" s="1445"/>
      <c r="J4" s="1445"/>
      <c r="K4" s="1445"/>
      <c r="L4" s="1445"/>
      <c r="M4" s="1445"/>
      <c r="N4" s="1445"/>
      <c r="O4" s="1445"/>
      <c r="P4" s="1445"/>
      <c r="Q4" s="1445"/>
      <c r="R4" s="1445"/>
      <c r="S4" s="1446"/>
      <c r="T4" s="1448"/>
      <c r="U4" s="46"/>
      <c r="V4" s="46"/>
      <c r="W4" s="38"/>
      <c r="X4" s="43"/>
      <c r="Y4" s="1444" t="s">
        <v>62</v>
      </c>
      <c r="Z4" s="1445"/>
      <c r="AA4" s="1445"/>
      <c r="AB4" s="1445"/>
      <c r="AC4" s="1445"/>
      <c r="AD4" s="1445"/>
      <c r="AE4" s="1445"/>
      <c r="AF4" s="1445"/>
      <c r="AG4" s="1445"/>
      <c r="AH4" s="1445"/>
      <c r="AI4" s="1445"/>
      <c r="AJ4" s="1445"/>
      <c r="AK4" s="1445"/>
      <c r="AL4" s="1445"/>
      <c r="AM4" s="1445"/>
      <c r="AN4" s="1445"/>
      <c r="AO4" s="1446"/>
      <c r="AP4" s="1448"/>
      <c r="AQ4" s="40"/>
      <c r="AR4" s="40"/>
    </row>
    <row r="5" spans="1:44">
      <c r="A5" s="38"/>
      <c r="B5" s="43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448"/>
      <c r="U5" s="46"/>
      <c r="V5" s="46"/>
      <c r="W5" s="38"/>
      <c r="X5" s="43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1448"/>
      <c r="AQ5" s="40"/>
      <c r="AR5" s="40"/>
    </row>
    <row r="6" spans="1:44" ht="15.75" thickBot="1">
      <c r="A6" s="38"/>
      <c r="B6" s="43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  <c r="S6" s="44"/>
      <c r="T6" s="45"/>
      <c r="U6" s="44"/>
      <c r="V6" s="44"/>
      <c r="W6" s="38"/>
      <c r="X6" s="43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8"/>
      <c r="AO6" s="44"/>
      <c r="AP6" s="45"/>
      <c r="AQ6" s="40"/>
      <c r="AR6" s="40"/>
    </row>
    <row r="7" spans="1:44" ht="15.75" thickBot="1">
      <c r="A7" s="38"/>
      <c r="B7" s="49" t="s">
        <v>6</v>
      </c>
      <c r="C7" s="50" t="s">
        <v>14</v>
      </c>
      <c r="D7" s="39"/>
      <c r="E7" s="47"/>
      <c r="F7" s="47"/>
      <c r="G7" s="44" t="s">
        <v>5</v>
      </c>
      <c r="H7" s="44"/>
      <c r="I7" s="44" t="s">
        <v>6</v>
      </c>
      <c r="J7" s="50" t="str">
        <f>IF(E2=2,"","C")</f>
        <v>C</v>
      </c>
      <c r="K7" s="39"/>
      <c r="L7" s="47"/>
      <c r="M7" s="47"/>
      <c r="N7" s="44" t="s">
        <v>5</v>
      </c>
      <c r="O7" s="44"/>
      <c r="P7" s="44"/>
      <c r="Q7" s="50" t="s">
        <v>41</v>
      </c>
      <c r="R7" s="47"/>
      <c r="S7" s="47" t="s">
        <v>59</v>
      </c>
      <c r="T7" s="51"/>
      <c r="U7" s="47"/>
      <c r="V7" s="47"/>
      <c r="W7" s="38"/>
      <c r="X7" s="49" t="s">
        <v>6</v>
      </c>
      <c r="Y7" s="50" t="s">
        <v>14</v>
      </c>
      <c r="Z7" s="39"/>
      <c r="AA7" s="47"/>
      <c r="AB7" s="47"/>
      <c r="AC7" s="44" t="s">
        <v>5</v>
      </c>
      <c r="AD7" s="44"/>
      <c r="AE7" s="44" t="s">
        <v>6</v>
      </c>
      <c r="AF7" s="50" t="e">
        <f>IF(AA2=2,"","C")</f>
        <v>#REF!</v>
      </c>
      <c r="AG7" s="39"/>
      <c r="AH7" s="47"/>
      <c r="AI7" s="47"/>
      <c r="AJ7" s="44" t="s">
        <v>5</v>
      </c>
      <c r="AK7" s="44"/>
      <c r="AL7" s="44"/>
      <c r="AM7" s="50" t="s">
        <v>41</v>
      </c>
      <c r="AN7" s="47"/>
      <c r="AO7" s="47" t="s">
        <v>59</v>
      </c>
      <c r="AP7" s="51"/>
      <c r="AQ7" s="40"/>
      <c r="AR7" s="40"/>
    </row>
    <row r="8" spans="1:44" ht="15.75" thickBot="1">
      <c r="A8" s="52">
        <v>51</v>
      </c>
      <c r="B8" s="1325"/>
      <c r="C8" s="1305" t="str">
        <f>IF(ISNA(MATCH($A$8,Rens.!$U$5:$U$81,0)),"",INDEX(Rens.!$S$5:$S$81,MATCH($A$8,Rens.!$U$5:$U$81,0)))</f>
        <v/>
      </c>
      <c r="D8" s="1306"/>
      <c r="E8" s="1306"/>
      <c r="F8" s="1307"/>
      <c r="G8" s="53">
        <v>1</v>
      </c>
      <c r="H8" s="54">
        <v>53</v>
      </c>
      <c r="I8" s="1325"/>
      <c r="J8" s="1338" t="str">
        <f>IF(ISNA(MATCH($H$8,Rens.!$U$5:$U$81,0)),"",INDEX(Rens.!$S$5:$S$81,MATCH($H$8,Rens.!$U$5:$U$81,0)))</f>
        <v/>
      </c>
      <c r="K8" s="1339"/>
      <c r="L8" s="1339"/>
      <c r="M8" s="1340"/>
      <c r="N8" s="53">
        <v>1</v>
      </c>
      <c r="O8" s="44"/>
      <c r="P8" s="47">
        <v>55</v>
      </c>
      <c r="Q8" s="1417" t="str">
        <f>IF(E2+E3=4,0,IF(E2+E3=3,0,IF(ISNA(MATCH($P$8,Rens.!$U$5:$U$81,0)),"",INDEX(Rens.!$S$5:$S$81,MATCH($P$8,Rens.!$U$5:$U$81,0)))))</f>
        <v/>
      </c>
      <c r="R8" s="1418"/>
      <c r="S8" s="1419"/>
      <c r="T8" s="55"/>
      <c r="U8" s="47"/>
      <c r="V8" s="47"/>
      <c r="W8" s="38">
        <v>56</v>
      </c>
      <c r="X8" s="1325"/>
      <c r="Y8" s="1305" t="str">
        <f>IF(ISNA(MATCH($W$8,Rens.!$U$5:$U$81,0)),"",INDEX(Rens.!$S$5:$S$81,MATCH($W$8,Rens.!$U$5:$U$81,0)))</f>
        <v/>
      </c>
      <c r="Z8" s="1306"/>
      <c r="AA8" s="1306"/>
      <c r="AB8" s="1307"/>
      <c r="AC8" s="53">
        <v>1</v>
      </c>
      <c r="AD8" s="54">
        <v>58</v>
      </c>
      <c r="AE8" s="1325"/>
      <c r="AF8" s="1305" t="str">
        <f>IF(ISNA(MATCH($AD$8,Rens.!$U$5:$U$81,0)),"",INDEX(Rens.!$S$5:$S$81,MATCH($AD$8,Rens.!$U$5:$U$81,0)))</f>
        <v/>
      </c>
      <c r="AG8" s="1306"/>
      <c r="AH8" s="1306"/>
      <c r="AI8" s="1307"/>
      <c r="AJ8" s="53">
        <v>1</v>
      </c>
      <c r="AK8" s="44"/>
      <c r="AL8" s="47">
        <v>60</v>
      </c>
      <c r="AM8" s="1417" t="e">
        <f>IF($AA$2+$AA$3=4,0,IF($AA$2+$AA$3=3,0,IF(ISNA(MATCH($AL$8,Rens.!$U$5:$U$81,0)),"",INDEX(Rens.!$S$5:$S$81,MATCH($AL$8,Rens.!$U$5:$U$81,0)))))</f>
        <v>#REF!</v>
      </c>
      <c r="AN8" s="1418"/>
      <c r="AO8" s="1419"/>
      <c r="AP8" s="55"/>
      <c r="AQ8" s="40"/>
      <c r="AR8" s="40"/>
    </row>
    <row r="9" spans="1:44" ht="15.75" thickBot="1">
      <c r="A9" s="52">
        <v>52</v>
      </c>
      <c r="B9" s="1326"/>
      <c r="C9" s="1341" t="str">
        <f>IF(ISNA(MATCH($A$9,Rens.!$U$5:$U$81,0)),"",INDEX(Rens.!$S$5:$S$81,MATCH($A$9,Rens.!$U$5:$U$81,0)))</f>
        <v/>
      </c>
      <c r="D9" s="1342"/>
      <c r="E9" s="1342"/>
      <c r="F9" s="1343"/>
      <c r="G9" s="80">
        <v>0</v>
      </c>
      <c r="H9" s="54">
        <v>54</v>
      </c>
      <c r="I9" s="1326"/>
      <c r="J9" s="1341" t="str">
        <f>IF(ISNA(MATCH($H$9,Rens.!$U$5:$U$81,0)),"0ffice",INDEX(Rens.!$S$5:$S$81,MATCH($H$9,Rens.!$U$5:$U$81,0)))</f>
        <v>0ffice</v>
      </c>
      <c r="K9" s="1342"/>
      <c r="L9" s="1342"/>
      <c r="M9" s="1343"/>
      <c r="N9" s="53">
        <v>0</v>
      </c>
      <c r="O9" s="44"/>
      <c r="P9" s="47"/>
      <c r="Q9" s="56" t="e">
        <f>IF(ISNA(MATCH($P$8,#REF!,0)),"",INDEX(#REF!,MATCH($P$8,#REF!,0)))</f>
        <v>#REF!</v>
      </c>
      <c r="R9" s="47"/>
      <c r="S9" s="47"/>
      <c r="T9" s="51"/>
      <c r="U9" s="47"/>
      <c r="V9" s="47"/>
      <c r="W9" s="38">
        <v>57</v>
      </c>
      <c r="X9" s="1326"/>
      <c r="Y9" s="1341" t="str">
        <f>IF(ISNA(MATCH($W$9,Rens.!$U$5:$U$81,0)),"",INDEX(Rens.!$S$5:$S$81,MATCH($W$9,Rens.!$U$5:$U$81,0)))</f>
        <v/>
      </c>
      <c r="Z9" s="1342"/>
      <c r="AA9" s="1342"/>
      <c r="AB9" s="1343"/>
      <c r="AC9" s="80">
        <v>0</v>
      </c>
      <c r="AD9" s="54">
        <v>59</v>
      </c>
      <c r="AE9" s="1326"/>
      <c r="AF9" s="1341" t="str">
        <f>IF(ISNA(MATCH($AD$9,Rens.!$U$5:$U$81,0)),"",INDEX(Rens.!$S$5:$S$81,MATCH($AD$9,Rens.!$U$5:$U$81,0)))</f>
        <v/>
      </c>
      <c r="AG9" s="1342"/>
      <c r="AH9" s="1342"/>
      <c r="AI9" s="1343"/>
      <c r="AJ9" s="53">
        <v>0</v>
      </c>
      <c r="AK9" s="44"/>
      <c r="AL9" s="47"/>
      <c r="AM9" s="56" t="e">
        <f>IF(ISNA(MATCH($AL$8,#REF!,0)),"",INDEX(#REF!,MATCH($AL$8,#REF!,0)))</f>
        <v>#REF!</v>
      </c>
      <c r="AN9" s="47"/>
      <c r="AO9" s="47"/>
      <c r="AP9" s="51"/>
      <c r="AQ9" s="40"/>
      <c r="AR9" s="40"/>
    </row>
    <row r="10" spans="1:44" ht="15.75" thickBot="1">
      <c r="A10" s="38"/>
      <c r="B10" s="43"/>
      <c r="C10" s="92" t="s">
        <v>15</v>
      </c>
      <c r="D10" s="39"/>
      <c r="E10" s="47"/>
      <c r="F10" s="47"/>
      <c r="G10" s="47"/>
      <c r="H10" s="47"/>
      <c r="I10" s="47"/>
      <c r="J10" s="50" t="s">
        <v>40</v>
      </c>
      <c r="K10" s="39"/>
      <c r="L10" s="47"/>
      <c r="M10" s="47"/>
      <c r="N10" s="47"/>
      <c r="O10" s="47"/>
      <c r="P10" s="47"/>
      <c r="Q10" s="47"/>
      <c r="R10" s="47"/>
      <c r="S10" s="47"/>
      <c r="T10" s="51"/>
      <c r="U10" s="47"/>
      <c r="V10" s="47"/>
      <c r="W10" s="38"/>
      <c r="X10" s="43"/>
      <c r="Y10" s="92" t="s">
        <v>15</v>
      </c>
      <c r="Z10" s="39"/>
      <c r="AA10" s="47"/>
      <c r="AB10" s="47"/>
      <c r="AC10" s="47"/>
      <c r="AD10" s="47"/>
      <c r="AE10" s="47"/>
      <c r="AF10" s="50" t="s">
        <v>40</v>
      </c>
      <c r="AG10" s="39"/>
      <c r="AH10" s="47"/>
      <c r="AI10" s="47"/>
      <c r="AJ10" s="47"/>
      <c r="AK10" s="47"/>
      <c r="AL10" s="47"/>
      <c r="AM10" s="47"/>
      <c r="AN10" s="47"/>
      <c r="AO10" s="47"/>
      <c r="AP10" s="51"/>
      <c r="AQ10" s="40"/>
      <c r="AR10" s="40"/>
    </row>
    <row r="11" spans="1:44">
      <c r="A11" s="38"/>
      <c r="B11" s="43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51"/>
      <c r="U11" s="47"/>
      <c r="V11" s="47"/>
      <c r="W11" s="38"/>
      <c r="X11" s="43"/>
      <c r="Y11" s="48"/>
      <c r="Z11" s="48"/>
      <c r="AA11" s="48"/>
      <c r="AB11" s="48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51"/>
      <c r="AQ11" s="40"/>
      <c r="AR11" s="40"/>
    </row>
    <row r="12" spans="1:44">
      <c r="A12" s="38"/>
      <c r="B12" s="43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51"/>
      <c r="U12" s="47"/>
      <c r="V12" s="47"/>
      <c r="W12" s="38"/>
      <c r="X12" s="43"/>
      <c r="Y12" s="48"/>
      <c r="Z12" s="48"/>
      <c r="AA12" s="48"/>
      <c r="AB12" s="48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51"/>
      <c r="AQ12" s="40"/>
      <c r="AR12" s="40"/>
    </row>
    <row r="13" spans="1:44" ht="15.75" thickBot="1">
      <c r="A13" s="38"/>
      <c r="B13" s="49" t="s">
        <v>6</v>
      </c>
      <c r="C13" s="47"/>
      <c r="D13" s="78" t="s">
        <v>58</v>
      </c>
      <c r="E13" s="47"/>
      <c r="F13" s="47"/>
      <c r="G13" s="44" t="s">
        <v>5</v>
      </c>
      <c r="H13" s="44"/>
      <c r="I13" s="47"/>
      <c r="J13" s="47"/>
      <c r="K13" s="47"/>
      <c r="L13" s="47" t="s">
        <v>59</v>
      </c>
      <c r="M13" s="47"/>
      <c r="N13" s="47"/>
      <c r="O13" s="47"/>
      <c r="P13" s="44" t="s">
        <v>6</v>
      </c>
      <c r="Q13" s="47"/>
      <c r="R13" s="78" t="s">
        <v>57</v>
      </c>
      <c r="S13" s="47"/>
      <c r="T13" s="44" t="s">
        <v>5</v>
      </c>
      <c r="U13" s="57"/>
      <c r="V13" s="58"/>
      <c r="W13" s="38"/>
      <c r="X13" s="59" t="s">
        <v>6</v>
      </c>
      <c r="Y13" s="48"/>
      <c r="Z13" s="48" t="s">
        <v>58</v>
      </c>
      <c r="AA13" s="48"/>
      <c r="AB13" s="48"/>
      <c r="AC13" s="44" t="s">
        <v>5</v>
      </c>
      <c r="AD13" s="44"/>
      <c r="AE13" s="47"/>
      <c r="AF13" s="47"/>
      <c r="AG13" s="47"/>
      <c r="AH13" s="47" t="s">
        <v>59</v>
      </c>
      <c r="AI13" s="47"/>
      <c r="AJ13" s="47"/>
      <c r="AK13" s="47"/>
      <c r="AL13" s="44" t="s">
        <v>6</v>
      </c>
      <c r="AM13" s="47"/>
      <c r="AN13" s="47" t="s">
        <v>57</v>
      </c>
      <c r="AO13" s="47"/>
      <c r="AP13" s="45" t="s">
        <v>5</v>
      </c>
      <c r="AQ13" s="58"/>
      <c r="AR13" s="58"/>
    </row>
    <row r="14" spans="1:44" ht="15.75" thickBot="1">
      <c r="A14" s="38"/>
      <c r="B14" s="1325"/>
      <c r="C14" s="1305" t="str">
        <f>IF($G$8=$G$9,"résultat",IF($G$8&gt;$G$9,$C$9,$C$8))</f>
        <v/>
      </c>
      <c r="D14" s="1336"/>
      <c r="E14" s="1336"/>
      <c r="F14" s="1337"/>
      <c r="G14" s="53">
        <v>1</v>
      </c>
      <c r="H14" s="44"/>
      <c r="I14" s="47"/>
      <c r="J14" s="1370" t="str">
        <f>IF(ISTEXT($Q$8),IF(($G$9=$G$8),"résultat",IF(($N$9=$N$8),"résultat",IF(($U$14=2),$C$8,IF(($V$14=2),$C$9,IF(($U$15=2),$J$9,IF(($V$15=2),J8,0)))))))</f>
        <v/>
      </c>
      <c r="K14" s="1371"/>
      <c r="L14" s="1371"/>
      <c r="M14" s="1372"/>
      <c r="N14" s="55"/>
      <c r="O14" s="47"/>
      <c r="P14" s="1325"/>
      <c r="Q14" s="1364" t="str">
        <f>IF($E$2+$E$3=5,$Q$8,IF($N$8=$N$9,"résultat",IF($N$8&gt;$N$9,$J$8,$J$9)))</f>
        <v/>
      </c>
      <c r="R14" s="1365"/>
      <c r="S14" s="1366"/>
      <c r="T14" s="61">
        <v>1</v>
      </c>
      <c r="U14" s="62">
        <f>IF(G8&gt;G9,1)+IF(N8&gt;N9,1)</f>
        <v>2</v>
      </c>
      <c r="V14" s="63">
        <f>IF(G9&gt;G8,1)+IF(N9&gt;N8,1)</f>
        <v>0</v>
      </c>
      <c r="W14" s="38"/>
      <c r="X14" s="1325"/>
      <c r="Y14" s="1427" t="str">
        <f>IF($AC$8=$AC$9,"résultat",IF($AC$8&gt;$AC$9,$Y$9,$Y$8))</f>
        <v/>
      </c>
      <c r="Z14" s="1336"/>
      <c r="AA14" s="1336"/>
      <c r="AB14" s="1337"/>
      <c r="AC14" s="53">
        <v>1</v>
      </c>
      <c r="AD14" s="44"/>
      <c r="AE14" s="47"/>
      <c r="AF14" s="1428" t="b">
        <f>IF(ISTEXT($AM$8),IF(($AC$9=$AC$8),"résultat",IF(($AJ$9=$AJ$8),"résultat",IF(($AQ$14=2),$Y$8,IF(($AR$14=2),$Y$9,IF(($AQ$15=2),$AF$9,IF(($AR$15=2),$AF$8,0)))))))</f>
        <v>0</v>
      </c>
      <c r="AG14" s="1371"/>
      <c r="AH14" s="1371"/>
      <c r="AI14" s="1372"/>
      <c r="AJ14" s="60"/>
      <c r="AK14" s="47"/>
      <c r="AL14" s="1325"/>
      <c r="AM14" s="1364" t="e">
        <f>IF($AA$2+$AA$3=5,$AM$8,IF($AJ$8&gt;$AJ$9,$AF$8,$AF$9))</f>
        <v>#REF!</v>
      </c>
      <c r="AN14" s="1365"/>
      <c r="AO14" s="1366"/>
      <c r="AP14" s="53">
        <v>1</v>
      </c>
      <c r="AQ14" s="62">
        <f>IF(AC8&gt;AC9,1)+IF(AJ8&gt;AJ9,1)</f>
        <v>2</v>
      </c>
      <c r="AR14" s="63">
        <f>IF(AC9&gt;AC8,1)+IF(AJ9&gt;AJ8,1)</f>
        <v>0</v>
      </c>
    </row>
    <row r="15" spans="1:44" ht="15.75" thickBot="1">
      <c r="A15" s="38"/>
      <c r="B15" s="1326"/>
      <c r="C15" s="1333" t="str">
        <f>IF($N$8=$N$9,"résultat",IF($N$8&lt;$N$9,$J$8,$J$9))</f>
        <v>0ffice</v>
      </c>
      <c r="D15" s="1334"/>
      <c r="E15" s="1334"/>
      <c r="F15" s="1335"/>
      <c r="G15" s="64">
        <v>0</v>
      </c>
      <c r="H15" s="44"/>
      <c r="I15" s="47"/>
      <c r="J15" s="65" t="str">
        <f>IF(ISTEXT(J14)," ",0)</f>
        <v xml:space="preserve"> </v>
      </c>
      <c r="K15" s="47"/>
      <c r="L15" s="47"/>
      <c r="M15" s="47"/>
      <c r="N15" s="47"/>
      <c r="O15" s="47"/>
      <c r="P15" s="1326"/>
      <c r="Q15" s="1333" t="str">
        <f>IF(ISBLANK($Q$8),IF($G$8&gt;$G$9,$C$8,$C$9),IF(ISNUMBER($Q$8),IF(G8=G9,"résultat",IF($G$8&gt;$G$9,$C$8,$C$9)),IF(ISTEXT($Q$8),IF(($G$9=$G$8),"résultat",IF(($N$9=$N$8),"résultat",IF(($U$14=2),$J$8,IF(($V$14=2),$J$9,IF(($U$15=2),$C$8,IF(($V$15=2),$C$9)))))))))</f>
        <v/>
      </c>
      <c r="R15" s="1334"/>
      <c r="S15" s="1335"/>
      <c r="T15" s="80">
        <v>0</v>
      </c>
      <c r="U15" s="66">
        <f>IF(G8&gt;G9,1)+IF(N9&gt;N8,1)</f>
        <v>1</v>
      </c>
      <c r="V15" s="67">
        <f>IF(G9&gt;G8,1)+IF(N8&gt;N9,1)</f>
        <v>1</v>
      </c>
      <c r="W15" s="38"/>
      <c r="X15" s="1326"/>
      <c r="Y15" s="1333" t="str">
        <f>IF($AJ$8=$AJ$9,"résultat",IF($AJ$8&lt;$AJ$9,$AF$8,$AF$9))</f>
        <v/>
      </c>
      <c r="Z15" s="1334"/>
      <c r="AA15" s="1334"/>
      <c r="AB15" s="1335"/>
      <c r="AC15" s="53">
        <v>0</v>
      </c>
      <c r="AD15" s="44"/>
      <c r="AE15" s="47"/>
      <c r="AF15" s="47"/>
      <c r="AG15" s="47"/>
      <c r="AH15" s="47"/>
      <c r="AI15" s="47"/>
      <c r="AJ15" s="47"/>
      <c r="AK15" s="47"/>
      <c r="AL15" s="1326"/>
      <c r="AM15" s="1333" t="b">
        <f>IF(ISBLANK($AM$8),IF($AC$8&gt;$AC$9,$Y$8,$Y$9),IF(ISNUMBER($AM$8),IF($AC$8&gt;$AC$9,$Y$8,$Y$9),IF(ISTEXT($AM$8),IF(($AC$9=$AC$8),"résultat",IF(($AJ$9=$AJ$8),"résultat",IF(($AQ$14=2),$AF$8,IF(($AR$14=2),$AF$9,IF(($AQ$15=2),$Y$8,IF(($AR$15=2),$Y$9)))))))))</f>
        <v>0</v>
      </c>
      <c r="AN15" s="1334"/>
      <c r="AO15" s="1335"/>
      <c r="AP15" s="79">
        <v>0</v>
      </c>
      <c r="AQ15" s="66">
        <f>IF(AC8&gt;AC9,1)+IF(AJ9&gt;AJ8,1)</f>
        <v>1</v>
      </c>
      <c r="AR15" s="67">
        <f>IF(AC9&gt;AC8,1)+IF(AJ8&gt;AJ9,1)</f>
        <v>1</v>
      </c>
    </row>
    <row r="16" spans="1:44">
      <c r="A16" s="38"/>
      <c r="B16" s="43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68"/>
      <c r="Q16" s="47"/>
      <c r="R16" s="47"/>
      <c r="S16" s="47"/>
      <c r="T16" s="51"/>
      <c r="U16" s="47"/>
      <c r="V16" s="47"/>
      <c r="W16" s="38"/>
      <c r="X16" s="43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51"/>
      <c r="AQ16" s="40"/>
      <c r="AR16" s="40"/>
    </row>
    <row r="17" spans="1:44">
      <c r="A17" s="38"/>
      <c r="B17" s="43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51"/>
      <c r="U17" s="47"/>
      <c r="V17" s="47"/>
      <c r="W17" s="38"/>
      <c r="X17" s="43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51"/>
      <c r="AQ17" s="40"/>
      <c r="AR17" s="40"/>
    </row>
    <row r="18" spans="1:44">
      <c r="A18" s="38"/>
      <c r="B18" s="43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2"/>
      <c r="T18" s="51"/>
      <c r="U18" s="47"/>
      <c r="V18" s="47"/>
      <c r="W18" s="38"/>
      <c r="X18" s="43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51"/>
      <c r="AQ18" s="40"/>
      <c r="AR18" s="40"/>
    </row>
    <row r="19" spans="1:44" ht="15.75" thickBot="1">
      <c r="A19" s="38"/>
      <c r="B19" s="43"/>
      <c r="C19" s="47"/>
      <c r="D19" s="47"/>
      <c r="E19" s="44" t="s">
        <v>6</v>
      </c>
      <c r="F19" s="47"/>
      <c r="G19" s="47"/>
      <c r="H19" s="47"/>
      <c r="I19" s="47"/>
      <c r="J19" s="44" t="s">
        <v>5</v>
      </c>
      <c r="K19" s="44"/>
      <c r="L19" s="44" t="s">
        <v>6</v>
      </c>
      <c r="M19" s="47"/>
      <c r="N19" s="47"/>
      <c r="O19" s="47"/>
      <c r="P19" s="47"/>
      <c r="Q19" s="44" t="s">
        <v>5</v>
      </c>
      <c r="R19" s="47"/>
      <c r="S19" s="47"/>
      <c r="T19" s="51"/>
      <c r="U19" s="69"/>
      <c r="V19" s="47"/>
      <c r="W19" s="38"/>
      <c r="X19" s="43"/>
      <c r="Y19" s="47"/>
      <c r="Z19" s="47"/>
      <c r="AA19" s="44" t="s">
        <v>6</v>
      </c>
      <c r="AB19" s="47"/>
      <c r="AC19" s="47"/>
      <c r="AD19" s="47"/>
      <c r="AE19" s="47"/>
      <c r="AF19" s="44" t="s">
        <v>5</v>
      </c>
      <c r="AG19" s="44"/>
      <c r="AH19" s="44" t="s">
        <v>6</v>
      </c>
      <c r="AI19" s="47"/>
      <c r="AJ19" s="47"/>
      <c r="AK19" s="47"/>
      <c r="AL19" s="47"/>
      <c r="AM19" s="44" t="s">
        <v>5</v>
      </c>
      <c r="AN19" s="47"/>
      <c r="AO19" s="47"/>
      <c r="AP19" s="51"/>
      <c r="AQ19" s="40"/>
      <c r="AR19" s="40"/>
    </row>
    <row r="20" spans="1:44" ht="15.75" thickBot="1">
      <c r="A20" s="38"/>
      <c r="B20" s="43"/>
      <c r="C20" s="47"/>
      <c r="D20" s="47"/>
      <c r="E20" s="1325"/>
      <c r="F20" s="1341" t="b">
        <f>IF($F$3+$G$3=53,IF($G$14=$G$15,"résultat",IF($G$14&gt;$G$15,$C$14,$C$15)),IF($F$3+$G$3=52,IF($G$14=$G$15,"résultat",IF($G$14&gt;$G$15,$C$14,$C$15)),IF($F$3+$G$3=42,"0",IF($F$3+$G$3=43,"0",IF($F$3+$G$3=32,IF(0&gt;0,0,0),IF($F$3+$G$3=31,IF($T$14=$T$15,"résultat",IF($T$14&lt;$T$15,$Q$14,$Q$15))))))))</f>
        <v>0</v>
      </c>
      <c r="G20" s="1345"/>
      <c r="H20" s="1345"/>
      <c r="I20" s="1346"/>
      <c r="J20" s="53">
        <v>1</v>
      </c>
      <c r="K20" s="44"/>
      <c r="L20" s="1325" t="s">
        <v>16</v>
      </c>
      <c r="M20" s="1423" t="b">
        <f>IF($E$2+$E$3=5,$J$14)</f>
        <v>0</v>
      </c>
      <c r="N20" s="1368"/>
      <c r="O20" s="1368"/>
      <c r="P20" s="1369"/>
      <c r="Q20" s="53">
        <v>0</v>
      </c>
      <c r="R20" s="47"/>
      <c r="S20" s="47"/>
      <c r="T20" s="51"/>
      <c r="U20" s="47"/>
      <c r="V20" s="47"/>
      <c r="W20" s="38"/>
      <c r="X20" s="43"/>
      <c r="Y20" s="47"/>
      <c r="Z20" s="47"/>
      <c r="AA20" s="1325"/>
      <c r="AB20" s="1341" t="e">
        <f>IF($AB$3+$AC$3=53,IF($AC$14=$AC$15,"résultat",IF($AC$14&gt;$AC$15,$Y$14,$Y$15)),IF($AB$3+$AC$3=52,IF($AC$14=$AC$15,"résultat",IF($AC$14&gt;$AC$15,$Y$14,$Y$15)),IF($AB$3+$AC$3=42,"0",IF($AB$3+$AC$3=43,"0",IF($AB$3+$AC$3=32,IF(0&gt;0,0,0),IF($AB$3+$AC$3=31,IF($AP$14=$AP$15,"résultat",IF($AP$14&lt;$AP$15,$AM$14,$AM$15))))))))</f>
        <v>#REF!</v>
      </c>
      <c r="AC20" s="1345"/>
      <c r="AD20" s="1345"/>
      <c r="AE20" s="1346"/>
      <c r="AF20" s="53">
        <v>0</v>
      </c>
      <c r="AG20" s="44"/>
      <c r="AH20" s="1325" t="s">
        <v>16</v>
      </c>
      <c r="AI20" s="1423" t="e">
        <f>IF($AA$2+$AA$3=5,$AF$14)</f>
        <v>#REF!</v>
      </c>
      <c r="AJ20" s="1368"/>
      <c r="AK20" s="1368"/>
      <c r="AL20" s="1369"/>
      <c r="AM20" s="53">
        <v>0</v>
      </c>
      <c r="AN20" s="47"/>
      <c r="AO20" s="47"/>
      <c r="AP20" s="51"/>
      <c r="AQ20" s="40"/>
      <c r="AR20" s="40"/>
    </row>
    <row r="21" spans="1:44" ht="15.75" thickBot="1">
      <c r="A21" s="38"/>
      <c r="B21" s="43"/>
      <c r="C21" s="47"/>
      <c r="D21" s="47"/>
      <c r="E21" s="1326"/>
      <c r="F21" s="1341" t="b">
        <f>IF($F$3+$G$3=53,IF($T$14=$T$15,"résultat",IF($T$14&lt;$T$15,$Q$14,$Q$15)),(IF($F$3+$G$3=52,IF($T$14=$T$15,"résultat",IF($T$14&lt;$T$15,$Q$14,$Q$15)),(IF($F$3+$G$3=43,IF(0&gt;0,0,0),(IF($F$3+$G$3=42,IF(0&gt;0,0,0),(IF($F$3+$G$3=32,IF(0&lt;0,0,0),(IF($F$3+$G$3=31,IF($G$14=$G$15,"résultat",IF($G$14&gt;$G$15,$C$14,$C$15)))))))))))))</f>
        <v>0</v>
      </c>
      <c r="G21" s="1342"/>
      <c r="H21" s="1342"/>
      <c r="I21" s="1343"/>
      <c r="J21" s="53">
        <v>0</v>
      </c>
      <c r="K21" s="44"/>
      <c r="L21" s="1326"/>
      <c r="M21" s="1341" t="b">
        <f>IF($F$3+$G$3=53,IF($T$14=$T$15,"résultat",IF($T$14&gt;$T$15,$Q$14,$Q$15)),(IF($F$3+$G$3=52,IF($T$14=$T$15,"résultat",IF($T$14&gt;$T$15,$Q$14,$Q$15)),(IF($F$3+$G$3=43,IF(0&gt;0,0,0),(IF($F$3+$G$3=42,IF(0&gt;0,0,0),(IF($F$3+$G$3=32,IF(0&gt;0,0,0),(IF($F$3+$G$3=31,IF(0&gt;0,0,0))))))))))))</f>
        <v>0</v>
      </c>
      <c r="N21" s="1342"/>
      <c r="O21" s="1342"/>
      <c r="P21" s="1343"/>
      <c r="Q21" s="53">
        <v>0</v>
      </c>
      <c r="R21" s="47"/>
      <c r="S21" s="69"/>
      <c r="T21" s="51"/>
      <c r="U21" s="47"/>
      <c r="V21" s="42"/>
      <c r="W21" s="38"/>
      <c r="X21" s="43"/>
      <c r="Y21" s="47"/>
      <c r="Z21" s="47"/>
      <c r="AA21" s="1326"/>
      <c r="AB21" s="1341" t="e">
        <f>IF($AB$3+$AC$3=53,IF($AP$14=$AP$15,"résultat",IF($AP$14&lt;$AP$15,$AM$14,$AM$15)),(IF($AB$3+$AC$3=52,IF($AP$14=$AP$15,"résultat",IF($AP$14&lt;$AP$15,$AM$14,$AM$15)),(IF($AB$3+$AC$3=43,IF(0&gt;0,0,0),(IF($AB$3+$AC$3=42,IF(0&gt;0,0,0),(IF($AB$3+$AC$3=32,IF(0&lt;0,0,0),(IF($AB$3+$AC$3=31,IF($AC$14=$AC$15,"résultat",IF($AC$14&gt;$AC$15,$Y$14,$Y$15)))))))))))))</f>
        <v>#REF!</v>
      </c>
      <c r="AC21" s="1342"/>
      <c r="AD21" s="1342"/>
      <c r="AE21" s="1343"/>
      <c r="AF21" s="53">
        <v>0</v>
      </c>
      <c r="AG21" s="44"/>
      <c r="AH21" s="1326"/>
      <c r="AI21" s="1341" t="e">
        <f>IF($AB$3+$AC$3=53,IF($AP$14=$AP$15,"résultat",IF($AP$14&gt;$AP$15,$AM$14,$AM$15)),(IF($AB$3+$AC$3=52,IF($AP$14=$AP$15,"résultat",IF($AP$14&gt;$AP$15,$AM$14,$AM$15)),(IF($AB$3+$AC$3=43,IF(0&gt;0,0,0),(IF($AB$3+$AC$3=42,IF(0&gt;0,0,0),(IF($AB$3+$AC$3=32,IF(0&gt;0,0,0),(IF($AB$3+$AC$3=31,IF(0&gt;0,0,0))))))))))))</f>
        <v>#REF!</v>
      </c>
      <c r="AJ21" s="1342"/>
      <c r="AK21" s="1342"/>
      <c r="AL21" s="1343"/>
      <c r="AM21" s="53">
        <v>0</v>
      </c>
      <c r="AN21" s="47"/>
      <c r="AO21" s="47"/>
      <c r="AP21" s="51"/>
      <c r="AQ21" s="40"/>
      <c r="AR21" s="40"/>
    </row>
    <row r="22" spans="1:44">
      <c r="A22" s="38"/>
      <c r="B22" s="43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51"/>
      <c r="U22" s="47"/>
      <c r="V22" s="47"/>
      <c r="W22" s="38"/>
      <c r="X22" s="43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51"/>
      <c r="AQ22" s="40"/>
      <c r="AR22" s="40"/>
    </row>
    <row r="23" spans="1:44">
      <c r="A23" s="38"/>
      <c r="B23" s="43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51"/>
      <c r="U23" s="47"/>
      <c r="V23" s="47"/>
      <c r="W23" s="38"/>
      <c r="X23" s="43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51"/>
      <c r="AQ23" s="40"/>
      <c r="AR23" s="40"/>
    </row>
    <row r="24" spans="1:44" ht="15.75" thickBot="1">
      <c r="A24" s="38"/>
      <c r="B24" s="43"/>
      <c r="C24" s="47"/>
      <c r="D24" s="47"/>
      <c r="E24" s="47"/>
      <c r="F24" s="47"/>
      <c r="G24" s="47"/>
      <c r="H24" s="47"/>
      <c r="I24" s="44" t="s">
        <v>6</v>
      </c>
      <c r="J24" s="47"/>
      <c r="K24" s="47"/>
      <c r="L24" s="47"/>
      <c r="M24" s="47"/>
      <c r="N24" s="44" t="s">
        <v>5</v>
      </c>
      <c r="O24" s="44"/>
      <c r="P24" s="70"/>
      <c r="Q24" s="47"/>
      <c r="R24" s="47"/>
      <c r="S24" s="47"/>
      <c r="T24" s="51"/>
      <c r="U24" s="47"/>
      <c r="V24" s="47"/>
      <c r="W24" s="38"/>
      <c r="X24" s="43"/>
      <c r="Y24" s="47"/>
      <c r="Z24" s="47"/>
      <c r="AA24" s="47"/>
      <c r="AB24" s="47"/>
      <c r="AC24" s="47"/>
      <c r="AD24" s="47"/>
      <c r="AE24" s="44" t="s">
        <v>6</v>
      </c>
      <c r="AF24" s="47"/>
      <c r="AG24" s="47"/>
      <c r="AH24" s="47"/>
      <c r="AI24" s="47"/>
      <c r="AJ24" s="44" t="s">
        <v>5</v>
      </c>
      <c r="AK24" s="44"/>
      <c r="AL24" s="70"/>
      <c r="AM24" s="47"/>
      <c r="AN24" s="47"/>
      <c r="AO24" s="47"/>
      <c r="AP24" s="51"/>
      <c r="AQ24" s="40"/>
      <c r="AR24" s="40"/>
    </row>
    <row r="25" spans="1:44" ht="15.75" thickBot="1">
      <c r="A25" s="38"/>
      <c r="B25" s="43"/>
      <c r="C25" s="47"/>
      <c r="D25" s="47"/>
      <c r="E25" s="47"/>
      <c r="F25" s="47"/>
      <c r="G25" s="47"/>
      <c r="H25" s="47"/>
      <c r="I25" s="1325"/>
      <c r="J25" s="1250" t="b">
        <f>IF($F$3+$G$3=53,IF(0&lt;0,0,0),(IF($F$3+$G$3=52,IF($Q$20=$Q$21,"résultat",IF($Q$20&lt;$Q$21,$M$20,$M$21)),IF($F$3+$G$3=43,IF(0&lt;0,0,0),(IF($F$3+$G$3=42,IF($T$14=$T$15,"résultat",IF($T$14&lt;$T$15,$Q$14,$Q$15)),IF($F$3+$G$3=32,IF($T$14=$T$15,"résultat",IF($T$14&lt;$T$15,$Q$14,$Q$15)),IF($F$3+$G$3=31,IF($J$20=$J$21,"résultat",IF($J$20&gt;$J$21,$F$20,$F$21))))))))))</f>
        <v>0</v>
      </c>
      <c r="K25" s="1327"/>
      <c r="L25" s="1327"/>
      <c r="M25" s="1328"/>
      <c r="N25" s="53">
        <v>1</v>
      </c>
      <c r="O25" s="44"/>
      <c r="P25" s="47"/>
      <c r="Q25" s="47"/>
      <c r="R25" s="47"/>
      <c r="S25" s="47"/>
      <c r="T25" s="51"/>
      <c r="U25" s="47"/>
      <c r="V25" s="47"/>
      <c r="W25" s="38"/>
      <c r="X25" s="43"/>
      <c r="Y25" s="47"/>
      <c r="Z25" s="47"/>
      <c r="AA25" s="47"/>
      <c r="AB25" s="47"/>
      <c r="AC25" s="47"/>
      <c r="AD25" s="47"/>
      <c r="AE25" s="1325"/>
      <c r="AF25" s="1250" t="e">
        <f>IF($AB$3+$AC$3=53,IF(0&lt;0,0,0),(IF($AB$3+$AC$3=52,IF($AM$20=$AM$21,"résultat",IF($AM$20&lt;$AM$21,$AI$20,$AI$21)),IF($AB$3+$AC$3=43,IF(0&lt;0,0,0),(IF($AB$3+$AC$3=42,IF($AP$14=$AP$15,"résultat",IF($AP$14&lt;$AP$15,$AM$14,$AM$15)),IF($AB$3+$AC$3=32,IF($AP$14=$AP$15,"résultat",IF($AP$14&lt;$AP$15,$AM$14,$AM$15)),IF($AB$3+$AC$3=31,IF($AF$20=$AF$21,"résultat",IF($AF$20&gt;$AF$21,$AB$20,$AB$21))))))))))</f>
        <v>#REF!</v>
      </c>
      <c r="AG25" s="1327"/>
      <c r="AH25" s="1327"/>
      <c r="AI25" s="1328"/>
      <c r="AJ25" s="53">
        <v>1</v>
      </c>
      <c r="AK25" s="44"/>
      <c r="AL25" s="47"/>
      <c r="AM25" s="47"/>
      <c r="AN25" s="47"/>
      <c r="AO25" s="47"/>
      <c r="AP25" s="51"/>
      <c r="AQ25" s="40"/>
      <c r="AR25" s="40"/>
    </row>
    <row r="26" spans="1:44" ht="15.75" thickBot="1">
      <c r="A26" s="38"/>
      <c r="B26" s="43"/>
      <c r="C26" s="47"/>
      <c r="D26" s="47"/>
      <c r="E26" s="47"/>
      <c r="F26" s="47"/>
      <c r="G26" s="47"/>
      <c r="H26" s="47"/>
      <c r="I26" s="1326"/>
      <c r="J26" s="1347" t="b">
        <f>IF($F$3+$G$3=53,IF(0&gt;0,0,0),(IF($F$3+$G$3=52,IF($J$20=$J$21,"résultat",IF($J$20&gt;$J$21,$F$20,$F$21)),IF($F$3+$G$3=43,IF(0&gt;0,0,0),(IF(F3+G3=42,IF($G$14=$G$15,"résultat",IF($G$14&gt;$G$15,$C$14,$C$15)),(IF($F$3+$G$3=32,IF($G$14=$G$15,"résultat",IF($G$14&gt;$G$15,$C$14,$C$15)),(IF($F$3+$G$3=31,IF($T$14=$T$15,"résultat",IF($T$14&gt;$T$15,$Q$14,$Q$15))))))))))))</f>
        <v>0</v>
      </c>
      <c r="K26" s="1348"/>
      <c r="L26" s="1348"/>
      <c r="M26" s="1349"/>
      <c r="N26" s="53">
        <v>0</v>
      </c>
      <c r="O26" s="44"/>
      <c r="P26" s="47"/>
      <c r="Q26" s="47"/>
      <c r="R26" s="47"/>
      <c r="S26" s="47"/>
      <c r="T26" s="51"/>
      <c r="U26" s="47"/>
      <c r="V26" s="47"/>
      <c r="W26" s="38"/>
      <c r="X26" s="43"/>
      <c r="Y26" s="47"/>
      <c r="Z26" s="47"/>
      <c r="AA26" s="47"/>
      <c r="AB26" s="47"/>
      <c r="AC26" s="47"/>
      <c r="AD26" s="47"/>
      <c r="AE26" s="1326"/>
      <c r="AF26" s="1347" t="e">
        <f>IF($AB$3+$AC$3=53,IF(0&gt;0,0,0),(IF($AB$3+$AC$3=52,IF(AF20=AF21,"résultat",IF($AF$20&gt;$AF$21,$AB$20,$AB$21)),IF($AB$3+$AC$3=43,IF(0&gt;0,0,0),(IF($AB$3+$AC$3=42,IF(AC14=AC15,"résultat",IF($AC$14&gt;$AC$15,$Y$14,$Y$15)),(IF($AB$3+$AC$3=32,IF(AC14=AC15,"résultat",IF($AC$14&gt;$AC$15,$Y$14,$Y$15)),(IF($AB$3+$AC$3=31,IF(AP14=AP15,"résultat",IF($AP$14&gt;$AP$15,$AM$14,$AM$15))))))))))))</f>
        <v>#REF!</v>
      </c>
      <c r="AG26" s="1348"/>
      <c r="AH26" s="1348"/>
      <c r="AI26" s="1349"/>
      <c r="AJ26" s="53">
        <v>0</v>
      </c>
      <c r="AK26" s="44"/>
      <c r="AL26" s="47"/>
      <c r="AM26" s="47"/>
      <c r="AN26" s="47"/>
      <c r="AO26" s="47"/>
      <c r="AP26" s="51"/>
      <c r="AQ26" s="40"/>
      <c r="AR26" s="40"/>
    </row>
    <row r="27" spans="1:44" ht="15.75" thickBot="1">
      <c r="A27" s="38"/>
      <c r="B27" s="43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51"/>
      <c r="U27" s="47"/>
      <c r="V27" s="47"/>
      <c r="W27" s="38"/>
      <c r="X27" s="43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51"/>
      <c r="AQ27" s="40"/>
      <c r="AR27" s="40"/>
    </row>
    <row r="28" spans="1:44" ht="15.75" thickBot="1">
      <c r="A28" s="38"/>
      <c r="B28" s="43"/>
      <c r="D28" s="47"/>
      <c r="E28" s="47"/>
      <c r="F28" s="47"/>
      <c r="G28" s="47"/>
      <c r="H28" s="47"/>
      <c r="I28" s="47"/>
      <c r="J28" s="1440" t="s">
        <v>56</v>
      </c>
      <c r="K28" s="1441"/>
      <c r="L28" s="1441"/>
      <c r="M28" s="1442"/>
      <c r="N28" s="47"/>
      <c r="O28" s="47"/>
      <c r="P28" s="69"/>
      <c r="Q28" s="47"/>
      <c r="R28" s="47"/>
      <c r="S28" s="47"/>
      <c r="T28" s="51"/>
      <c r="W28" s="38"/>
      <c r="X28" s="43"/>
      <c r="Z28" s="47"/>
      <c r="AA28" s="47"/>
      <c r="AB28" s="47"/>
      <c r="AC28" s="47"/>
      <c r="AD28" s="47"/>
      <c r="AE28" s="47"/>
      <c r="AF28" s="1440" t="s">
        <v>56</v>
      </c>
      <c r="AG28" s="1441"/>
      <c r="AH28" s="1441"/>
      <c r="AI28" s="1442"/>
      <c r="AJ28" s="47"/>
      <c r="AK28" s="47"/>
      <c r="AL28" s="69"/>
      <c r="AM28" s="47"/>
      <c r="AN28" s="47"/>
      <c r="AO28" s="47"/>
      <c r="AP28" s="51"/>
    </row>
    <row r="29" spans="1:44" ht="15.75" thickBot="1">
      <c r="A29" s="38"/>
      <c r="B29" s="43"/>
      <c r="D29" s="1432" t="s">
        <v>0</v>
      </c>
      <c r="E29" s="1433"/>
      <c r="F29" s="1434"/>
      <c r="G29" s="47"/>
      <c r="H29" s="1429" t="str">
        <f>IF(F3+G3=0,"OFFICE",IF($F$3+$G$3=53,IF($Q$20=$Q$21,"résultat",IF($Q$20&gt;$Q$21,$M$20,$M$21)),(IF($F$3+$G$3=52,IF($Q$20=$Q$21,"résultat",IF($Q$20&gt;$Q$21,$M$20,$M$21)),(IF($F$3+$G$3=43,IF($T$14=$T$15,"résultat",IF($T$14&gt;$T$15,$Q$14,$Q$15)),(IF($F$3+$G$3=42,IF($T$14=$T$15,"résultat",IF($T$14&gt;$T$15,$Q$14,$Q$15)),(IF($F$3+$G$3=32,IF($T$14=$T$15,"résultat",IF($T$14&gt;$T$15,$Q$14,$Q$15)),(IF($F$3+$G$3=31,IF($N$25=$N$26,"résultat",IF($N$25&gt;$N$26,$J$25,$J$26))))))))))))))</f>
        <v>OFFICE</v>
      </c>
      <c r="I29" s="1452"/>
      <c r="J29" s="1452"/>
      <c r="K29" s="1452"/>
      <c r="L29" s="1452"/>
      <c r="M29" s="1452"/>
      <c r="N29" s="1453"/>
      <c r="O29" s="47"/>
      <c r="P29" s="47"/>
      <c r="Q29" s="47"/>
      <c r="R29" s="47"/>
      <c r="S29" s="47"/>
      <c r="T29" s="51"/>
      <c r="W29" s="38"/>
      <c r="X29" s="43"/>
      <c r="Z29" s="1432" t="s">
        <v>0</v>
      </c>
      <c r="AA29" s="1433"/>
      <c r="AB29" s="1434"/>
      <c r="AC29" s="47"/>
      <c r="AD29" s="1429" t="e">
        <f>IF(AB3+AC3=0,"OFFICE",IF($AB$3+$AC$3=53,IF($AM$20=$AM$21,"résultat",IF($AM$20&gt;$AM$21,$AI$20,$AI$21)),(IF($AB$3+$AC$3=52,IF($AM$20=$AM$21,"résultat",IF($AM$20&gt;$AM$21,$AI$20,$AI$21)),(IF($AB$3+$AC$3=43,IF($AP$14=$AP$15,"résultat",IF($AP$14&gt;$AP$15,$AM$14,$AM$15)),(IF($AB$3+$AC$3=42,IF($AP$14=$AP$15,"résultat",IF($AP$14&gt;$AP$15,$AM$14,$AM$15)),(IF($AB$3+$AC$3=32,IF($AP$14=$AP$15,"résultat",IF($AP$14&gt;$AP$15,$AM$14,$AM$15)),(IF($AB$3+$AC$3=31,IF($AJ$25=$AJ$26,"résultat",IF($AJ$25&gt;$AJ$26,$AF$25,$AF$26))))))))))))))</f>
        <v>#REF!</v>
      </c>
      <c r="AE29" s="1452"/>
      <c r="AF29" s="1452"/>
      <c r="AG29" s="1452"/>
      <c r="AH29" s="1452"/>
      <c r="AI29" s="1452"/>
      <c r="AJ29" s="1453"/>
      <c r="AK29" s="47"/>
      <c r="AL29" s="47"/>
      <c r="AM29" s="60" t="s">
        <v>70</v>
      </c>
      <c r="AN29" s="47"/>
      <c r="AO29" s="47"/>
      <c r="AP29" s="51"/>
    </row>
    <row r="30" spans="1:44">
      <c r="A30" s="38"/>
      <c r="B30" s="43"/>
      <c r="D30" s="1396" t="s">
        <v>1</v>
      </c>
      <c r="E30" s="1397"/>
      <c r="F30" s="1398"/>
      <c r="G30" s="47"/>
      <c r="H30" s="1399" t="str">
        <f>IF(F3+G3=0,"OFFICE",IF($F$3+$G$3=53,IF($Q$20=$Q$21,"résultat",IF($Q$20&lt;$Q$21,$M$20,$M$21)),(IF($F$3+$G$3=52,IF($N$25=$N$26,"résultat",IF($N$25&gt;$N$26,$J$25,$J$26)),(IF($F$3+$G$3=43,IF($T$14=$T$15,"résultat",IF($T$14&lt;$T$15,$Q$14,$Q$15)),(IF($F$3+$G$3=42,IF($N$25=$N$26,"résultat",IF($N$25&gt;$N$26,$J$25,$J$26)),(IF($F$3+$G$3=32,IF($N$25=$N$26,"résultat",IF($N$25&gt;$N$26,$J$25,$J$26)),(IF($F$3+$G$3=31,IF($N$25=$N$26,"résultat",IF($N$25&lt;$N$26,$J$25,$J$26))))))))))))))</f>
        <v>OFFICE</v>
      </c>
      <c r="I30" s="1400"/>
      <c r="J30" s="1400"/>
      <c r="K30" s="1400"/>
      <c r="L30" s="1400"/>
      <c r="M30" s="1400"/>
      <c r="N30" s="1401"/>
      <c r="O30" s="47"/>
      <c r="P30" s="71"/>
      <c r="Q30" s="71"/>
      <c r="R30" s="71"/>
      <c r="S30" s="71"/>
      <c r="T30" s="51"/>
      <c r="W30" s="38"/>
      <c r="X30" s="43"/>
      <c r="Z30" s="1396" t="s">
        <v>1</v>
      </c>
      <c r="AA30" s="1397"/>
      <c r="AB30" s="1398"/>
      <c r="AC30" s="47"/>
      <c r="AD30" s="1399" t="e">
        <f>IF(AB3+AC3=0,"OFFICE",IF($AB$3+$AC$3=53,IF($AM$20=$AM$21,"résultat",IF($AM$20&lt;$AM$21,$AI$20,$AI$21)),(IF($AB$3+$AC$3=52,IF($AJ$25=$AJ$26,"résultat",IF($AJ$25&gt;$AJ$26,$AF$25,$AF$26)),(IF($AB$3+$AC$3=43,IF($AP$14=$AP$15,"résultat",IF($AP$14&lt;$AP$15,$AM$14,$AM$15)),(IF($AB$3+$AC$3=42,IF($AJ$25=$AJ$26,"résultat",IF($AJ$25&gt;$AJ$26,$AF$25,$AF$26)),(IF($AB$3+$AC$3=32,IF($AJ$25=$AJ$26,"résultat",IF($AJ$25&gt;$AJ$26,$AF$25,$AF$26)),(IF($AB$3+$AC$3=31,IF($AJ$25=$AJ$26,"résultat",IF($AJ$25&lt;$AJ$26,$AF$25,$AF$26))))))))))))))</f>
        <v>#REF!</v>
      </c>
      <c r="AE30" s="1400"/>
      <c r="AF30" s="1400"/>
      <c r="AG30" s="1400"/>
      <c r="AH30" s="1400"/>
      <c r="AI30" s="1400"/>
      <c r="AJ30" s="1401"/>
      <c r="AK30" s="47"/>
      <c r="AL30" s="71"/>
      <c r="AM30" s="71"/>
      <c r="AN30" s="71"/>
      <c r="AO30" s="47"/>
      <c r="AP30" s="51"/>
    </row>
    <row r="31" spans="1:44">
      <c r="A31" s="38"/>
      <c r="B31" s="43"/>
      <c r="D31" s="1396" t="s">
        <v>2</v>
      </c>
      <c r="E31" s="1397"/>
      <c r="F31" s="1398"/>
      <c r="G31" s="47"/>
      <c r="H31" s="1405" t="b">
        <f>IF($F$3+$G$3=53,IF($J$20=$J$21,"résultat",IF($J$20&gt;$J$21,$F$20,$F$21)),(IF($F$3+$G$3=52,IF($N$25=$N$26,"résultat",IF($N$25&lt;$N$26,$J$25,$J$26)),(IF($F$3+$G$3=43,IF($G$14=$G$15,"résultat",IF($G$14&gt;$G$15,$C$14,$C$15)),(IF($F$3+$G$3=42,IF($N$25=$N$26,"résultat",IF($N$25&lt;$N$26,$J$25,$J$26)),(IF($F$3+$G$3=32,IF($N$25=$N$26,"résultat",IF($N$25&lt;$N$26,$J$25,$J$26)),(IF($F$3+$G$3=31,IF($J$20=$J$21,"résultat",IF($J$20&lt;$J$21,$F$20,$F$21)))))))))))))</f>
        <v>0</v>
      </c>
      <c r="I31" s="1406"/>
      <c r="J31" s="1406"/>
      <c r="K31" s="1406"/>
      <c r="L31" s="1406"/>
      <c r="M31" s="1406"/>
      <c r="N31" s="1407"/>
      <c r="O31" s="47"/>
      <c r="P31" s="47"/>
      <c r="Q31" s="47"/>
      <c r="R31" s="47"/>
      <c r="S31" s="47"/>
      <c r="T31" s="51"/>
      <c r="W31" s="38"/>
      <c r="X31" s="43"/>
      <c r="Z31" s="1396" t="s">
        <v>2</v>
      </c>
      <c r="AA31" s="1397"/>
      <c r="AB31" s="1398"/>
      <c r="AC31" s="47"/>
      <c r="AD31" s="1402" t="e">
        <f>IF($AB$3+$AC$3=53,IF($AF$20=$AF$21,"résultat",IF($AF$20&gt;$AF$21,$AB$20,$AB$21)),(IF($AB$3+$AC$3=52,IF($AJ$25=$AJ$26,"résultat",IF($AJ$25&lt;$AJ$26,$AF$25,$AF$26)),(IF($AB$3+$AC$3=43,IF($AC$14=$AC$15,"résultat",IF($AC$14&gt;$G$15,$Y$14,$Y$15)),(IF($AB$3+$AC$3=42,IF($AJ$25=$AJ$26,"résultat",IF($AJ$25&lt;$AJ$26,$AF$25,$AF$26)),(IF($AB$3+$AC$3=32,IF($AJ$25=$AJ$26,"résultat",IF($AJ$25&lt;$AJ$26,$AF$25,$AF$26)),(IF($AB$3+$AC$3=31,IF($AF$20=$AF$21,"résultat",IF($AF$20&lt;$AF$21,$AB$20,$AB$21)))))))))))))</f>
        <v>#REF!</v>
      </c>
      <c r="AE31" s="1403"/>
      <c r="AF31" s="1403"/>
      <c r="AG31" s="1403"/>
      <c r="AH31" s="1403"/>
      <c r="AI31" s="1403"/>
      <c r="AJ31" s="1404"/>
      <c r="AK31" s="47"/>
      <c r="AL31" s="47"/>
      <c r="AM31" s="47" t="e">
        <f ca="1">CELL(V,AD29)</f>
        <v>#NAME?</v>
      </c>
      <c r="AN31" s="47"/>
      <c r="AO31" s="47"/>
      <c r="AP31" s="51"/>
    </row>
    <row r="32" spans="1:44">
      <c r="A32" s="38"/>
      <c r="B32" s="43"/>
      <c r="D32" s="1396" t="s">
        <v>3</v>
      </c>
      <c r="E32" s="1397"/>
      <c r="F32" s="1398"/>
      <c r="G32" s="47"/>
      <c r="H32" s="1405" t="b">
        <f>IF($F$3+$G$3=53,IF($J$20=$J$21,"résultat",IF($J$20&lt;$J$21,$F$20,$F$21)),(IF($F$3+$G$3=52,IF($J$20=$J$21,"résultat",IF($J$20&lt;$J$21,$F$20,$F$21)),(IF($F$3+$G$3=43,IF($G$14=$G$15,"résultat",IF($G$14&lt;$G$15,$C$14,$C$15)),(IF($F$3+$G$3=42,IF($G$14=$G$15,"résultat",IF($G$14&lt;$G$15,$C$14,$C$15)),(IF($F$3+$G$3=32,IF(0&gt;0,0,0),(IF($F$3+$G$3=31,IF(0&gt;0,0,0))))))))))))</f>
        <v>0</v>
      </c>
      <c r="I32" s="1406"/>
      <c r="J32" s="1406"/>
      <c r="K32" s="1406"/>
      <c r="L32" s="1406"/>
      <c r="M32" s="1406"/>
      <c r="N32" s="1407"/>
      <c r="O32" s="47"/>
      <c r="P32" s="47"/>
      <c r="Q32" s="47"/>
      <c r="R32" s="47"/>
      <c r="S32" s="47"/>
      <c r="T32" s="51"/>
      <c r="W32" s="38"/>
      <c r="X32" s="43"/>
      <c r="Z32" s="1396" t="s">
        <v>3</v>
      </c>
      <c r="AA32" s="1397"/>
      <c r="AB32" s="1398"/>
      <c r="AC32" s="47"/>
      <c r="AD32" s="1405" t="e">
        <f>IF($AB$3+$AC$3=53,IF($AF$20=$AF$21,"résultat",IF($AF$20&lt;$AF$21,$AB$20,$AB$21)),(IF($AB$3+$AC$3=52,IF($AF$20=$AF$21,"résultat",IF($AF$20&lt;$AF$21,$AB$20,$AB$21)),(IF($AB$3+$AC$3=43,IF($AC$14=$AC$15,"résultat",IF($AC$14&lt;$AC$15,$Y$14,$Y$15)),(IF($AB$3+$AC$3=42,IF($AC$14=$AC$15,"résultat",IF($AC$14&lt;$AC$15,$Y$14,$Y$15)),(IF($AB$3+$AC$3=32,IF(0&gt;0,0,0),(IF($AB$3+$AC$3=31,IF(0&gt;0,0,0))))))))))))</f>
        <v>#REF!</v>
      </c>
      <c r="AE32" s="1406"/>
      <c r="AF32" s="1406"/>
      <c r="AG32" s="1406"/>
      <c r="AH32" s="1406"/>
      <c r="AI32" s="1406"/>
      <c r="AJ32" s="1407"/>
      <c r="AK32" s="47"/>
      <c r="AL32" s="47"/>
      <c r="AM32" s="47"/>
      <c r="AN32" s="47"/>
      <c r="AO32" s="47"/>
      <c r="AP32" s="51"/>
    </row>
    <row r="33" spans="1:44" ht="15.75" thickBot="1">
      <c r="A33" s="38"/>
      <c r="B33" s="43"/>
      <c r="D33" s="1390" t="s">
        <v>4</v>
      </c>
      <c r="E33" s="1391"/>
      <c r="F33" s="1392"/>
      <c r="G33" s="47"/>
      <c r="H33" s="1393" t="b">
        <f>IF($F$3+$G$3=53,IF($G$14=$G$15,"résultat",IF($G$14&lt;$G$15,$C$14,$C$15)),(IF($F$3+$G$3=52,IF($G$14=$G$15,"résultat",IF($G$14&lt;$G$15,$C$14,$C$15)),(IF($F$3+$G$3=43,IF(0&gt;0,0,0),(IF($F$3+$G$3=42,IF(0&gt;0,0,0),(IF($F$3+$G$3=32,IF(0&gt;0,0,0),(IF($F$3+$G$3=31,IF(0&gt;0,0,0))))))))))))</f>
        <v>0</v>
      </c>
      <c r="I33" s="1394"/>
      <c r="J33" s="1394"/>
      <c r="K33" s="1394"/>
      <c r="L33" s="1394"/>
      <c r="M33" s="1394"/>
      <c r="N33" s="1395"/>
      <c r="O33" s="47"/>
      <c r="P33" s="47"/>
      <c r="Q33" s="47"/>
      <c r="R33" s="47"/>
      <c r="S33" s="47"/>
      <c r="T33" s="51"/>
      <c r="W33" s="38"/>
      <c r="X33" s="43"/>
      <c r="Z33" s="1390" t="s">
        <v>4</v>
      </c>
      <c r="AA33" s="1391"/>
      <c r="AB33" s="1392"/>
      <c r="AC33" s="47"/>
      <c r="AD33" s="1393" t="e">
        <f>IF($AB$3+$AC$3=53,IF(AC14=AC15,"résultat",IF($AC$14&lt;$AC$15,$Y$14,$Y$15)),(IF($AB$3+$AC$3=52,IF(AC14=AC15,"résultat",IF($AC$14&lt;$AC$15,$Y$14,$Y$15)),(IF($AB$3+$AC$3=43,IF(0&gt;0,0,0),(IF($AB$3+$AC$3=42,IF(0&gt;0,0,0),(IF($AB$3+$AC$3=32,IF(0&gt;0,0,0),(IF($AB$3+$AC$3=31,IF(0&gt;0,0,0))))))))))))</f>
        <v>#REF!</v>
      </c>
      <c r="AE33" s="1394"/>
      <c r="AF33" s="1394"/>
      <c r="AG33" s="1394"/>
      <c r="AH33" s="1394"/>
      <c r="AI33" s="1394"/>
      <c r="AJ33" s="1395"/>
      <c r="AK33" s="47"/>
      <c r="AL33" s="47"/>
      <c r="AM33" s="47"/>
      <c r="AN33" s="47"/>
      <c r="AO33" s="47"/>
      <c r="AP33" s="51"/>
    </row>
    <row r="34" spans="1:44">
      <c r="A34" s="38"/>
      <c r="B34" s="43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47"/>
      <c r="O34" s="47"/>
      <c r="P34" s="47"/>
      <c r="Q34" s="47"/>
      <c r="R34" s="47"/>
      <c r="S34" s="47"/>
      <c r="T34" s="51"/>
      <c r="U34" s="47"/>
      <c r="V34" s="47"/>
      <c r="W34" s="38"/>
      <c r="X34" s="43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7"/>
      <c r="AK34" s="47"/>
      <c r="AL34" s="47"/>
      <c r="AM34" s="47"/>
      <c r="AN34" s="47"/>
      <c r="AO34" s="47"/>
      <c r="AP34" s="51"/>
      <c r="AQ34" s="40"/>
      <c r="AR34" s="40"/>
    </row>
    <row r="35" spans="1:44" ht="15.75" thickBot="1">
      <c r="A35" s="38"/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4"/>
      <c r="O35" s="74"/>
      <c r="P35" s="74"/>
      <c r="Q35" s="74"/>
      <c r="R35" s="74"/>
      <c r="S35" s="74"/>
      <c r="T35" s="75"/>
      <c r="U35" s="38"/>
      <c r="V35" s="38"/>
      <c r="W35" s="38"/>
      <c r="X35" s="72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5"/>
      <c r="AQ35" s="40"/>
      <c r="AR35" s="40"/>
    </row>
    <row r="40" spans="1:4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</sheetData>
  <sheetProtection formatColumns="0" formatRows="0" selectLockedCells="1"/>
  <mergeCells count="88">
    <mergeCell ref="H30:N30"/>
    <mergeCell ref="Z30:AB30"/>
    <mergeCell ref="AD30:AJ30"/>
    <mergeCell ref="D31:F31"/>
    <mergeCell ref="H31:N31"/>
    <mergeCell ref="Z31:AB31"/>
    <mergeCell ref="AD31:AJ31"/>
    <mergeCell ref="D30:F30"/>
    <mergeCell ref="I25:I26"/>
    <mergeCell ref="J25:M25"/>
    <mergeCell ref="AE25:AE26"/>
    <mergeCell ref="AF25:AI25"/>
    <mergeCell ref="J26:M26"/>
    <mergeCell ref="AF26:AI26"/>
    <mergeCell ref="AA20:AA21"/>
    <mergeCell ref="AB20:AE20"/>
    <mergeCell ref="AH20:AH21"/>
    <mergeCell ref="AI20:AL20"/>
    <mergeCell ref="F21:I21"/>
    <mergeCell ref="M21:P21"/>
    <mergeCell ref="AB21:AE21"/>
    <mergeCell ref="AI21:AL21"/>
    <mergeCell ref="C4:S4"/>
    <mergeCell ref="AM14:AO14"/>
    <mergeCell ref="C15:F15"/>
    <mergeCell ref="Q15:S15"/>
    <mergeCell ref="Y15:AB15"/>
    <mergeCell ref="AM15:AO15"/>
    <mergeCell ref="Q14:S14"/>
    <mergeCell ref="X14:X15"/>
    <mergeCell ref="Y14:AB14"/>
    <mergeCell ref="AF14:AI14"/>
    <mergeCell ref="AL14:AL15"/>
    <mergeCell ref="X8:X9"/>
    <mergeCell ref="Y8:AB8"/>
    <mergeCell ref="AE8:AE9"/>
    <mergeCell ref="AF8:AI8"/>
    <mergeCell ref="AM8:AO8"/>
    <mergeCell ref="Y9:AB9"/>
    <mergeCell ref="AF9:AI9"/>
    <mergeCell ref="B8:B9"/>
    <mergeCell ref="C8:F8"/>
    <mergeCell ref="I8:I9"/>
    <mergeCell ref="J8:M8"/>
    <mergeCell ref="Q8:S8"/>
    <mergeCell ref="C9:F9"/>
    <mergeCell ref="J9:M9"/>
    <mergeCell ref="B14:B15"/>
    <mergeCell ref="C14:F14"/>
    <mergeCell ref="J14:M14"/>
    <mergeCell ref="P14:P15"/>
    <mergeCell ref="E20:E21"/>
    <mergeCell ref="F20:I20"/>
    <mergeCell ref="L20:L21"/>
    <mergeCell ref="M20:P20"/>
    <mergeCell ref="D32:F32"/>
    <mergeCell ref="H32:N32"/>
    <mergeCell ref="Z32:AB32"/>
    <mergeCell ref="AD32:AJ32"/>
    <mergeCell ref="D33:F33"/>
    <mergeCell ref="H33:N33"/>
    <mergeCell ref="Z33:AB33"/>
    <mergeCell ref="AD33:AJ33"/>
    <mergeCell ref="J28:M28"/>
    <mergeCell ref="AF28:AI28"/>
    <mergeCell ref="D29:F29"/>
    <mergeCell ref="H29:N29"/>
    <mergeCell ref="Z29:AB29"/>
    <mergeCell ref="AD29:AJ29"/>
    <mergeCell ref="X2:Z2"/>
    <mergeCell ref="T4:T5"/>
    <mergeCell ref="Y4:AO4"/>
    <mergeCell ref="X1:Z1"/>
    <mergeCell ref="AA1:AC1"/>
    <mergeCell ref="AE1:AH1"/>
    <mergeCell ref="AJ1:AO1"/>
    <mergeCell ref="AB2:AC2"/>
    <mergeCell ref="AE2:AG2"/>
    <mergeCell ref="AH2:AP2"/>
    <mergeCell ref="AP4:AP5"/>
    <mergeCell ref="I1:L1"/>
    <mergeCell ref="N1:S1"/>
    <mergeCell ref="B1:D1"/>
    <mergeCell ref="E1:G1"/>
    <mergeCell ref="B2:D2"/>
    <mergeCell ref="F2:G2"/>
    <mergeCell ref="I2:K2"/>
    <mergeCell ref="L2:T2"/>
  </mergeCells>
  <conditionalFormatting sqref="H32">
    <cfRule type="expression" dxfId="222" priority="247">
      <formula>$H$2=5</formula>
    </cfRule>
    <cfRule type="expression" dxfId="221" priority="248">
      <formula>$H$2=4</formula>
    </cfRule>
    <cfRule type="expression" dxfId="220" priority="249">
      <formula>$H$2=0</formula>
    </cfRule>
  </conditionalFormatting>
  <conditionalFormatting sqref="H29:N29">
    <cfRule type="expression" dxfId="219" priority="244">
      <formula>$H$2=0</formula>
    </cfRule>
    <cfRule type="expression" dxfId="218" priority="245" stopIfTrue="1">
      <formula>(OR(H2="1",H2="2",H2="3"))</formula>
    </cfRule>
  </conditionalFormatting>
  <conditionalFormatting sqref="H30:N30">
    <cfRule type="expression" dxfId="217" priority="243">
      <formula>(OR(H2="2",H2="3"))</formula>
    </cfRule>
  </conditionalFormatting>
  <conditionalFormatting sqref="H31:N31">
    <cfRule type="expression" dxfId="216" priority="242">
      <formula>(H2="3")</formula>
    </cfRule>
  </conditionalFormatting>
  <conditionalFormatting sqref="H32:N32">
    <cfRule type="cellIs" dxfId="215" priority="241" operator="equal">
      <formula>0</formula>
    </cfRule>
  </conditionalFormatting>
  <conditionalFormatting sqref="H33:N33">
    <cfRule type="cellIs" dxfId="214" priority="240" operator="equal">
      <formula>0</formula>
    </cfRule>
  </conditionalFormatting>
  <conditionalFormatting sqref="AD32">
    <cfRule type="expression" dxfId="213" priority="233">
      <formula>$AA$2=0</formula>
    </cfRule>
  </conditionalFormatting>
  <conditionalFormatting sqref="AD32:AJ32">
    <cfRule type="cellIs" dxfId="212" priority="226" operator="equal">
      <formula>0</formula>
    </cfRule>
  </conditionalFormatting>
  <conditionalFormatting sqref="AD33:AJ33">
    <cfRule type="cellIs" dxfId="211" priority="225" operator="equal">
      <formula>0</formula>
    </cfRule>
  </conditionalFormatting>
  <conditionalFormatting sqref="AD33">
    <cfRule type="expression" dxfId="210" priority="271">
      <formula>$AA$2=0</formula>
    </cfRule>
  </conditionalFormatting>
  <conditionalFormatting sqref="AD30">
    <cfRule type="expression" dxfId="209" priority="257">
      <formula>$AA$2=0</formula>
    </cfRule>
    <cfRule type="expression" dxfId="208" priority="258">
      <formula>$AF$2=5</formula>
    </cfRule>
    <cfRule type="expression" dxfId="207" priority="259">
      <formula>$AF$2=4</formula>
    </cfRule>
    <cfRule type="expression" dxfId="206" priority="260">
      <formula>$AF$2=3</formula>
    </cfRule>
    <cfRule type="expression" dxfId="205" priority="261">
      <formula>$AF$2=2</formula>
    </cfRule>
  </conditionalFormatting>
  <conditionalFormatting sqref="AD31:AJ31">
    <cfRule type="expression" dxfId="204" priority="253">
      <formula>$AA$2=0</formula>
    </cfRule>
  </conditionalFormatting>
  <conditionalFormatting sqref="AD29:AJ29">
    <cfRule type="expression" dxfId="203" priority="229">
      <formula>$AA$2=0</formula>
    </cfRule>
    <cfRule type="expression" dxfId="202" priority="230">
      <formula>(OR(AD2="1",AD2="2",AD2="3"))</formula>
    </cfRule>
  </conditionalFormatting>
  <conditionalFormatting sqref="AD30:AJ30">
    <cfRule type="expression" dxfId="201" priority="228">
      <formula>(OR(AD2="2",AD2="3"))</formula>
    </cfRule>
  </conditionalFormatting>
  <conditionalFormatting sqref="AD31:AJ31">
    <cfRule type="expression" dxfId="200" priority="227">
      <formula>(AD2="3")</formula>
    </cfRule>
  </conditionalFormatting>
  <conditionalFormatting sqref="H33 AD33">
    <cfRule type="expression" dxfId="199" priority="210">
      <formula>$AD$2=5</formula>
    </cfRule>
  </conditionalFormatting>
  <conditionalFormatting sqref="AD33">
    <cfRule type="expression" dxfId="198" priority="209">
      <formula>$AD$2=0</formula>
    </cfRule>
  </conditionalFormatting>
  <conditionalFormatting sqref="AD29">
    <cfRule type="expression" dxfId="197" priority="201">
      <formula>$AD$2=2</formula>
    </cfRule>
    <cfRule type="expression" dxfId="196" priority="202">
      <formula>$AD$2=5</formula>
    </cfRule>
    <cfRule type="expression" dxfId="195" priority="203">
      <formula>$AD$2=4</formula>
    </cfRule>
    <cfRule type="expression" dxfId="194" priority="204">
      <formula>$AD$2=3</formula>
    </cfRule>
    <cfRule type="expression" dxfId="193" priority="205">
      <formula>$H$2=0</formula>
    </cfRule>
  </conditionalFormatting>
  <conditionalFormatting sqref="AD30">
    <cfRule type="expression" dxfId="192" priority="196">
      <formula>$AD$2=0</formula>
    </cfRule>
    <cfRule type="expression" dxfId="191" priority="197">
      <formula>$AD$2=5</formula>
    </cfRule>
    <cfRule type="expression" dxfId="190" priority="198">
      <formula>$AD$2=4</formula>
    </cfRule>
    <cfRule type="expression" dxfId="189" priority="199">
      <formula>$AD$2=3</formula>
    </cfRule>
    <cfRule type="expression" dxfId="188" priority="200">
      <formula>$AD$2=2</formula>
    </cfRule>
  </conditionalFormatting>
  <conditionalFormatting sqref="AD31">
    <cfRule type="expression" dxfId="187" priority="192">
      <formula>$AD$2=0</formula>
    </cfRule>
    <cfRule type="expression" dxfId="186" priority="193">
      <formula>$AD$2=5</formula>
    </cfRule>
    <cfRule type="expression" dxfId="185" priority="194">
      <formula>$AD$2=4</formula>
    </cfRule>
    <cfRule type="expression" dxfId="184" priority="195">
      <formula>$AD$2=3</formula>
    </cfRule>
  </conditionalFormatting>
  <conditionalFormatting sqref="AD32:AJ32">
    <cfRule type="cellIs" dxfId="183" priority="188" operator="equal">
      <formula>0</formula>
    </cfRule>
    <cfRule type="expression" dxfId="182" priority="189">
      <formula>$AD$2=5</formula>
    </cfRule>
    <cfRule type="expression" dxfId="181" priority="190">
      <formula>$AD$2=0</formula>
    </cfRule>
    <cfRule type="expression" dxfId="180" priority="191">
      <formula>$AD$2=4</formula>
    </cfRule>
  </conditionalFormatting>
  <conditionalFormatting sqref="H32 AD32">
    <cfRule type="expression" dxfId="179" priority="187">
      <formula>$H$2=0</formula>
    </cfRule>
  </conditionalFormatting>
  <conditionalFormatting sqref="AD29:AJ29">
    <cfRule type="expression" dxfId="178" priority="186">
      <formula>$AD$2=1</formula>
    </cfRule>
  </conditionalFormatting>
  <conditionalFormatting sqref="H29:N29">
    <cfRule type="expression" dxfId="177" priority="184">
      <formula>$H$2=0</formula>
    </cfRule>
    <cfRule type="expression" dxfId="176" priority="185" stopIfTrue="1">
      <formula>(OR(H2="1",H2="2",H2="3"))</formula>
    </cfRule>
  </conditionalFormatting>
  <conditionalFormatting sqref="H30:N30">
    <cfRule type="expression" dxfId="175" priority="183">
      <formula>(OR(H2="2",H2="3"))</formula>
    </cfRule>
  </conditionalFormatting>
  <conditionalFormatting sqref="H31:N31">
    <cfRule type="cellIs" dxfId="174" priority="181" operator="equal">
      <formula>0</formula>
    </cfRule>
    <cfRule type="expression" dxfId="173" priority="182">
      <formula>(H2="3")</formula>
    </cfRule>
  </conditionalFormatting>
  <conditionalFormatting sqref="AD29:AJ29">
    <cfRule type="expression" dxfId="172" priority="179">
      <formula>$H$2=0</formula>
    </cfRule>
    <cfRule type="expression" dxfId="171" priority="180" stopIfTrue="1">
      <formula>(OR(AD2="1",AD2="2",AD2="3"))</formula>
    </cfRule>
  </conditionalFormatting>
  <conditionalFormatting sqref="AD30:AJ30">
    <cfRule type="expression" dxfId="170" priority="178">
      <formula>(OR(AD2="2",AD2="3"))</formula>
    </cfRule>
  </conditionalFormatting>
  <conditionalFormatting sqref="AD31">
    <cfRule type="expression" dxfId="169" priority="177">
      <formula>(AD2="3")</formula>
    </cfRule>
  </conditionalFormatting>
  <conditionalFormatting sqref="H33:N33">
    <cfRule type="cellIs" dxfId="168" priority="156" operator="equal">
      <formula>0</formula>
    </cfRule>
  </conditionalFormatting>
  <conditionalFormatting sqref="H32:N32">
    <cfRule type="cellIs" dxfId="167" priority="155" operator="equal">
      <formula>0</formula>
    </cfRule>
  </conditionalFormatting>
  <conditionalFormatting sqref="AD33:AJ33">
    <cfRule type="cellIs" dxfId="166" priority="153" operator="equal">
      <formula>0</formula>
    </cfRule>
  </conditionalFormatting>
  <conditionalFormatting sqref="AD31:AJ31">
    <cfRule type="cellIs" dxfId="165" priority="152" operator="equal">
      <formula>0</formula>
    </cfRule>
  </conditionalFormatting>
  <conditionalFormatting sqref="Q14:S15">
    <cfRule type="cellIs" dxfId="164" priority="108" operator="equal">
      <formula>0</formula>
    </cfRule>
  </conditionalFormatting>
  <conditionalFormatting sqref="C8:F9">
    <cfRule type="expression" dxfId="163" priority="97">
      <formula>(OR($E$2=3,$E$2=4,$E$2=5))</formula>
    </cfRule>
  </conditionalFormatting>
  <conditionalFormatting sqref="AF8:AI9">
    <cfRule type="expression" dxfId="162" priority="2">
      <formula>(OR($E$2=3,$E$2=4,$E$2=5))</formula>
    </cfRule>
  </conditionalFormatting>
  <conditionalFormatting sqref="Y8:AB9">
    <cfRule type="cellIs" dxfId="161" priority="1" operator="equal">
      <formula>0</formula>
    </cfRule>
  </conditionalFormatting>
  <pageMargins left="0.7" right="0.7" top="0.75" bottom="0.75" header="0.3" footer="0.3"/>
  <pageSetup paperSize="9" scale="80" orientation="landscape" horizontalDpi="4294967292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9">
    <tabColor rgb="FF66FF33"/>
    <pageSetUpPr fitToPage="1"/>
  </sheetPr>
  <dimension ref="A1:AR35"/>
  <sheetViews>
    <sheetView workbookViewId="0"/>
  </sheetViews>
  <sheetFormatPr baseColWidth="10" defaultRowHeight="15"/>
  <cols>
    <col min="1" max="1" width="4" customWidth="1"/>
    <col min="2" max="2" width="5.140625" customWidth="1"/>
    <col min="3" max="3" width="6.42578125" customWidth="1"/>
    <col min="4" max="4" width="11.28515625" customWidth="1"/>
    <col min="5" max="5" width="4.42578125" customWidth="1"/>
    <col min="6" max="6" width="13.5703125" customWidth="1"/>
    <col min="7" max="7" width="6" customWidth="1"/>
    <col min="8" max="8" width="5.140625" customWidth="1"/>
    <col min="9" max="9" width="5.5703125" customWidth="1"/>
    <col min="10" max="10" width="5" customWidth="1"/>
    <col min="11" max="11" width="6.28515625" customWidth="1"/>
    <col min="12" max="12" width="4.42578125" customWidth="1"/>
    <col min="13" max="13" width="13" customWidth="1"/>
    <col min="14" max="14" width="6.28515625" customWidth="1"/>
    <col min="15" max="15" width="4.42578125" customWidth="1"/>
    <col min="16" max="16" width="6.42578125" customWidth="1"/>
    <col min="17" max="17" width="7.7109375" customWidth="1"/>
    <col min="18" max="18" width="7.42578125" customWidth="1"/>
    <col min="19" max="19" width="9.7109375" customWidth="1"/>
    <col min="20" max="20" width="6" customWidth="1"/>
    <col min="21" max="21" width="5.42578125" customWidth="1"/>
    <col min="22" max="22" width="5.140625" customWidth="1"/>
    <col min="23" max="23" width="6.42578125" customWidth="1"/>
    <col min="24" max="24" width="7" customWidth="1"/>
    <col min="25" max="25" width="4.42578125" customWidth="1"/>
    <col min="26" max="26" width="7.42578125" customWidth="1"/>
    <col min="27" max="27" width="6" customWidth="1"/>
    <col min="28" max="28" width="8.42578125" customWidth="1"/>
    <col min="29" max="29" width="5.5703125" customWidth="1"/>
    <col min="30" max="30" width="5" customWidth="1"/>
    <col min="31" max="31" width="6.28515625" customWidth="1"/>
    <col min="32" max="32" width="4.42578125" customWidth="1"/>
    <col min="33" max="33" width="13" customWidth="1"/>
    <col min="34" max="36" width="6" customWidth="1"/>
    <col min="37" max="37" width="7.7109375" customWidth="1"/>
    <col min="38" max="38" width="5.28515625" customWidth="1"/>
    <col min="39" max="39" width="12.28515625" customWidth="1"/>
    <col min="40" max="40" width="6" customWidth="1"/>
    <col min="43" max="43" width="7.140625" customWidth="1"/>
    <col min="44" max="44" width="6.28515625" customWidth="1"/>
  </cols>
  <sheetData>
    <row r="1" spans="1:44" ht="21.75" thickBot="1">
      <c r="A1" s="1"/>
      <c r="B1" s="1443" t="s">
        <v>51</v>
      </c>
      <c r="C1" s="1415"/>
      <c r="D1" s="1415"/>
      <c r="E1" s="1415">
        <f>Rens.!J1</f>
        <v>0</v>
      </c>
      <c r="F1" s="1415"/>
      <c r="G1" s="1415"/>
      <c r="H1" s="18">
        <f ca="1">Rens.!$D$3</f>
        <v>2021</v>
      </c>
      <c r="I1" s="1415" t="str">
        <f>Rens.!$J$3</f>
        <v>Quadrette</v>
      </c>
      <c r="J1" s="1415"/>
      <c r="K1" s="1415"/>
      <c r="L1" s="1415"/>
      <c r="M1" s="19" t="e">
        <f>Rens.!#REF!</f>
        <v>#REF!</v>
      </c>
      <c r="N1" s="1443" t="s">
        <v>23</v>
      </c>
      <c r="O1" s="1415"/>
      <c r="P1" s="1415"/>
      <c r="Q1" s="1415"/>
      <c r="R1" s="1415"/>
      <c r="S1" s="1447"/>
      <c r="T1" s="4">
        <f>Rens.!$E$8</f>
        <v>0</v>
      </c>
      <c r="W1" s="1"/>
      <c r="X1" s="1443" t="s">
        <v>51</v>
      </c>
      <c r="Y1" s="1415"/>
      <c r="Z1" s="1415"/>
      <c r="AA1" s="1415">
        <f>Rens.!J1</f>
        <v>0</v>
      </c>
      <c r="AB1" s="1415"/>
      <c r="AC1" s="1415"/>
      <c r="AD1" s="9">
        <f ca="1">Rens.!$D$3</f>
        <v>2021</v>
      </c>
      <c r="AE1" s="1415" t="str">
        <f>Rens.!$J$3</f>
        <v>Quadrette</v>
      </c>
      <c r="AF1" s="1415"/>
      <c r="AG1" s="1415"/>
      <c r="AH1" s="1415"/>
      <c r="AI1" s="10" t="e">
        <f>Rens.!#REF!</f>
        <v>#REF!</v>
      </c>
      <c r="AJ1" s="1443" t="s">
        <v>23</v>
      </c>
      <c r="AK1" s="1415"/>
      <c r="AL1" s="1415"/>
      <c r="AM1" s="1415"/>
      <c r="AN1" s="1415"/>
      <c r="AO1" s="1447"/>
      <c r="AP1" s="5">
        <f>Rens.!$E$8</f>
        <v>0</v>
      </c>
      <c r="AQ1" s="8"/>
    </row>
    <row r="2" spans="1:44" ht="18.75" customHeight="1" thickBot="1">
      <c r="A2" s="1"/>
      <c r="B2" s="1443" t="s">
        <v>34</v>
      </c>
      <c r="C2" s="1415"/>
      <c r="D2" s="1415"/>
      <c r="E2" s="16" t="e">
        <f>Rens.!#REF!</f>
        <v>#REF!</v>
      </c>
      <c r="F2" s="1415" t="s">
        <v>19</v>
      </c>
      <c r="G2" s="1415"/>
      <c r="H2" s="7" t="e">
        <f>Rens.!#REF!</f>
        <v>#REF!</v>
      </c>
      <c r="I2" s="1415" t="s">
        <v>20</v>
      </c>
      <c r="J2" s="1415"/>
      <c r="K2" s="1415"/>
      <c r="L2" s="1415"/>
      <c r="M2" s="1415"/>
      <c r="N2" s="1415"/>
      <c r="O2" s="1415"/>
      <c r="P2" s="1415"/>
      <c r="Q2" s="1415"/>
      <c r="R2" s="1415"/>
      <c r="S2" s="1415"/>
      <c r="T2" s="1447"/>
      <c r="W2" s="1"/>
      <c r="X2" s="1443" t="s">
        <v>35</v>
      </c>
      <c r="Y2" s="1415"/>
      <c r="Z2" s="1415"/>
      <c r="AA2" s="6" t="e">
        <f>Rens.!#REF!</f>
        <v>#REF!</v>
      </c>
      <c r="AB2" s="1415" t="s">
        <v>19</v>
      </c>
      <c r="AC2" s="1415"/>
      <c r="AD2" s="12" t="e">
        <f>Rens.!#REF!</f>
        <v>#REF!</v>
      </c>
      <c r="AE2" s="1415" t="s">
        <v>20</v>
      </c>
      <c r="AF2" s="1415"/>
      <c r="AG2" s="1415"/>
      <c r="AH2" s="1415"/>
      <c r="AI2" s="1415"/>
      <c r="AJ2" s="1415"/>
      <c r="AK2" s="1415"/>
      <c r="AL2" s="1415"/>
      <c r="AM2" s="1415"/>
      <c r="AN2" s="1415"/>
      <c r="AO2" s="1415"/>
      <c r="AP2" s="1447"/>
      <c r="AQ2" s="8"/>
    </row>
    <row r="3" spans="1:44" ht="15" customHeight="1" thickBot="1">
      <c r="A3" s="38"/>
      <c r="B3" s="43"/>
      <c r="C3" s="44"/>
      <c r="D3" s="44"/>
      <c r="E3" s="44"/>
      <c r="F3" s="76" t="e">
        <f>CONCATENATE(E2,H2)</f>
        <v>#REF!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  <c r="U3" s="44"/>
      <c r="V3" s="44"/>
      <c r="W3" s="38"/>
      <c r="X3" s="43"/>
      <c r="Y3" s="44"/>
      <c r="Z3" s="44"/>
      <c r="AA3" s="39"/>
      <c r="AB3" s="77" t="e">
        <f>CONCATENATE(AA2,AD2)</f>
        <v>#REF!</v>
      </c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5"/>
      <c r="AQ3" s="40"/>
      <c r="AR3" s="40"/>
    </row>
    <row r="4" spans="1:44" ht="15.75" thickBot="1">
      <c r="A4" s="38"/>
      <c r="B4" s="43"/>
      <c r="C4" s="1444" t="s">
        <v>62</v>
      </c>
      <c r="D4" s="1445"/>
      <c r="E4" s="1445"/>
      <c r="F4" s="1445"/>
      <c r="G4" s="1445"/>
      <c r="H4" s="1445"/>
      <c r="I4" s="1445"/>
      <c r="J4" s="1445"/>
      <c r="K4" s="1445"/>
      <c r="L4" s="1445"/>
      <c r="M4" s="1445"/>
      <c r="N4" s="1445"/>
      <c r="O4" s="1445"/>
      <c r="P4" s="1445"/>
      <c r="Q4" s="1445"/>
      <c r="R4" s="1445"/>
      <c r="S4" s="1446"/>
      <c r="T4" s="1448"/>
      <c r="U4" s="46"/>
      <c r="V4" s="46"/>
      <c r="W4" s="38"/>
      <c r="X4" s="43"/>
      <c r="Y4" s="1444" t="s">
        <v>62</v>
      </c>
      <c r="Z4" s="1445"/>
      <c r="AA4" s="1445"/>
      <c r="AB4" s="1445"/>
      <c r="AC4" s="1445"/>
      <c r="AD4" s="1445"/>
      <c r="AE4" s="1445"/>
      <c r="AF4" s="1445"/>
      <c r="AG4" s="1445"/>
      <c r="AH4" s="1445"/>
      <c r="AI4" s="1445"/>
      <c r="AJ4" s="1445"/>
      <c r="AK4" s="1445"/>
      <c r="AL4" s="1445"/>
      <c r="AM4" s="1445"/>
      <c r="AN4" s="1445"/>
      <c r="AO4" s="1446"/>
      <c r="AP4" s="1448"/>
      <c r="AQ4" s="40"/>
      <c r="AR4" s="40"/>
    </row>
    <row r="5" spans="1:44">
      <c r="A5" s="38"/>
      <c r="B5" s="43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448"/>
      <c r="U5" s="46"/>
      <c r="V5" s="46"/>
      <c r="W5" s="38"/>
      <c r="X5" s="43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1448"/>
      <c r="AQ5" s="40"/>
      <c r="AR5" s="40"/>
    </row>
    <row r="6" spans="1:44" ht="15.75" thickBot="1">
      <c r="A6" s="38"/>
      <c r="B6" s="43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  <c r="S6" s="44"/>
      <c r="T6" s="45"/>
      <c r="U6" s="44"/>
      <c r="V6" s="44"/>
      <c r="W6" s="38"/>
      <c r="X6" s="43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8"/>
      <c r="AO6" s="44"/>
      <c r="AP6" s="45"/>
      <c r="AQ6" s="40"/>
      <c r="AR6" s="40"/>
    </row>
    <row r="7" spans="1:44" ht="15.75" thickBot="1">
      <c r="A7" s="38"/>
      <c r="B7" s="49" t="s">
        <v>6</v>
      </c>
      <c r="C7" s="50" t="s">
        <v>14</v>
      </c>
      <c r="D7" s="39"/>
      <c r="E7" s="47"/>
      <c r="F7" s="47"/>
      <c r="G7" s="44" t="s">
        <v>5</v>
      </c>
      <c r="H7" s="44"/>
      <c r="I7" s="44" t="s">
        <v>6</v>
      </c>
      <c r="J7" s="50" t="e">
        <f>IF(E2=2,"","C")</f>
        <v>#REF!</v>
      </c>
      <c r="K7" s="39"/>
      <c r="L7" s="47"/>
      <c r="M7" s="47"/>
      <c r="N7" s="44" t="s">
        <v>5</v>
      </c>
      <c r="O7" s="44"/>
      <c r="P7" s="44"/>
      <c r="Q7" s="50" t="s">
        <v>41</v>
      </c>
      <c r="R7" s="47"/>
      <c r="S7" s="47" t="s">
        <v>59</v>
      </c>
      <c r="T7" s="51"/>
      <c r="U7" s="47"/>
      <c r="V7" s="47"/>
      <c r="W7" s="38"/>
      <c r="X7" s="49" t="s">
        <v>6</v>
      </c>
      <c r="Y7" s="50" t="s">
        <v>14</v>
      </c>
      <c r="Z7" s="39"/>
      <c r="AA7" s="47"/>
      <c r="AB7" s="47"/>
      <c r="AC7" s="44" t="s">
        <v>5</v>
      </c>
      <c r="AD7" s="44"/>
      <c r="AE7" s="44" t="s">
        <v>6</v>
      </c>
      <c r="AF7" s="50" t="e">
        <f>IF(AA2=2,"","C")</f>
        <v>#REF!</v>
      </c>
      <c r="AG7" s="39"/>
      <c r="AH7" s="47"/>
      <c r="AI7" s="47"/>
      <c r="AJ7" s="44" t="s">
        <v>5</v>
      </c>
      <c r="AK7" s="44"/>
      <c r="AL7" s="44"/>
      <c r="AM7" s="50" t="s">
        <v>41</v>
      </c>
      <c r="AN7" s="47"/>
      <c r="AO7" s="47" t="s">
        <v>59</v>
      </c>
      <c r="AP7" s="51"/>
      <c r="AQ7" s="40"/>
      <c r="AR7" s="40"/>
    </row>
    <row r="8" spans="1:44" ht="15.75" thickBot="1">
      <c r="A8" s="52">
        <v>61</v>
      </c>
      <c r="B8" s="1325"/>
      <c r="C8" s="1305" t="str">
        <f>IF(ISNA(MATCH($A$8,Rens.!$U$5:$U$81,0)),"",INDEX(Rens.!$S$5:$S$81,MATCH($A$8,Rens.!$U$5:$U$81,0)))</f>
        <v/>
      </c>
      <c r="D8" s="1306"/>
      <c r="E8" s="1306"/>
      <c r="F8" s="1307"/>
      <c r="G8" s="53">
        <v>1</v>
      </c>
      <c r="H8" s="54">
        <v>63</v>
      </c>
      <c r="I8" s="1325"/>
      <c r="J8" s="1338" t="str">
        <f>IF(ISNA(MATCH($H$8,Rens.!$U$5:$U$81,0)),"",INDEX(Rens.!$S$5:$S$81,MATCH($H$8,Rens.!$U$5:$U$81,0)))</f>
        <v/>
      </c>
      <c r="K8" s="1339"/>
      <c r="L8" s="1339"/>
      <c r="M8" s="1340"/>
      <c r="N8" s="53">
        <v>1</v>
      </c>
      <c r="O8" s="44"/>
      <c r="P8" s="47">
        <v>65</v>
      </c>
      <c r="Q8" s="1417" t="e">
        <f>IF(E2+E3=4,0,IF(E2+E3=3,0,IF(ISNA(MATCH($P$8,Rens.!$U$5:$U$81,0)),"",INDEX(Rens.!$S$5:$S$81,MATCH($P$8,Rens.!$U$5:$U$81,0)))))</f>
        <v>#REF!</v>
      </c>
      <c r="R8" s="1418"/>
      <c r="S8" s="1419"/>
      <c r="T8" s="55"/>
      <c r="U8" s="47"/>
      <c r="V8" s="47"/>
      <c r="W8" s="38">
        <v>66</v>
      </c>
      <c r="X8" s="1325"/>
      <c r="Y8" s="1305" t="str">
        <f>IF(ISNA(MATCH($W$8,Rens.!$U$5:$U$81,0)),"",INDEX(Rens.!$S$5:$S$81,MATCH($W$8,Rens.!$U$5:$U$81,0)))</f>
        <v/>
      </c>
      <c r="Z8" s="1306"/>
      <c r="AA8" s="1306"/>
      <c r="AB8" s="1307"/>
      <c r="AC8" s="53">
        <v>1</v>
      </c>
      <c r="AD8" s="54">
        <v>68</v>
      </c>
      <c r="AE8" s="1325"/>
      <c r="AF8" s="1305" t="str">
        <f>IF(ISNA(MATCH($AD$8,Rens.!$U$5:$U$81,0)),"",INDEX(Rens.!$S$5:$S$81,MATCH($AD$8,Rens.!$U$5:$U$81,0)))</f>
        <v/>
      </c>
      <c r="AG8" s="1306"/>
      <c r="AH8" s="1306"/>
      <c r="AI8" s="1307"/>
      <c r="AJ8" s="53">
        <v>1</v>
      </c>
      <c r="AK8" s="44"/>
      <c r="AL8" s="47">
        <v>70</v>
      </c>
      <c r="AM8" s="1417" t="e">
        <f>IF($AA$2+$AA$3=4,0,IF($AA$2+$AA$3=3,0,IF(ISNA(MATCH($AL$8,Rens.!$U$5:$U$81,0)),"",INDEX(Rens.!$S$5:$S$81,MATCH($AL$8,Rens.!$U$5:$U$81,0)))))</f>
        <v>#REF!</v>
      </c>
      <c r="AN8" s="1418"/>
      <c r="AO8" s="1419"/>
      <c r="AP8" s="55"/>
      <c r="AQ8" s="40"/>
      <c r="AR8" s="40"/>
    </row>
    <row r="9" spans="1:44" ht="15.75" thickBot="1">
      <c r="A9" s="52">
        <v>62</v>
      </c>
      <c r="B9" s="1326"/>
      <c r="C9" s="1341" t="str">
        <f>IF(ISNA(MATCH($A$9,Rens.!$U$5:$U$81,0)),"",INDEX(Rens.!$S$5:$S$81,MATCH($A$9,Rens.!$U$5:$U$81,0)))</f>
        <v/>
      </c>
      <c r="D9" s="1342"/>
      <c r="E9" s="1342"/>
      <c r="F9" s="1343"/>
      <c r="G9" s="80">
        <v>0</v>
      </c>
      <c r="H9" s="54">
        <v>64</v>
      </c>
      <c r="I9" s="1326"/>
      <c r="J9" s="1344" t="s">
        <v>67</v>
      </c>
      <c r="K9" s="1342"/>
      <c r="L9" s="1342"/>
      <c r="M9" s="1343"/>
      <c r="N9" s="53">
        <v>0</v>
      </c>
      <c r="O9" s="44"/>
      <c r="P9" s="47"/>
      <c r="Q9" s="56" t="e">
        <f>IF(ISNA(MATCH($P$8,#REF!,0)),"",INDEX(#REF!,MATCH($P$8,#REF!,0)))</f>
        <v>#REF!</v>
      </c>
      <c r="R9" s="47"/>
      <c r="S9" s="47"/>
      <c r="T9" s="51"/>
      <c r="U9" s="47"/>
      <c r="V9" s="47"/>
      <c r="W9" s="38">
        <v>67</v>
      </c>
      <c r="X9" s="1326"/>
      <c r="Y9" s="1341" t="str">
        <f>IF(ISNA(MATCH($W$9,Rens.!$U$5:$U$81,0)),"",INDEX(Rens.!$S$5:$S$81,MATCH($W$9,Rens.!$U$5:$U$81,0)))</f>
        <v/>
      </c>
      <c r="Z9" s="1342"/>
      <c r="AA9" s="1342"/>
      <c r="AB9" s="1343"/>
      <c r="AC9" s="80">
        <v>0</v>
      </c>
      <c r="AD9" s="54">
        <v>69</v>
      </c>
      <c r="AE9" s="1326"/>
      <c r="AF9" s="1344"/>
      <c r="AG9" s="1342"/>
      <c r="AH9" s="1342"/>
      <c r="AI9" s="1343"/>
      <c r="AJ9" s="53">
        <v>0</v>
      </c>
      <c r="AK9" s="44"/>
      <c r="AL9" s="47"/>
      <c r="AM9" s="56" t="e">
        <f>IF(ISNA(MATCH($AL$8,#REF!,0)),"",INDEX(#REF!,MATCH($AL$8,#REF!,0)))</f>
        <v>#REF!</v>
      </c>
      <c r="AN9" s="47"/>
      <c r="AO9" s="47"/>
      <c r="AP9" s="51"/>
      <c r="AQ9" s="40"/>
      <c r="AR9" s="40"/>
    </row>
    <row r="10" spans="1:44" ht="15.75" thickBot="1">
      <c r="A10" s="38"/>
      <c r="B10" s="43"/>
      <c r="C10" s="92" t="s">
        <v>15</v>
      </c>
      <c r="D10" s="39"/>
      <c r="E10" s="47"/>
      <c r="F10" s="47"/>
      <c r="G10" s="47"/>
      <c r="H10" s="47"/>
      <c r="I10" s="47"/>
      <c r="J10" s="50" t="s">
        <v>40</v>
      </c>
      <c r="K10" s="39"/>
      <c r="L10" s="47"/>
      <c r="M10" s="47"/>
      <c r="N10" s="47"/>
      <c r="O10" s="47"/>
      <c r="P10" s="47"/>
      <c r="Q10" s="47"/>
      <c r="R10" s="47"/>
      <c r="S10" s="47"/>
      <c r="T10" s="51"/>
      <c r="U10" s="47"/>
      <c r="V10" s="47"/>
      <c r="W10" s="38"/>
      <c r="X10" s="43"/>
      <c r="Y10" s="92" t="s">
        <v>15</v>
      </c>
      <c r="Z10" s="39"/>
      <c r="AA10" s="47"/>
      <c r="AB10" s="47"/>
      <c r="AC10" s="47"/>
      <c r="AD10" s="47"/>
      <c r="AE10" s="47"/>
      <c r="AF10" s="50" t="s">
        <v>40</v>
      </c>
      <c r="AG10" s="39"/>
      <c r="AH10" s="47"/>
      <c r="AI10" s="47"/>
      <c r="AJ10" s="47"/>
      <c r="AK10" s="47"/>
      <c r="AL10" s="47"/>
      <c r="AM10" s="47"/>
      <c r="AN10" s="47"/>
      <c r="AO10" s="47"/>
      <c r="AP10" s="51"/>
      <c r="AQ10" s="40"/>
      <c r="AR10" s="40"/>
    </row>
    <row r="11" spans="1:44">
      <c r="A11" s="38"/>
      <c r="B11" s="43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51"/>
      <c r="U11" s="47"/>
      <c r="V11" s="47"/>
      <c r="W11" s="38"/>
      <c r="X11" s="43"/>
      <c r="Y11" s="48"/>
      <c r="Z11" s="48"/>
      <c r="AA11" s="48"/>
      <c r="AB11" s="48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51"/>
      <c r="AQ11" s="40"/>
      <c r="AR11" s="40"/>
    </row>
    <row r="12" spans="1:44">
      <c r="A12" s="38"/>
      <c r="B12" s="43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51"/>
      <c r="U12" s="47"/>
      <c r="V12" s="47"/>
      <c r="W12" s="38"/>
      <c r="X12" s="43"/>
      <c r="Y12" s="48"/>
      <c r="Z12" s="48"/>
      <c r="AA12" s="48"/>
      <c r="AB12" s="48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51"/>
      <c r="AQ12" s="40"/>
      <c r="AR12" s="40"/>
    </row>
    <row r="13" spans="1:44" ht="15.75" thickBot="1">
      <c r="A13" s="38"/>
      <c r="B13" s="49" t="s">
        <v>6</v>
      </c>
      <c r="C13" s="47"/>
      <c r="D13" s="78" t="s">
        <v>58</v>
      </c>
      <c r="E13" s="47"/>
      <c r="F13" s="47"/>
      <c r="G13" s="44" t="s">
        <v>5</v>
      </c>
      <c r="H13" s="44"/>
      <c r="I13" s="47"/>
      <c r="J13" s="47"/>
      <c r="K13" s="47"/>
      <c r="L13" s="47" t="s">
        <v>59</v>
      </c>
      <c r="M13" s="47"/>
      <c r="N13" s="47"/>
      <c r="O13" s="47"/>
      <c r="P13" s="44" t="s">
        <v>6</v>
      </c>
      <c r="Q13" s="47"/>
      <c r="R13" s="78" t="s">
        <v>57</v>
      </c>
      <c r="S13" s="47"/>
      <c r="T13" s="44" t="s">
        <v>5</v>
      </c>
      <c r="U13" s="57"/>
      <c r="V13" s="58"/>
      <c r="W13" s="38"/>
      <c r="X13" s="59" t="s">
        <v>6</v>
      </c>
      <c r="Y13" s="48"/>
      <c r="Z13" s="48" t="s">
        <v>58</v>
      </c>
      <c r="AA13" s="48"/>
      <c r="AB13" s="48"/>
      <c r="AC13" s="44" t="s">
        <v>5</v>
      </c>
      <c r="AD13" s="44"/>
      <c r="AE13" s="47"/>
      <c r="AF13" s="47"/>
      <c r="AG13" s="47"/>
      <c r="AH13" s="47" t="s">
        <v>59</v>
      </c>
      <c r="AI13" s="47"/>
      <c r="AJ13" s="47"/>
      <c r="AK13" s="47"/>
      <c r="AL13" s="44" t="s">
        <v>6</v>
      </c>
      <c r="AM13" s="47"/>
      <c r="AN13" s="47" t="s">
        <v>57</v>
      </c>
      <c r="AO13" s="47"/>
      <c r="AP13" s="45" t="s">
        <v>5</v>
      </c>
      <c r="AQ13" s="58"/>
      <c r="AR13" s="58"/>
    </row>
    <row r="14" spans="1:44" ht="15.75" thickBot="1">
      <c r="A14" s="38"/>
      <c r="B14" s="1325"/>
      <c r="C14" s="1305" t="str">
        <f>IF($G$8=$G$9,"résultat",IF($G$8&gt;$G$9,$C$9,$C$8))</f>
        <v/>
      </c>
      <c r="D14" s="1336"/>
      <c r="E14" s="1336"/>
      <c r="F14" s="1337"/>
      <c r="G14" s="53">
        <v>1</v>
      </c>
      <c r="H14" s="44"/>
      <c r="I14" s="47"/>
      <c r="J14" s="1370" t="b">
        <f>IF(ISTEXT($Q$8),IF(($G$9=$G$8),"résultat",IF(($N$9=$N$8),"résultat",IF(($U$14=2),$C$8,IF(($V$14=2),$C$9,IF(($U$15=2),$J$9,IF(($V$15=2),J8,0)))))))</f>
        <v>0</v>
      </c>
      <c r="K14" s="1371"/>
      <c r="L14" s="1371"/>
      <c r="M14" s="1372"/>
      <c r="N14" s="55"/>
      <c r="O14" s="47"/>
      <c r="P14" s="1325"/>
      <c r="Q14" s="1364" t="e">
        <f>IF($E$2+$E$3=5,$Q$8,IF($N$8=$N$9,"résultat",IF($N$8&gt;$N$9,$J$8,$J$9)))</f>
        <v>#REF!</v>
      </c>
      <c r="R14" s="1365"/>
      <c r="S14" s="1366"/>
      <c r="T14" s="61">
        <v>1</v>
      </c>
      <c r="U14" s="62">
        <f>IF(G8&gt;G9,1)+IF(N8&gt;N9,1)</f>
        <v>2</v>
      </c>
      <c r="V14" s="63">
        <f>IF(G9&gt;G8,1)+IF(N9&gt;N8,1)</f>
        <v>0</v>
      </c>
      <c r="W14" s="38"/>
      <c r="X14" s="1325"/>
      <c r="Y14" s="1427" t="str">
        <f>IF($AC$8=$AC$9,"résultat",IF($AC$8&gt;$AC$9,$Y$9,$Y$8))</f>
        <v/>
      </c>
      <c r="Z14" s="1336"/>
      <c r="AA14" s="1336"/>
      <c r="AB14" s="1337"/>
      <c r="AC14" s="53">
        <v>1</v>
      </c>
      <c r="AD14" s="44"/>
      <c r="AE14" s="47"/>
      <c r="AF14" s="1428" t="b">
        <f>IF(ISTEXT($AM$8),IF(($AC$9=$AC$8),"résultat",IF(($AJ$9=$AJ$8),"résultat",IF(($AQ$14=2),$Y$8,IF(($AR$14=2),$Y$9,IF(($AQ$15=2),$AF$9,IF(($AR$15=2),$AF$8,0)))))))</f>
        <v>0</v>
      </c>
      <c r="AG14" s="1371"/>
      <c r="AH14" s="1371"/>
      <c r="AI14" s="1372"/>
      <c r="AJ14" s="60"/>
      <c r="AK14" s="47"/>
      <c r="AL14" s="1325"/>
      <c r="AM14" s="1364" t="e">
        <f>IF($AA$2+$AA$3=5,$AM$8,IF($AJ$8&gt;$AJ$9,$AF$8,$AF$9))</f>
        <v>#REF!</v>
      </c>
      <c r="AN14" s="1365"/>
      <c r="AO14" s="1366"/>
      <c r="AP14" s="53">
        <v>1</v>
      </c>
      <c r="AQ14" s="62">
        <f>IF(AC8&gt;AC9,1)+IF(AJ8&gt;AJ9,1)</f>
        <v>2</v>
      </c>
      <c r="AR14" s="63">
        <f>IF(AC9&gt;AC8,1)+IF(AJ9&gt;AJ8,1)</f>
        <v>0</v>
      </c>
    </row>
    <row r="15" spans="1:44" ht="15.75" thickBot="1">
      <c r="A15" s="38"/>
      <c r="B15" s="1326"/>
      <c r="C15" s="1333" t="str">
        <f>IF($N$8=$N$9,"résultat",IF($N$8&lt;$N$9,$J$8,$J$9))</f>
        <v>D13</v>
      </c>
      <c r="D15" s="1334"/>
      <c r="E15" s="1334"/>
      <c r="F15" s="1335"/>
      <c r="G15" s="64">
        <v>0</v>
      </c>
      <c r="H15" s="44"/>
      <c r="I15" s="47"/>
      <c r="J15" s="65">
        <f>IF(ISTEXT(J14)," ",0)</f>
        <v>0</v>
      </c>
      <c r="K15" s="47"/>
      <c r="L15" s="47"/>
      <c r="M15" s="47"/>
      <c r="N15" s="47"/>
      <c r="O15" s="47"/>
      <c r="P15" s="1326"/>
      <c r="Q15" s="1333" t="b">
        <f>IF(ISBLANK($Q$8),IF($G$8&gt;$G$9,$C$8,$C$9),IF(ISNUMBER($Q$8),IF(G8=G9,"résultat",IF($G$8&gt;$G$9,$C$8,$C$9)),IF(ISTEXT($Q$8),IF(($G$9=$G$8),"résultat",IF(($N$9=$N$8),"résultat",IF(($U$14=2),$J$8,IF(($V$14=2),$J$9,IF(($U$15=2),$C$8,IF(($V$15=2),$C$9)))))))))</f>
        <v>0</v>
      </c>
      <c r="R15" s="1334"/>
      <c r="S15" s="1335"/>
      <c r="T15" s="80">
        <v>0</v>
      </c>
      <c r="U15" s="66">
        <f>IF(G8&gt;G9,1)+IF(N9&gt;N8,1)</f>
        <v>1</v>
      </c>
      <c r="V15" s="67">
        <f>IF(G9&gt;G8,1)+IF(N8&gt;N9,1)</f>
        <v>1</v>
      </c>
      <c r="W15" s="38"/>
      <c r="X15" s="1326"/>
      <c r="Y15" s="1333">
        <f>IF($AJ$8=$AJ$9,"résultat",IF($AJ$8&lt;$AJ$9,$AF$8,$AF$9))</f>
        <v>0</v>
      </c>
      <c r="Z15" s="1334"/>
      <c r="AA15" s="1334"/>
      <c r="AB15" s="1335"/>
      <c r="AC15" s="53">
        <v>0</v>
      </c>
      <c r="AD15" s="44"/>
      <c r="AE15" s="47"/>
      <c r="AF15" s="47"/>
      <c r="AG15" s="47"/>
      <c r="AH15" s="47"/>
      <c r="AI15" s="47"/>
      <c r="AJ15" s="47"/>
      <c r="AK15" s="47"/>
      <c r="AL15" s="1326"/>
      <c r="AM15" s="1333" t="b">
        <f>IF(ISBLANK($AM$8),IF($AC$8&gt;$AC$9,$Y$8,$Y$9),IF(ISNUMBER($AM$8),IF($AC$8&gt;$AC$9,$Y$8,$Y$9),IF(ISTEXT($AM$8),IF(($AC$9=$AC$8),"résultat",IF(($AJ$9=$AJ$8),"résultat",IF(($AQ$14=2),$AF$8,IF(($AR$14=2),$AF$9,IF(($AQ$15=2),$Y$8,IF(($AR$15=2),$Y$9)))))))))</f>
        <v>0</v>
      </c>
      <c r="AN15" s="1334"/>
      <c r="AO15" s="1335"/>
      <c r="AP15" s="79">
        <v>0</v>
      </c>
      <c r="AQ15" s="66">
        <f>IF(AC8&gt;AC9,1)+IF(AJ9&gt;AJ8,1)</f>
        <v>1</v>
      </c>
      <c r="AR15" s="67">
        <f>IF(AC9&gt;AC8,1)+IF(AJ8&gt;AJ9,1)</f>
        <v>1</v>
      </c>
    </row>
    <row r="16" spans="1:44">
      <c r="A16" s="38"/>
      <c r="B16" s="43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68"/>
      <c r="Q16" s="47"/>
      <c r="R16" s="47"/>
      <c r="S16" s="47"/>
      <c r="T16" s="51"/>
      <c r="U16" s="47"/>
      <c r="V16" s="47"/>
      <c r="W16" s="38"/>
      <c r="X16" s="43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51"/>
      <c r="AQ16" s="40"/>
      <c r="AR16" s="40"/>
    </row>
    <row r="17" spans="1:44">
      <c r="A17" s="38"/>
      <c r="B17" s="43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51"/>
      <c r="U17" s="47"/>
      <c r="V17" s="47"/>
      <c r="W17" s="38"/>
      <c r="X17" s="43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51"/>
      <c r="AQ17" s="40"/>
      <c r="AR17" s="40"/>
    </row>
    <row r="18" spans="1:44">
      <c r="A18" s="38"/>
      <c r="B18" s="43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2"/>
      <c r="T18" s="51"/>
      <c r="U18" s="47"/>
      <c r="V18" s="47"/>
      <c r="W18" s="38"/>
      <c r="X18" s="43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51"/>
      <c r="AQ18" s="40"/>
      <c r="AR18" s="40"/>
    </row>
    <row r="19" spans="1:44" ht="15.75" thickBot="1">
      <c r="A19" s="38"/>
      <c r="B19" s="43"/>
      <c r="C19" s="47"/>
      <c r="D19" s="47"/>
      <c r="E19" s="44" t="s">
        <v>6</v>
      </c>
      <c r="F19" s="47"/>
      <c r="G19" s="47"/>
      <c r="H19" s="47"/>
      <c r="I19" s="47"/>
      <c r="J19" s="44" t="s">
        <v>5</v>
      </c>
      <c r="K19" s="44"/>
      <c r="L19" s="44" t="s">
        <v>6</v>
      </c>
      <c r="M19" s="47"/>
      <c r="N19" s="47"/>
      <c r="O19" s="47"/>
      <c r="P19" s="47"/>
      <c r="Q19" s="44" t="s">
        <v>5</v>
      </c>
      <c r="R19" s="47"/>
      <c r="S19" s="47"/>
      <c r="T19" s="51"/>
      <c r="U19" s="69"/>
      <c r="V19" s="47"/>
      <c r="W19" s="38"/>
      <c r="X19" s="43"/>
      <c r="Y19" s="47"/>
      <c r="Z19" s="47"/>
      <c r="AA19" s="44" t="s">
        <v>6</v>
      </c>
      <c r="AB19" s="47"/>
      <c r="AC19" s="47"/>
      <c r="AD19" s="47"/>
      <c r="AE19" s="47"/>
      <c r="AF19" s="44" t="s">
        <v>5</v>
      </c>
      <c r="AG19" s="44"/>
      <c r="AH19" s="44" t="s">
        <v>6</v>
      </c>
      <c r="AI19" s="47"/>
      <c r="AJ19" s="47"/>
      <c r="AK19" s="47"/>
      <c r="AL19" s="47"/>
      <c r="AM19" s="44" t="s">
        <v>5</v>
      </c>
      <c r="AN19" s="47"/>
      <c r="AO19" s="47"/>
      <c r="AP19" s="51"/>
      <c r="AQ19" s="40"/>
      <c r="AR19" s="40"/>
    </row>
    <row r="20" spans="1:44" ht="15.75" thickBot="1">
      <c r="A20" s="38"/>
      <c r="B20" s="43"/>
      <c r="C20" s="47"/>
      <c r="D20" s="47"/>
      <c r="E20" s="1325"/>
      <c r="F20" s="1341" t="e">
        <f>IF($F$3+$G$3=53,IF($G$14=$G$15,"résultat",IF($G$14&gt;$G$15,$C$14,$C$15)),IF($F$3+$G$3=52,IF($G$14=$G$15,"résultat",IF($G$14&gt;$G$15,$C$14,$C$15)),IF($F$3+$G$3=42,"0",IF($F$3+$G$3=43,"0",IF($F$3+$G$3=32,IF(0&gt;0,0,0),IF($F$3+$G$3=31,IF($T$14=$T$15,"résultat",IF($T$14&lt;$T$15,$Q$14,$Q$15))))))))</f>
        <v>#REF!</v>
      </c>
      <c r="G20" s="1345"/>
      <c r="H20" s="1345"/>
      <c r="I20" s="1346"/>
      <c r="J20" s="53">
        <v>1</v>
      </c>
      <c r="K20" s="44"/>
      <c r="L20" s="1325" t="s">
        <v>16</v>
      </c>
      <c r="M20" s="1423" t="e">
        <f>IF($E$2+$E$3=5,$J$14)</f>
        <v>#REF!</v>
      </c>
      <c r="N20" s="1368"/>
      <c r="O20" s="1368"/>
      <c r="P20" s="1369"/>
      <c r="Q20" s="53">
        <v>1</v>
      </c>
      <c r="R20" s="47"/>
      <c r="S20" s="47"/>
      <c r="T20" s="51"/>
      <c r="U20" s="47"/>
      <c r="V20" s="47"/>
      <c r="W20" s="38"/>
      <c r="X20" s="43"/>
      <c r="Y20" s="47"/>
      <c r="Z20" s="47"/>
      <c r="AA20" s="1325"/>
      <c r="AB20" s="1341" t="e">
        <f>IF($AB$3+$AC$3=53,IF($AC$14=$AC$15,"résultat",IF($AC$14&gt;$AC$15,$Y$14,$Y$15)),IF($AB$3+$AC$3=52,IF($AC$14=$AC$15,"résultat",IF($AC$14&gt;$AC$15,$Y$14,$Y$15)),IF($AB$3+$AC$3=42,"0",IF($AB$3+$AC$3=43,"0",IF($AB$3+$AC$3=32,IF(0&gt;0,0,0),IF($AB$3+$AC$3=31,IF($AP$14=$AP$15,"résultat",IF($AP$14&lt;$AP$15,$AM$14,$AM$15))))))))</f>
        <v>#REF!</v>
      </c>
      <c r="AC20" s="1345"/>
      <c r="AD20" s="1345"/>
      <c r="AE20" s="1346"/>
      <c r="AF20" s="53">
        <v>1</v>
      </c>
      <c r="AG20" s="44"/>
      <c r="AH20" s="1325" t="s">
        <v>16</v>
      </c>
      <c r="AI20" s="1423" t="e">
        <f>IF($AA$2+$AA$3=5,$AF$14)</f>
        <v>#REF!</v>
      </c>
      <c r="AJ20" s="1368"/>
      <c r="AK20" s="1368"/>
      <c r="AL20" s="1369"/>
      <c r="AM20" s="53">
        <v>1</v>
      </c>
      <c r="AN20" s="47"/>
      <c r="AO20" s="47"/>
      <c r="AP20" s="51"/>
      <c r="AQ20" s="40"/>
      <c r="AR20" s="40"/>
    </row>
    <row r="21" spans="1:44" ht="15.75" thickBot="1">
      <c r="A21" s="38"/>
      <c r="B21" s="43"/>
      <c r="C21" s="47"/>
      <c r="D21" s="47"/>
      <c r="E21" s="1326"/>
      <c r="F21" s="1341" t="e">
        <f>IF($F$3+$G$3=53,IF($T$14=$T$15,"résultat",IF($T$14&lt;$T$15,$Q$14,$Q$15)),(IF($F$3+$G$3=52,IF($T$14=$T$15,"résultat",IF($T$14&lt;$T$15,$Q$14,$Q$15)),(IF($F$3+$G$3=43,IF(0&gt;0,0,0),(IF($F$3+$G$3=42,IF(0&gt;0,0,0),(IF($F$3+$G$3=32,IF(0&lt;0,0,0),(IF($F$3+$G$3=31,IF($G$14=$G$15,"résultat",IF($G$14&gt;$G$15,$C$14,$C$15)))))))))))))</f>
        <v>#REF!</v>
      </c>
      <c r="G21" s="1342"/>
      <c r="H21" s="1342"/>
      <c r="I21" s="1343"/>
      <c r="J21" s="53">
        <v>0</v>
      </c>
      <c r="K21" s="44"/>
      <c r="L21" s="1326"/>
      <c r="M21" s="1341" t="e">
        <f>IF($F$3+$G$3=53,IF($T$14=$T$15,"résultat",IF($T$14&gt;$T$15,$Q$14,$Q$15)),(IF($F$3+$G$3=52,IF($T$14=$T$15,"résultat",IF($T$14&gt;$T$15,$Q$14,$Q$15)),(IF($F$3+$G$3=43,IF(0&gt;0,0,0),(IF($F$3+$G$3=42,IF(0&gt;0,0,0),(IF($F$3+$G$3=32,IF(0&gt;0,0,0),(IF($F$3+$G$3=31,IF(0&gt;0,0,0))))))))))))</f>
        <v>#REF!</v>
      </c>
      <c r="N21" s="1342"/>
      <c r="O21" s="1342"/>
      <c r="P21" s="1343"/>
      <c r="Q21" s="53">
        <v>0</v>
      </c>
      <c r="R21" s="47"/>
      <c r="S21" s="69"/>
      <c r="T21" s="51"/>
      <c r="U21" s="47"/>
      <c r="V21" s="42"/>
      <c r="W21" s="38"/>
      <c r="X21" s="43"/>
      <c r="Y21" s="47"/>
      <c r="Z21" s="47"/>
      <c r="AA21" s="1326"/>
      <c r="AB21" s="1341" t="e">
        <f>IF($AB$3+$AC$3=53,IF($AP$14=$AP$15,"résultat",IF($AP$14&lt;$AP$15,$AM$14,$AM$15)),(IF($AB$3+$AC$3=52,IF($AP$14=$AP$15,"résultat",IF($AP$14&lt;$AP$15,$AM$14,$AM$15)),(IF($AB$3+$AC$3=43,IF(0&gt;0,0,0),(IF($AB$3+$AC$3=42,IF(0&gt;0,0,0),(IF($AB$3+$AC$3=32,IF(0&lt;0,0,0),(IF($AB$3+$AC$3=31,IF($AC$14=$AC$15,"résultat",IF($AC$14&gt;$AC$15,$Y$14,$Y$15)))))))))))))</f>
        <v>#REF!</v>
      </c>
      <c r="AC21" s="1342"/>
      <c r="AD21" s="1342"/>
      <c r="AE21" s="1343"/>
      <c r="AF21" s="53">
        <v>0</v>
      </c>
      <c r="AG21" s="44"/>
      <c r="AH21" s="1326"/>
      <c r="AI21" s="1341" t="e">
        <f>IF($AB$3+$AC$3=53,IF($AP$14=$AP$15,"résultat",IF($AP$14&gt;$AP$15,$AM$14,$AM$15)),(IF($AB$3+$AC$3=52,IF($AP$14=$AP$15,"résultat",IF($AP$14&gt;$AP$15,$AM$14,$AM$15)),(IF($AB$3+$AC$3=43,IF(0&gt;0,0,0),(IF($AB$3+$AC$3=42,IF(0&gt;0,0,0),(IF($AB$3+$AC$3=32,IF(0&gt;0,0,0),(IF($AB$3+$AC$3=31,IF(0&gt;0,0,0))))))))))))</f>
        <v>#REF!</v>
      </c>
      <c r="AJ21" s="1342"/>
      <c r="AK21" s="1342"/>
      <c r="AL21" s="1343"/>
      <c r="AM21" s="53">
        <v>0</v>
      </c>
      <c r="AN21" s="47"/>
      <c r="AO21" s="47"/>
      <c r="AP21" s="51"/>
      <c r="AQ21" s="40"/>
      <c r="AR21" s="40"/>
    </row>
    <row r="22" spans="1:44">
      <c r="A22" s="38"/>
      <c r="B22" s="43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51"/>
      <c r="U22" s="47"/>
      <c r="V22" s="47"/>
      <c r="W22" s="38"/>
      <c r="X22" s="43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51"/>
      <c r="AQ22" s="40"/>
      <c r="AR22" s="40"/>
    </row>
    <row r="23" spans="1:44">
      <c r="A23" s="38"/>
      <c r="B23" s="43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51"/>
      <c r="U23" s="47"/>
      <c r="V23" s="47"/>
      <c r="W23" s="38"/>
      <c r="X23" s="43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51"/>
      <c r="AQ23" s="40"/>
      <c r="AR23" s="40"/>
    </row>
    <row r="24" spans="1:44" ht="15.75" thickBot="1">
      <c r="A24" s="38"/>
      <c r="B24" s="43"/>
      <c r="C24" s="47"/>
      <c r="D24" s="47"/>
      <c r="E24" s="47"/>
      <c r="F24" s="47"/>
      <c r="G24" s="47"/>
      <c r="H24" s="47"/>
      <c r="I24" s="44" t="s">
        <v>6</v>
      </c>
      <c r="J24" s="47"/>
      <c r="K24" s="47"/>
      <c r="L24" s="47"/>
      <c r="M24" s="47"/>
      <c r="N24" s="44" t="s">
        <v>5</v>
      </c>
      <c r="O24" s="44"/>
      <c r="P24" s="70"/>
      <c r="Q24" s="47"/>
      <c r="R24" s="47"/>
      <c r="S24" s="47"/>
      <c r="T24" s="51"/>
      <c r="U24" s="47"/>
      <c r="V24" s="47"/>
      <c r="W24" s="38"/>
      <c r="X24" s="43"/>
      <c r="Y24" s="47"/>
      <c r="Z24" s="47"/>
      <c r="AA24" s="47"/>
      <c r="AB24" s="47"/>
      <c r="AC24" s="47"/>
      <c r="AD24" s="47"/>
      <c r="AE24" s="44" t="s">
        <v>6</v>
      </c>
      <c r="AF24" s="47"/>
      <c r="AG24" s="47"/>
      <c r="AH24" s="47"/>
      <c r="AI24" s="47"/>
      <c r="AJ24" s="44" t="s">
        <v>5</v>
      </c>
      <c r="AK24" s="44"/>
      <c r="AL24" s="70"/>
      <c r="AM24" s="47"/>
      <c r="AN24" s="47"/>
      <c r="AO24" s="47"/>
      <c r="AP24" s="51"/>
      <c r="AQ24" s="40"/>
      <c r="AR24" s="40"/>
    </row>
    <row r="25" spans="1:44" ht="15.75" thickBot="1">
      <c r="A25" s="38"/>
      <c r="B25" s="43"/>
      <c r="C25" s="47"/>
      <c r="D25" s="47"/>
      <c r="E25" s="47"/>
      <c r="F25" s="47"/>
      <c r="G25" s="47"/>
      <c r="H25" s="47"/>
      <c r="I25" s="1325"/>
      <c r="J25" s="1250" t="e">
        <f>IF($F$3+$G$3=53,IF(0&lt;0,0,0),(IF($F$3+$G$3=52,IF($Q$20=$Q$21,"résultat",IF($Q$20&lt;$Q$21,$M$20,$M$21)),IF($F$3+$G$3=43,IF(0&lt;0,0,0),(IF($F$3+$G$3=42,IF($T$14=$T$15,"résultat",IF($T$14&lt;$T$15,$Q$14,$Q$15)),IF($F$3+$G$3=32,IF($T$14=$T$15,"résultat",IF($T$14&lt;$T$15,$Q$14,$Q$15)),IF($F$3+$G$3=31,IF($J$20=$J$21,"résultat",IF($J$20&gt;$J$21,$F$20,$F$21))))))))))</f>
        <v>#REF!</v>
      </c>
      <c r="K25" s="1327"/>
      <c r="L25" s="1327"/>
      <c r="M25" s="1328"/>
      <c r="N25" s="53">
        <v>1</v>
      </c>
      <c r="O25" s="44"/>
      <c r="P25" s="47"/>
      <c r="Q25" s="47"/>
      <c r="R25" s="47"/>
      <c r="S25" s="47"/>
      <c r="T25" s="51"/>
      <c r="U25" s="47"/>
      <c r="V25" s="47"/>
      <c r="W25" s="38"/>
      <c r="X25" s="43"/>
      <c r="Y25" s="47"/>
      <c r="Z25" s="47"/>
      <c r="AA25" s="47"/>
      <c r="AB25" s="47"/>
      <c r="AC25" s="47"/>
      <c r="AD25" s="47"/>
      <c r="AE25" s="1325"/>
      <c r="AF25" s="1250" t="e">
        <f>IF($AB$3+$AC$3=53,IF(0&lt;0,0,0),(IF($AB$3+$AC$3=52,IF($AM$20=$AM$21,"résultat",IF($AM$20&lt;$AM$21,$AI$20,$AI$21)),IF($AB$3+$AC$3=43,IF(0&lt;0,0,0),(IF($AB$3+$AC$3=42,IF($AP$14=$AP$15,"résultat",IF($AP$14&lt;$AP$15,$AM$14,$AM$15)),IF($AB$3+$AC$3=32,IF($AP$14=$AP$15,"résultat",IF($AP$14&lt;$AP$15,$AM$14,$AM$15)),IF($AB$3+$AC$3=31,IF($AF$20=$AF$21,"résultat",IF($AF$20&gt;$AF$21,$AB$20,$AB$21))))))))))</f>
        <v>#REF!</v>
      </c>
      <c r="AG25" s="1327"/>
      <c r="AH25" s="1327"/>
      <c r="AI25" s="1328"/>
      <c r="AJ25" s="53">
        <v>1</v>
      </c>
      <c r="AK25" s="44"/>
      <c r="AL25" s="47"/>
      <c r="AM25" s="47"/>
      <c r="AN25" s="47"/>
      <c r="AO25" s="47"/>
      <c r="AP25" s="51"/>
      <c r="AQ25" s="40"/>
      <c r="AR25" s="40"/>
    </row>
    <row r="26" spans="1:44" ht="15.75" thickBot="1">
      <c r="A26" s="38"/>
      <c r="B26" s="43"/>
      <c r="C26" s="47"/>
      <c r="D26" s="47"/>
      <c r="E26" s="47"/>
      <c r="F26" s="47"/>
      <c r="G26" s="47"/>
      <c r="H26" s="47"/>
      <c r="I26" s="1326"/>
      <c r="J26" s="1347" t="e">
        <f>IF($F$3+$G$3=53,IF(0&gt;0,0,0),(IF($F$3+$G$3=52,IF($J$20=$J$21,"résultat",IF($J$20&gt;$J$21,$F$20,$F$21)),IF($F$3+$G$3=43,IF(0&gt;0,0,0),(IF(F3+G3=42,IF($G$14=$G$15,"résultat",IF($G$14&gt;$G$15,$C$14,$C$15)),(IF($F$3+$G$3=32,IF($G$14=$G$15,"résultat",IF($G$14&gt;$G$15,$C$14,$C$15)),(IF($F$3+$G$3=31,IF($T$14=$T$15,"résultat",IF($T$14&gt;$T$15,$Q$14,$Q$15))))))))))))</f>
        <v>#REF!</v>
      </c>
      <c r="K26" s="1348"/>
      <c r="L26" s="1348"/>
      <c r="M26" s="1349"/>
      <c r="N26" s="53">
        <v>0</v>
      </c>
      <c r="O26" s="44"/>
      <c r="P26" s="47"/>
      <c r="Q26" s="47"/>
      <c r="R26" s="47"/>
      <c r="S26" s="47"/>
      <c r="T26" s="51"/>
      <c r="U26" s="47"/>
      <c r="V26" s="47"/>
      <c r="W26" s="38"/>
      <c r="X26" s="43"/>
      <c r="Y26" s="47"/>
      <c r="Z26" s="47"/>
      <c r="AA26" s="47"/>
      <c r="AB26" s="47"/>
      <c r="AC26" s="47"/>
      <c r="AD26" s="47"/>
      <c r="AE26" s="1326"/>
      <c r="AF26" s="1347" t="e">
        <f>IF($AB$3+$AC$3=53,IF(0&gt;0,0,0),(IF($AB$3+$AC$3=52,IF(AF20=AF21,"résultat",IF($AF$20&gt;$AF$21,$AB$20,$AB$21)),IF($AB$3+$AC$3=43,IF(0&gt;0,0,0),(IF($AB$3+$AC$3=42,IF(AC14=AC15,"résultat",IF($AC$14&gt;$AC$15,$Y$14,$Y$15)),(IF($AB$3+$AC$3=32,IF(AC14=AC15,"résultat",IF($AC$14&gt;$AC$15,$Y$14,$Y$15)),(IF($AB$3+$AC$3=31,IF(AP14=AP15,"résultat",IF($AP$14&gt;$AP$15,$AM$14,$AM$15))))))))))))</f>
        <v>#REF!</v>
      </c>
      <c r="AG26" s="1348"/>
      <c r="AH26" s="1348"/>
      <c r="AI26" s="1349"/>
      <c r="AJ26" s="53">
        <v>0</v>
      </c>
      <c r="AK26" s="44"/>
      <c r="AL26" s="47"/>
      <c r="AM26" s="47"/>
      <c r="AN26" s="47"/>
      <c r="AO26" s="47"/>
      <c r="AP26" s="51"/>
      <c r="AQ26" s="40"/>
      <c r="AR26" s="40"/>
    </row>
    <row r="27" spans="1:44" ht="15.75" thickBot="1">
      <c r="A27" s="38"/>
      <c r="B27" s="43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51"/>
      <c r="U27" s="47"/>
      <c r="V27" s="47"/>
      <c r="W27" s="38"/>
      <c r="X27" s="43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51"/>
      <c r="AQ27" s="40"/>
      <c r="AR27" s="40"/>
    </row>
    <row r="28" spans="1:44" ht="15.75" thickBot="1">
      <c r="A28" s="38"/>
      <c r="B28" s="43"/>
      <c r="D28" s="47"/>
      <c r="E28" s="47"/>
      <c r="F28" s="47"/>
      <c r="G28" s="47"/>
      <c r="H28" s="47"/>
      <c r="I28" s="47"/>
      <c r="J28" s="1440" t="s">
        <v>56</v>
      </c>
      <c r="K28" s="1441"/>
      <c r="L28" s="1441"/>
      <c r="M28" s="1442"/>
      <c r="N28" s="47"/>
      <c r="O28" s="47"/>
      <c r="P28" s="69"/>
      <c r="Q28" s="47"/>
      <c r="R28" s="47"/>
      <c r="S28" s="47"/>
      <c r="T28" s="51"/>
      <c r="W28" s="38"/>
      <c r="X28" s="43"/>
      <c r="Z28" s="47"/>
      <c r="AA28" s="47"/>
      <c r="AB28" s="47"/>
      <c r="AC28" s="47"/>
      <c r="AD28" s="47"/>
      <c r="AE28" s="47"/>
      <c r="AF28" s="1440" t="s">
        <v>56</v>
      </c>
      <c r="AG28" s="1441"/>
      <c r="AH28" s="1441"/>
      <c r="AI28" s="1442"/>
      <c r="AJ28" s="47"/>
      <c r="AK28" s="47"/>
      <c r="AL28" s="69"/>
      <c r="AM28" s="47"/>
      <c r="AN28" s="47"/>
      <c r="AO28" s="47"/>
      <c r="AP28" s="51"/>
    </row>
    <row r="29" spans="1:44" ht="15.75" thickBot="1">
      <c r="A29" s="38"/>
      <c r="B29" s="43"/>
      <c r="D29" s="1432" t="s">
        <v>0</v>
      </c>
      <c r="E29" s="1433"/>
      <c r="F29" s="1434"/>
      <c r="G29" s="47"/>
      <c r="H29" s="1429" t="e">
        <f>IF(F3+G3=0,"OFFICE",IF($F$3+$G$3=53,IF($Q$20=$Q$21,"résultat",IF($Q$20&gt;$Q$21,$M$20,$M$21)),(IF($F$3+$G$3=52,IF($Q$20=$Q$21,"résultat",IF($Q$20&gt;$Q$21,$M$20,$M$21)),(IF($F$3+$G$3=43,IF($T$14=$T$15,"résultat",IF($T$14&gt;$T$15,$Q$14,$Q$15)),(IF($F$3+$G$3=42,IF($T$14=$T$15,"résultat",IF($T$14&gt;$T$15,$Q$14,$Q$15)),(IF($F$3+$G$3=32,IF($T$14=$T$15,"résultat",IF($T$14&gt;$T$15,$Q$14,$Q$15)),(IF($F$3+$G$3=31,IF($N$25=$N$26,"résultat",IF($N$25&gt;$N$26,$J$25,$J$26))))))))))))))</f>
        <v>#REF!</v>
      </c>
      <c r="I29" s="1452"/>
      <c r="J29" s="1452"/>
      <c r="K29" s="1452"/>
      <c r="L29" s="1452"/>
      <c r="M29" s="1452"/>
      <c r="N29" s="1453"/>
      <c r="O29" s="47"/>
      <c r="P29" s="47"/>
      <c r="Q29" s="47"/>
      <c r="R29" s="47"/>
      <c r="S29" s="47"/>
      <c r="T29" s="51"/>
      <c r="W29" s="38"/>
      <c r="X29" s="43"/>
      <c r="Z29" s="1432" t="s">
        <v>0</v>
      </c>
      <c r="AA29" s="1433"/>
      <c r="AB29" s="1434"/>
      <c r="AC29" s="47"/>
      <c r="AD29" s="1429" t="e">
        <f>IF(AB3+AC3=0,"OFFICE",IF($AB$3+$AC$3=53,IF($AM$20=$AM$21,"résultat",IF($AM$20&gt;$AM$21,$AI$20,$AI$21)),(IF($AB$3+$AC$3=52,IF($AM$20=$AM$21,"résultat",IF($AM$20&gt;$AM$21,$AI$20,$AI$21)),(IF($AB$3+$AC$3=43,IF($AP$14=$AP$15,"résultat",IF($AP$14&gt;$AP$15,$AM$14,$AM$15)),(IF($AB$3+$AC$3=42,IF($AP$14=$AP$15,"résultat",IF($AP$14&gt;$AP$15,$AM$14,$AM$15)),(IF($AB$3+$AC$3=32,IF($AP$14=$AP$15,"résultat",IF($AP$14&gt;$AP$15,$AM$14,$AM$15)),(IF($AB$3+$AC$3=31,IF($AJ$25=$AJ$26,"résultat",IF($AJ$25&gt;$AJ$26,$AF$25,$AF$26))))))))))))))</f>
        <v>#REF!</v>
      </c>
      <c r="AE29" s="1452"/>
      <c r="AF29" s="1452"/>
      <c r="AG29" s="1452"/>
      <c r="AH29" s="1452"/>
      <c r="AI29" s="1452"/>
      <c r="AJ29" s="1453"/>
      <c r="AK29" s="47"/>
      <c r="AL29" s="47"/>
      <c r="AM29" s="60" t="s">
        <v>70</v>
      </c>
      <c r="AN29" s="47"/>
      <c r="AO29" s="47"/>
      <c r="AP29" s="51"/>
    </row>
    <row r="30" spans="1:44">
      <c r="A30" s="38"/>
      <c r="B30" s="43"/>
      <c r="D30" s="1396" t="s">
        <v>1</v>
      </c>
      <c r="E30" s="1397"/>
      <c r="F30" s="1398"/>
      <c r="G30" s="47"/>
      <c r="H30" s="1399" t="e">
        <f>IF(F3+G3=0,"OFFICE",IF($F$3+$G$3=53,IF($Q$20=$Q$21,"résultat",IF($Q$20&lt;$Q$21,$M$20,$M$21)),(IF($F$3+$G$3=52,IF($N$25=$N$26,"résultat",IF($N$25&gt;$N$26,$J$25,$J$26)),(IF($F$3+$G$3=43,IF($T$14=$T$15,"résultat",IF($T$14&lt;$T$15,$Q$14,$Q$15)),(IF($F$3+$G$3=42,IF($N$25=$N$26,"résultat",IF($N$25&gt;$N$26,$J$25,$J$26)),(IF($F$3+$G$3=32,IF($N$25=$N$26,"résultat",IF($N$25&gt;$N$26,$J$25,$J$26)),(IF($F$3+$G$3=31,IF($N$25=$N$26,"résultat",IF($N$25&lt;$N$26,$J$25,$J$26))))))))))))))</f>
        <v>#REF!</v>
      </c>
      <c r="I30" s="1400"/>
      <c r="J30" s="1400"/>
      <c r="K30" s="1400"/>
      <c r="L30" s="1400"/>
      <c r="M30" s="1400"/>
      <c r="N30" s="1401"/>
      <c r="O30" s="47"/>
      <c r="P30" s="71"/>
      <c r="Q30" s="71"/>
      <c r="R30" s="71"/>
      <c r="S30" s="71"/>
      <c r="T30" s="51"/>
      <c r="W30" s="38"/>
      <c r="X30" s="43"/>
      <c r="Z30" s="1396" t="s">
        <v>1</v>
      </c>
      <c r="AA30" s="1397"/>
      <c r="AB30" s="1398"/>
      <c r="AC30" s="47"/>
      <c r="AD30" s="1399" t="e">
        <f>IF(AB3+AC3=0,"OFFICE",IF($AB$3+$AC$3=53,IF($AM$20=$AM$21,"résultat",IF($AM$20&lt;$AM$21,$AI$20,$AI$21)),(IF($AB$3+$AC$3=52,IF($AJ$25=$AJ$26,"résultat",IF($AJ$25&gt;$AJ$26,$AF$25,$AF$26)),(IF($AB$3+$AC$3=43,IF($AP$14=$AP$15,"résultat",IF($AP$14&lt;$AP$15,$AM$14,$AM$15)),(IF($AB$3+$AC$3=42,IF($AJ$25=$AJ$26,"résultat",IF($AJ$25&gt;$AJ$26,$AF$25,$AF$26)),(IF($AB$3+$AC$3=32,IF($AJ$25=$AJ$26,"résultat",IF($AJ$25&gt;$AJ$26,$AF$25,$AF$26)),(IF($AB$3+$AC$3=31,IF($AJ$25=$AJ$26,"résultat",IF($AJ$25&lt;$AJ$26,$AF$25,$AF$26))))))))))))))</f>
        <v>#REF!</v>
      </c>
      <c r="AE30" s="1400"/>
      <c r="AF30" s="1400"/>
      <c r="AG30" s="1400"/>
      <c r="AH30" s="1400"/>
      <c r="AI30" s="1400"/>
      <c r="AJ30" s="1401"/>
      <c r="AK30" s="47"/>
      <c r="AL30" s="71"/>
      <c r="AM30" s="71"/>
      <c r="AN30" s="71"/>
      <c r="AO30" s="47"/>
      <c r="AP30" s="51"/>
    </row>
    <row r="31" spans="1:44">
      <c r="A31" s="38"/>
      <c r="B31" s="43"/>
      <c r="D31" s="1396" t="s">
        <v>2</v>
      </c>
      <c r="E31" s="1397"/>
      <c r="F31" s="1398"/>
      <c r="G31" s="47"/>
      <c r="H31" s="1405" t="e">
        <f>IF($F$3+$G$3=53,IF($J$20=$J$21,"résultat",IF($J$20&gt;$J$21,$F$20,$F$21)),(IF($F$3+$G$3=52,IF($N$25=$N$26,"résultat",IF($N$25&lt;$N$26,$J$25,$J$26)),(IF($F$3+$G$3=43,IF($G$14=$G$15,"résultat",IF($G$14&gt;$G$15,$C$14,$C$15)),(IF($F$3+$G$3=42,IF($N$25=$N$26,"résultat",IF($N$25&lt;$N$26,$J$25,$J$26)),(IF($F$3+$G$3=32,IF($N$25=$N$26,"résultat",IF($N$25&lt;$N$26,$J$25,$J$26)),(IF($F$3+$G$3=31,IF($J$20=$J$21,"résultat",IF($J$20&lt;$J$21,$F$20,$F$21)))))))))))))</f>
        <v>#REF!</v>
      </c>
      <c r="I31" s="1406"/>
      <c r="J31" s="1406"/>
      <c r="K31" s="1406"/>
      <c r="L31" s="1406"/>
      <c r="M31" s="1406"/>
      <c r="N31" s="1407"/>
      <c r="O31" s="47"/>
      <c r="P31" s="47"/>
      <c r="Q31" s="47"/>
      <c r="R31" s="47"/>
      <c r="S31" s="47"/>
      <c r="T31" s="51"/>
      <c r="W31" s="38"/>
      <c r="X31" s="43"/>
      <c r="Z31" s="1396" t="s">
        <v>2</v>
      </c>
      <c r="AA31" s="1397"/>
      <c r="AB31" s="1398"/>
      <c r="AC31" s="47"/>
      <c r="AD31" s="1402" t="e">
        <f>IF($AB$3+$AC$3=53,IF($AF$20=$AF$21,"résultat",IF($AF$20&gt;$AF$21,$AB$20,$AB$21)),(IF($AB$3+$AC$3=52,IF($AJ$25=$AJ$26,"résultat",IF($AJ$25&lt;$AJ$26,$AF$25,$AF$26)),(IF($AB$3+$AC$3=43,IF($AC$14=$AC$15,"résultat",IF($AC$14&gt;$G$15,$Y$14,$Y$15)),(IF($AB$3+$AC$3=42,IF($AJ$25=$AJ$26,"résultat",IF($AJ$25&lt;$AJ$26,$AF$25,$AF$26)),(IF($AB$3+$AC$3=32,IF($AJ$25=$AJ$26,"résultat",IF($AJ$25&lt;$AJ$26,$AF$25,$AF$26)),(IF($AB$3+$AC$3=31,IF($AF$20=$AF$21,"résultat",IF($AF$20&lt;$AF$21,$AB$20,$AB$21)))))))))))))</f>
        <v>#REF!</v>
      </c>
      <c r="AE31" s="1403"/>
      <c r="AF31" s="1403"/>
      <c r="AG31" s="1403"/>
      <c r="AH31" s="1403"/>
      <c r="AI31" s="1403"/>
      <c r="AJ31" s="1404"/>
      <c r="AK31" s="47"/>
      <c r="AL31" s="47"/>
      <c r="AM31" s="47"/>
      <c r="AN31" s="47"/>
      <c r="AO31" s="47"/>
      <c r="AP31" s="51"/>
    </row>
    <row r="32" spans="1:44">
      <c r="A32" s="38"/>
      <c r="B32" s="43"/>
      <c r="D32" s="1396" t="s">
        <v>3</v>
      </c>
      <c r="E32" s="1397"/>
      <c r="F32" s="1398"/>
      <c r="G32" s="47"/>
      <c r="H32" s="1405" t="e">
        <f>IF($F$3+$G$3=53,IF($J$20=$J$21,"résultat",IF($J$20&lt;$J$21,$F$20,$F$21)),(IF($F$3+$G$3=52,IF($J$20=$J$21,"résultat",IF($J$20&lt;$J$21,$F$20,$F$21)),(IF($F$3+$G$3=43,IF($G$14=$G$15,"résultat",IF($G$14&lt;$G$15,$C$14,$C$15)),(IF($F$3+$G$3=42,IF($G$14=$G$15,"résultat",IF($G$14&lt;$G$15,$C$14,$C$15)),(IF($F$3+$G$3=32,IF(0&gt;0,0,0),(IF($F$3+$G$3=31,IF(0&gt;0,0,0))))))))))))</f>
        <v>#REF!</v>
      </c>
      <c r="I32" s="1406"/>
      <c r="J32" s="1406"/>
      <c r="K32" s="1406"/>
      <c r="L32" s="1406"/>
      <c r="M32" s="1406"/>
      <c r="N32" s="1407"/>
      <c r="O32" s="47"/>
      <c r="P32" s="47"/>
      <c r="Q32" s="47"/>
      <c r="R32" s="47"/>
      <c r="S32" s="47"/>
      <c r="T32" s="51"/>
      <c r="W32" s="38"/>
      <c r="X32" s="43"/>
      <c r="Z32" s="1396" t="s">
        <v>3</v>
      </c>
      <c r="AA32" s="1397"/>
      <c r="AB32" s="1398"/>
      <c r="AC32" s="47"/>
      <c r="AD32" s="1405" t="e">
        <f>IF($AB$3+$AC$3=53,IF($AF$20=$AF$21,"résultat",IF($AF$20&lt;$AF$21,$AB$20,$AB$21)),(IF($AB$3+$AC$3=52,IF($AF$20=$AF$21,"résultat",IF($AF$20&lt;$AF$21,$AB$20,$AB$21)),(IF($AB$3+$AC$3=43,IF($AC$14=$AC$15,"résultat",IF($AC$14&lt;$AC$15,$Y$14,$Y$15)),(IF($AB$3+$AC$3=42,IF($AC$14=$AC$15,"résultat",IF($AC$14&lt;$AC$15,$Y$14,$Y$15)),(IF($AB$3+$AC$3=32,IF(0&gt;0,0,0),(IF($AB$3+$AC$3=31,IF(0&gt;0,0,0))))))))))))</f>
        <v>#REF!</v>
      </c>
      <c r="AE32" s="1406"/>
      <c r="AF32" s="1406"/>
      <c r="AG32" s="1406"/>
      <c r="AH32" s="1406"/>
      <c r="AI32" s="1406"/>
      <c r="AJ32" s="1407"/>
      <c r="AK32" s="47"/>
      <c r="AL32" s="47"/>
      <c r="AM32" s="47"/>
      <c r="AN32" s="47"/>
      <c r="AO32" s="47"/>
      <c r="AP32" s="51"/>
    </row>
    <row r="33" spans="1:44" ht="15.75" thickBot="1">
      <c r="A33" s="38"/>
      <c r="B33" s="43"/>
      <c r="D33" s="1390" t="s">
        <v>4</v>
      </c>
      <c r="E33" s="1391"/>
      <c r="F33" s="1392"/>
      <c r="G33" s="47"/>
      <c r="H33" s="1393" t="e">
        <f>IF($F$3+$G$3=53,IF($G$14=$G$15,"résultat",IF($G$14&lt;$G$15,$C$14,$C$15)),(IF($F$3+$G$3=52,IF($G$14=$G$15,"résultat",IF($G$14&lt;$G$15,$C$14,$C$15)),(IF($F$3+$G$3=43,IF(0&gt;0,0,0),(IF($F$3+$G$3=42,IF(0&gt;0,0,0),(IF($F$3+$G$3=32,IF(0&gt;0,0,0),(IF($F$3+$G$3=31,IF(0&gt;0,0,0))))))))))))</f>
        <v>#REF!</v>
      </c>
      <c r="I33" s="1394"/>
      <c r="J33" s="1394"/>
      <c r="K33" s="1394"/>
      <c r="L33" s="1394"/>
      <c r="M33" s="1394"/>
      <c r="N33" s="1395"/>
      <c r="O33" s="47"/>
      <c r="P33" s="47"/>
      <c r="Q33" s="47"/>
      <c r="R33" s="47"/>
      <c r="S33" s="47"/>
      <c r="T33" s="51"/>
      <c r="W33" s="38"/>
      <c r="X33" s="43"/>
      <c r="Z33" s="1390" t="s">
        <v>4</v>
      </c>
      <c r="AA33" s="1391"/>
      <c r="AB33" s="1392"/>
      <c r="AC33" s="47"/>
      <c r="AD33" s="1393" t="e">
        <f>IF($AB$3+$AC$3=53,IF(AC14=AC15,"résultat",IF($AC$14&lt;$AC$15,$Y$14,$Y$15)),(IF($AB$3+$AC$3=52,IF(AC14=AC15,"résultat",IF($AC$14&lt;$AC$15,$Y$14,$Y$15)),(IF($AB$3+$AC$3=43,IF(0&gt;0,0,0),(IF($AB$3+$AC$3=42,IF(0&gt;0,0,0),(IF($AB$3+$AC$3=32,IF(0&gt;0,0,0),(IF($AB$3+$AC$3=31,IF(0&gt;0,0,0))))))))))))</f>
        <v>#REF!</v>
      </c>
      <c r="AE33" s="1394"/>
      <c r="AF33" s="1394"/>
      <c r="AG33" s="1394"/>
      <c r="AH33" s="1394"/>
      <c r="AI33" s="1394"/>
      <c r="AJ33" s="1395"/>
      <c r="AK33" s="47"/>
      <c r="AL33" s="47"/>
      <c r="AM33" s="47"/>
      <c r="AN33" s="47"/>
      <c r="AO33" s="47"/>
      <c r="AP33" s="51"/>
    </row>
    <row r="34" spans="1:44">
      <c r="A34" s="38"/>
      <c r="B34" s="43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47"/>
      <c r="O34" s="47"/>
      <c r="P34" s="47"/>
      <c r="Q34" s="47"/>
      <c r="R34" s="47"/>
      <c r="S34" s="47"/>
      <c r="T34" s="51"/>
      <c r="U34" s="47"/>
      <c r="V34" s="47"/>
      <c r="W34" s="38"/>
      <c r="X34" s="43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7"/>
      <c r="AK34" s="47"/>
      <c r="AL34" s="47"/>
      <c r="AM34" s="47"/>
      <c r="AN34" s="47"/>
      <c r="AO34" s="47"/>
      <c r="AP34" s="51"/>
      <c r="AQ34" s="40"/>
      <c r="AR34" s="40"/>
    </row>
    <row r="35" spans="1:44" ht="15.75" thickBot="1">
      <c r="A35" s="38"/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4"/>
      <c r="O35" s="74"/>
      <c r="P35" s="74"/>
      <c r="Q35" s="74"/>
      <c r="R35" s="74"/>
      <c r="S35" s="74"/>
      <c r="T35" s="75"/>
      <c r="U35" s="38"/>
      <c r="V35" s="38"/>
      <c r="W35" s="38"/>
      <c r="X35" s="72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5"/>
      <c r="AQ35" s="40"/>
      <c r="AR35" s="40"/>
    </row>
  </sheetData>
  <sheetProtection formatColumns="0" formatRows="0" selectLockedCells="1"/>
  <mergeCells count="88">
    <mergeCell ref="H30:N30"/>
    <mergeCell ref="Z30:AB30"/>
    <mergeCell ref="AD30:AJ30"/>
    <mergeCell ref="D31:F31"/>
    <mergeCell ref="H31:N31"/>
    <mergeCell ref="Z31:AB31"/>
    <mergeCell ref="AD31:AJ31"/>
    <mergeCell ref="D30:F30"/>
    <mergeCell ref="I25:I26"/>
    <mergeCell ref="J25:M25"/>
    <mergeCell ref="AE25:AE26"/>
    <mergeCell ref="AF25:AI25"/>
    <mergeCell ref="J26:M26"/>
    <mergeCell ref="AF26:AI26"/>
    <mergeCell ref="AA20:AA21"/>
    <mergeCell ref="AB20:AE20"/>
    <mergeCell ref="AH20:AH21"/>
    <mergeCell ref="AI20:AL20"/>
    <mergeCell ref="F21:I21"/>
    <mergeCell ref="M21:P21"/>
    <mergeCell ref="AB21:AE21"/>
    <mergeCell ref="AI21:AL21"/>
    <mergeCell ref="C4:S4"/>
    <mergeCell ref="AM14:AO14"/>
    <mergeCell ref="C15:F15"/>
    <mergeCell ref="Q15:S15"/>
    <mergeCell ref="Y15:AB15"/>
    <mergeCell ref="AM15:AO15"/>
    <mergeCell ref="Q14:S14"/>
    <mergeCell ref="X14:X15"/>
    <mergeCell ref="Y14:AB14"/>
    <mergeCell ref="AF14:AI14"/>
    <mergeCell ref="AL14:AL15"/>
    <mergeCell ref="X8:X9"/>
    <mergeCell ref="Y8:AB8"/>
    <mergeCell ref="AE8:AE9"/>
    <mergeCell ref="AF8:AI8"/>
    <mergeCell ref="AM8:AO8"/>
    <mergeCell ref="Y9:AB9"/>
    <mergeCell ref="AF9:AI9"/>
    <mergeCell ref="B8:B9"/>
    <mergeCell ref="C8:F8"/>
    <mergeCell ref="I8:I9"/>
    <mergeCell ref="J8:M8"/>
    <mergeCell ref="Q8:S8"/>
    <mergeCell ref="C9:F9"/>
    <mergeCell ref="J9:M9"/>
    <mergeCell ref="B14:B15"/>
    <mergeCell ref="C14:F14"/>
    <mergeCell ref="J14:M14"/>
    <mergeCell ref="P14:P15"/>
    <mergeCell ref="E20:E21"/>
    <mergeCell ref="F20:I20"/>
    <mergeCell ref="L20:L21"/>
    <mergeCell ref="M20:P20"/>
    <mergeCell ref="D32:F32"/>
    <mergeCell ref="H32:N32"/>
    <mergeCell ref="Z32:AB32"/>
    <mergeCell ref="AD32:AJ32"/>
    <mergeCell ref="D33:F33"/>
    <mergeCell ref="H33:N33"/>
    <mergeCell ref="Z33:AB33"/>
    <mergeCell ref="AD33:AJ33"/>
    <mergeCell ref="J28:M28"/>
    <mergeCell ref="AF28:AI28"/>
    <mergeCell ref="D29:F29"/>
    <mergeCell ref="H29:N29"/>
    <mergeCell ref="Z29:AB29"/>
    <mergeCell ref="AD29:AJ29"/>
    <mergeCell ref="T4:T5"/>
    <mergeCell ref="Y4:AO4"/>
    <mergeCell ref="X1:Z1"/>
    <mergeCell ref="AA1:AC1"/>
    <mergeCell ref="AJ1:AO1"/>
    <mergeCell ref="AB2:AC2"/>
    <mergeCell ref="AE2:AG2"/>
    <mergeCell ref="AH2:AP2"/>
    <mergeCell ref="AP4:AP5"/>
    <mergeCell ref="B2:D2"/>
    <mergeCell ref="F2:G2"/>
    <mergeCell ref="I2:K2"/>
    <mergeCell ref="L2:T2"/>
    <mergeCell ref="X2:Z2"/>
    <mergeCell ref="I1:L1"/>
    <mergeCell ref="N1:S1"/>
    <mergeCell ref="AE1:AH1"/>
    <mergeCell ref="B1:D1"/>
    <mergeCell ref="E1:G1"/>
  </mergeCells>
  <conditionalFormatting sqref="H32">
    <cfRule type="expression" dxfId="160" priority="279">
      <formula>$H$2=5</formula>
    </cfRule>
    <cfRule type="expression" dxfId="159" priority="280">
      <formula>$H$2=4</formula>
    </cfRule>
    <cfRule type="expression" dxfId="158" priority="281">
      <formula>$H$2=0</formula>
    </cfRule>
  </conditionalFormatting>
  <conditionalFormatting sqref="H29:N29">
    <cfRule type="expression" dxfId="157" priority="276">
      <formula>$H$2=0</formula>
    </cfRule>
    <cfRule type="expression" dxfId="156" priority="277" stopIfTrue="1">
      <formula>(OR(H2="1",H2="2",H2="3"))</formula>
    </cfRule>
  </conditionalFormatting>
  <conditionalFormatting sqref="H30:N30">
    <cfRule type="expression" dxfId="155" priority="275">
      <formula>(OR(H2="2",H2="3"))</formula>
    </cfRule>
  </conditionalFormatting>
  <conditionalFormatting sqref="H31:N31">
    <cfRule type="expression" dxfId="154" priority="274">
      <formula>(H2="3")</formula>
    </cfRule>
  </conditionalFormatting>
  <conditionalFormatting sqref="H32:N32">
    <cfRule type="cellIs" dxfId="153" priority="273" operator="equal">
      <formula>0</formula>
    </cfRule>
  </conditionalFormatting>
  <conditionalFormatting sqref="H33:N33">
    <cfRule type="cellIs" dxfId="152" priority="272" operator="equal">
      <formula>0</formula>
    </cfRule>
  </conditionalFormatting>
  <conditionalFormatting sqref="AD32">
    <cfRule type="expression" dxfId="151" priority="263">
      <formula>$H$2=5</formula>
    </cfRule>
    <cfRule type="expression" dxfId="150" priority="264">
      <formula>$H$2=4</formula>
    </cfRule>
  </conditionalFormatting>
  <conditionalFormatting sqref="AD32:AJ32">
    <cfRule type="cellIs" dxfId="149" priority="258" operator="equal">
      <formula>0</formula>
    </cfRule>
  </conditionalFormatting>
  <conditionalFormatting sqref="AD33:AJ33">
    <cfRule type="cellIs" dxfId="148" priority="257" operator="equal">
      <formula>0</formula>
    </cfRule>
  </conditionalFormatting>
  <conditionalFormatting sqref="H33 AD33">
    <cfRule type="expression" dxfId="147" priority="304">
      <formula>$AF$2=5</formula>
    </cfRule>
  </conditionalFormatting>
  <conditionalFormatting sqref="AD30">
    <cfRule type="expression" dxfId="146" priority="290">
      <formula>$AF$2=5</formula>
    </cfRule>
    <cfRule type="expression" dxfId="145" priority="291">
      <formula>$AF$2=4</formula>
    </cfRule>
    <cfRule type="expression" dxfId="144" priority="292">
      <formula>$AF$2=3</formula>
    </cfRule>
    <cfRule type="expression" dxfId="143" priority="293">
      <formula>$AF$2=2</formula>
    </cfRule>
  </conditionalFormatting>
  <conditionalFormatting sqref="AD31:AJ31">
    <cfRule type="expression" dxfId="142" priority="286">
      <formula>$AF$2=5</formula>
    </cfRule>
    <cfRule type="expression" dxfId="141" priority="287">
      <formula>$AF$2=4</formula>
    </cfRule>
    <cfRule type="expression" dxfId="140" priority="288">
      <formula>$AF$2=3</formula>
    </cfRule>
  </conditionalFormatting>
  <conditionalFormatting sqref="AD32:AJ32">
    <cfRule type="expression" dxfId="139" priority="282">
      <formula>$AF$2=5</formula>
    </cfRule>
    <cfRule type="expression" dxfId="138" priority="284">
      <formula>$AF$2=4</formula>
    </cfRule>
  </conditionalFormatting>
  <conditionalFormatting sqref="AD29:AJ29">
    <cfRule type="expression" dxfId="137" priority="278">
      <formula>$AF$2=1</formula>
    </cfRule>
  </conditionalFormatting>
  <conditionalFormatting sqref="AD29:AJ29">
    <cfRule type="expression" dxfId="136" priority="262" stopIfTrue="1">
      <formula>(OR(AF2="1",AF2="2",AF2="3"))</formula>
    </cfRule>
  </conditionalFormatting>
  <conditionalFormatting sqref="AD30:AJ30">
    <cfRule type="expression" dxfId="135" priority="260">
      <formula>(OR(AF2="2",AF2="3"))</formula>
    </cfRule>
  </conditionalFormatting>
  <conditionalFormatting sqref="AD31:AJ31">
    <cfRule type="expression" dxfId="134" priority="259">
      <formula>(AF2="3")</formula>
    </cfRule>
  </conditionalFormatting>
  <conditionalFormatting sqref="AD29">
    <cfRule type="expression" dxfId="133" priority="343">
      <formula>$AF$2=2</formula>
    </cfRule>
    <cfRule type="expression" dxfId="132" priority="344">
      <formula>$AF$2=5</formula>
    </cfRule>
    <cfRule type="expression" dxfId="131" priority="345">
      <formula>$AF$2=4</formula>
    </cfRule>
    <cfRule type="expression" dxfId="130" priority="346">
      <formula>$AF$2=3</formula>
    </cfRule>
  </conditionalFormatting>
  <conditionalFormatting sqref="H33 AD33">
    <cfRule type="expression" dxfId="129" priority="242">
      <formula>$AD$2=5</formula>
    </cfRule>
  </conditionalFormatting>
  <conditionalFormatting sqref="AD29">
    <cfRule type="expression" dxfId="128" priority="233">
      <formula>$AD$2=2</formula>
    </cfRule>
    <cfRule type="expression" dxfId="127" priority="234">
      <formula>$AD$2=5</formula>
    </cfRule>
    <cfRule type="expression" dxfId="126" priority="235">
      <formula>$AD$2=4</formula>
    </cfRule>
    <cfRule type="expression" dxfId="125" priority="236">
      <formula>$AD$2=3</formula>
    </cfRule>
  </conditionalFormatting>
  <conditionalFormatting sqref="AD30">
    <cfRule type="expression" dxfId="124" priority="229">
      <formula>$AD$2=5</formula>
    </cfRule>
    <cfRule type="expression" dxfId="123" priority="230">
      <formula>$AD$2=4</formula>
    </cfRule>
    <cfRule type="expression" dxfId="122" priority="231">
      <formula>$AD$2=3</formula>
    </cfRule>
    <cfRule type="expression" dxfId="121" priority="232">
      <formula>$AD$2=2</formula>
    </cfRule>
  </conditionalFormatting>
  <conditionalFormatting sqref="AD31">
    <cfRule type="expression" dxfId="120" priority="225">
      <formula>$AD$2=5</formula>
    </cfRule>
    <cfRule type="expression" dxfId="119" priority="226">
      <formula>$AD$2=4</formula>
    </cfRule>
    <cfRule type="expression" dxfId="118" priority="227">
      <formula>$AD$2=3</formula>
    </cfRule>
  </conditionalFormatting>
  <conditionalFormatting sqref="AD32:AJ32">
    <cfRule type="cellIs" dxfId="117" priority="220" operator="equal">
      <formula>0</formula>
    </cfRule>
    <cfRule type="expression" dxfId="116" priority="221">
      <formula>$AD$2=5</formula>
    </cfRule>
    <cfRule type="expression" dxfId="115" priority="223">
      <formula>$AD$2=4</formula>
    </cfRule>
  </conditionalFormatting>
  <conditionalFormatting sqref="AD29:AJ29">
    <cfRule type="expression" dxfId="114" priority="218">
      <formula>$AD$2=1</formula>
    </cfRule>
  </conditionalFormatting>
  <conditionalFormatting sqref="H29:N29">
    <cfRule type="expression" dxfId="113" priority="216">
      <formula>$H$2=0</formula>
    </cfRule>
    <cfRule type="expression" dxfId="112" priority="217" stopIfTrue="1">
      <formula>(OR(H2="1",H2="2",H2="3"))</formula>
    </cfRule>
  </conditionalFormatting>
  <conditionalFormatting sqref="H30:N30">
    <cfRule type="expression" dxfId="111" priority="215">
      <formula>(OR(H2="2",H2="3"))</formula>
    </cfRule>
  </conditionalFormatting>
  <conditionalFormatting sqref="H31:N31">
    <cfRule type="cellIs" dxfId="110" priority="213" operator="equal">
      <formula>0</formula>
    </cfRule>
    <cfRule type="expression" dxfId="109" priority="214">
      <formula>(H2="3")</formula>
    </cfRule>
  </conditionalFormatting>
  <conditionalFormatting sqref="AD29:AJ29">
    <cfRule type="expression" dxfId="108" priority="212" stopIfTrue="1">
      <formula>(OR(AD2="1",AD2="2",AD2="3"))</formula>
    </cfRule>
  </conditionalFormatting>
  <conditionalFormatting sqref="AD30:AJ30">
    <cfRule type="expression" dxfId="107" priority="210">
      <formula>(OR(AD2="2",AD2="3"))</formula>
    </cfRule>
  </conditionalFormatting>
  <conditionalFormatting sqref="AD31">
    <cfRule type="expression" dxfId="106" priority="209">
      <formula>(AD2="3")</formula>
    </cfRule>
  </conditionalFormatting>
  <conditionalFormatting sqref="H33:N33">
    <cfRule type="cellIs" dxfId="105" priority="188" operator="equal">
      <formula>0</formula>
    </cfRule>
  </conditionalFormatting>
  <conditionalFormatting sqref="H32:N32">
    <cfRule type="cellIs" dxfId="104" priority="187" operator="equal">
      <formula>0</formula>
    </cfRule>
  </conditionalFormatting>
  <conditionalFormatting sqref="AD33:AJ33">
    <cfRule type="cellIs" dxfId="103" priority="185" operator="equal">
      <formula>0</formula>
    </cfRule>
  </conditionalFormatting>
  <conditionalFormatting sqref="AD31:AJ31">
    <cfRule type="cellIs" dxfId="102" priority="184" operator="equal">
      <formula>0</formula>
    </cfRule>
  </conditionalFormatting>
  <conditionalFormatting sqref="AF25:AI25">
    <cfRule type="cellIs" dxfId="101" priority="179" operator="equal">
      <formula>0</formula>
    </cfRule>
  </conditionalFormatting>
  <conditionalFormatting sqref="C14:F15">
    <cfRule type="cellIs" dxfId="100" priority="106" operator="equal">
      <formula>0</formula>
    </cfRule>
  </conditionalFormatting>
  <conditionalFormatting sqref="C8:F9">
    <cfRule type="expression" dxfId="99" priority="96">
      <formula>(OR($E$2=3,$E$2=4,$E$2=5))</formula>
    </cfRule>
  </conditionalFormatting>
  <conditionalFormatting sqref="AF8:AI9">
    <cfRule type="expression" dxfId="98" priority="1">
      <formula>(OR($E$2=3,$E$2=4,$E$2=5))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landscape" horizontalDpi="4294967292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0">
    <tabColor rgb="FF66FF33"/>
    <pageSetUpPr fitToPage="1"/>
  </sheetPr>
  <dimension ref="A1:AR39"/>
  <sheetViews>
    <sheetView workbookViewId="0"/>
  </sheetViews>
  <sheetFormatPr baseColWidth="10" defaultRowHeight="15"/>
  <cols>
    <col min="1" max="1" width="4" customWidth="1"/>
    <col min="2" max="2" width="5.140625" customWidth="1"/>
    <col min="3" max="3" width="6.42578125" customWidth="1"/>
    <col min="4" max="4" width="11.28515625" customWidth="1"/>
    <col min="5" max="5" width="4.42578125" customWidth="1"/>
    <col min="6" max="6" width="7.42578125" customWidth="1"/>
    <col min="7" max="7" width="6" customWidth="1"/>
    <col min="8" max="8" width="8.42578125" customWidth="1"/>
    <col min="9" max="9" width="5.5703125" customWidth="1"/>
    <col min="10" max="10" width="5" customWidth="1"/>
    <col min="11" max="11" width="6.28515625" customWidth="1"/>
    <col min="12" max="12" width="4.42578125" customWidth="1"/>
    <col min="13" max="13" width="13" customWidth="1"/>
    <col min="14" max="14" width="6.28515625" customWidth="1"/>
    <col min="15" max="16" width="6" customWidth="1"/>
    <col min="17" max="17" width="7.7109375" customWidth="1"/>
    <col min="18" max="18" width="5.28515625" customWidth="1"/>
    <col min="19" max="19" width="12.28515625" customWidth="1"/>
    <col min="20" max="20" width="6" customWidth="1"/>
    <col min="21" max="21" width="7" customWidth="1"/>
    <col min="22" max="22" width="5.140625" customWidth="1"/>
    <col min="23" max="23" width="4.85546875" customWidth="1"/>
    <col min="24" max="24" width="9" customWidth="1"/>
    <col min="25" max="25" width="4.42578125" customWidth="1"/>
    <col min="26" max="26" width="7.42578125" customWidth="1"/>
    <col min="27" max="27" width="6" customWidth="1"/>
    <col min="28" max="28" width="8.42578125" customWidth="1"/>
    <col min="29" max="29" width="5.5703125" customWidth="1"/>
    <col min="30" max="30" width="8.5703125" customWidth="1"/>
    <col min="31" max="31" width="6.28515625" customWidth="1"/>
    <col min="32" max="32" width="4.42578125" customWidth="1"/>
    <col min="33" max="33" width="13" customWidth="1"/>
    <col min="34" max="36" width="6" customWidth="1"/>
    <col min="37" max="37" width="7.7109375" customWidth="1"/>
    <col min="38" max="38" width="5.28515625" customWidth="1"/>
    <col min="39" max="39" width="12.28515625" customWidth="1"/>
    <col min="40" max="40" width="6" customWidth="1"/>
    <col min="42" max="42" width="8" customWidth="1"/>
    <col min="43" max="43" width="6.28515625" customWidth="1"/>
    <col min="44" max="44" width="5.140625" customWidth="1"/>
  </cols>
  <sheetData>
    <row r="1" spans="1:44" ht="21.75" thickBot="1">
      <c r="A1" s="1"/>
      <c r="B1" s="1443" t="s">
        <v>51</v>
      </c>
      <c r="C1" s="1415"/>
      <c r="D1" s="1415"/>
      <c r="E1" s="1415">
        <f>Rens.!J1</f>
        <v>0</v>
      </c>
      <c r="F1" s="1415"/>
      <c r="G1" s="1415"/>
      <c r="H1" s="9">
        <f ca="1">Rens.!$D$3</f>
        <v>2021</v>
      </c>
      <c r="I1" s="1415" t="str">
        <f>Rens.!$J$3</f>
        <v>Quadrette</v>
      </c>
      <c r="J1" s="1415"/>
      <c r="K1" s="1415"/>
      <c r="L1" s="1415"/>
      <c r="M1" s="10" t="e">
        <f>Rens.!#REF!</f>
        <v>#REF!</v>
      </c>
      <c r="N1" s="1443" t="s">
        <v>23</v>
      </c>
      <c r="O1" s="1415"/>
      <c r="P1" s="1415"/>
      <c r="Q1" s="1415"/>
      <c r="R1" s="1415"/>
      <c r="S1" s="1447"/>
      <c r="T1" s="11">
        <f>Rens.!$E$8</f>
        <v>0</v>
      </c>
      <c r="W1" s="1"/>
      <c r="X1" s="1443" t="s">
        <v>51</v>
      </c>
      <c r="Y1" s="1415"/>
      <c r="Z1" s="1415"/>
      <c r="AA1" s="1415">
        <f>Rens.!J1</f>
        <v>0</v>
      </c>
      <c r="AB1" s="1415"/>
      <c r="AC1" s="1415"/>
      <c r="AD1" s="9">
        <f ca="1">Rens.!$D$3</f>
        <v>2021</v>
      </c>
      <c r="AE1" s="1415" t="str">
        <f>Rens.!$J$3</f>
        <v>Quadrette</v>
      </c>
      <c r="AF1" s="1415"/>
      <c r="AG1" s="1415"/>
      <c r="AH1" s="1415"/>
      <c r="AI1" s="10" t="e">
        <f>Rens.!#REF!</f>
        <v>#REF!</v>
      </c>
      <c r="AJ1" s="1443" t="s">
        <v>23</v>
      </c>
      <c r="AK1" s="1415"/>
      <c r="AL1" s="1415"/>
      <c r="AM1" s="1415"/>
      <c r="AN1" s="1415"/>
      <c r="AO1" s="1447"/>
      <c r="AP1" s="37">
        <f>Rens.!$E$8</f>
        <v>0</v>
      </c>
      <c r="AQ1" s="8"/>
    </row>
    <row r="2" spans="1:44" ht="19.5" customHeight="1" thickBot="1">
      <c r="A2" s="1"/>
      <c r="B2" s="1443" t="s">
        <v>36</v>
      </c>
      <c r="C2" s="1415"/>
      <c r="D2" s="1415"/>
      <c r="E2" s="20" t="e">
        <f>Rens.!#REF!</f>
        <v>#REF!</v>
      </c>
      <c r="F2" s="1415" t="s">
        <v>19</v>
      </c>
      <c r="G2" s="1415"/>
      <c r="H2" s="7" t="e">
        <f>Rens.!#REF!</f>
        <v>#REF!</v>
      </c>
      <c r="I2" s="1415" t="s">
        <v>20</v>
      </c>
      <c r="J2" s="1415"/>
      <c r="K2" s="1415"/>
      <c r="L2" s="1415"/>
      <c r="M2" s="1415"/>
      <c r="N2" s="1415"/>
      <c r="O2" s="1415"/>
      <c r="P2" s="1415"/>
      <c r="Q2" s="1415"/>
      <c r="R2" s="1415"/>
      <c r="S2" s="1415"/>
      <c r="T2" s="1447"/>
      <c r="W2" s="1"/>
      <c r="X2" s="1443" t="s">
        <v>37</v>
      </c>
      <c r="Y2" s="1415"/>
      <c r="Z2" s="1415"/>
      <c r="AA2" s="20" t="e">
        <f>Rens.!#REF!</f>
        <v>#REF!</v>
      </c>
      <c r="AB2" s="1415" t="s">
        <v>19</v>
      </c>
      <c r="AC2" s="1415"/>
      <c r="AD2" s="12" t="e">
        <f>Rens.!#REF!</f>
        <v>#REF!</v>
      </c>
      <c r="AE2" s="1415" t="s">
        <v>20</v>
      </c>
      <c r="AF2" s="1415"/>
      <c r="AG2" s="1415"/>
      <c r="AH2" s="1415"/>
      <c r="AI2" s="1415"/>
      <c r="AJ2" s="1415"/>
      <c r="AK2" s="1415"/>
      <c r="AL2" s="1415"/>
      <c r="AM2" s="1415"/>
      <c r="AN2" s="1415"/>
      <c r="AO2" s="1415"/>
      <c r="AP2" s="1447"/>
      <c r="AQ2" s="8"/>
    </row>
    <row r="3" spans="1:44" ht="15.75" customHeight="1" thickBot="1">
      <c r="A3" s="38"/>
      <c r="B3" s="43"/>
      <c r="C3" s="44"/>
      <c r="D3" s="44"/>
      <c r="E3" s="44"/>
      <c r="F3" s="76" t="e">
        <f>CONCATENATE(E2,H2)</f>
        <v>#REF!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  <c r="U3" s="44"/>
      <c r="V3" s="44"/>
      <c r="W3" s="38"/>
      <c r="X3" s="43"/>
      <c r="Y3" s="44"/>
      <c r="Z3" s="44"/>
      <c r="AA3" s="39"/>
      <c r="AB3" s="77" t="e">
        <f>CONCATENATE(AA2,AD2)</f>
        <v>#REF!</v>
      </c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5"/>
      <c r="AQ3" s="40"/>
      <c r="AR3" s="40"/>
    </row>
    <row r="4" spans="1:44" ht="15.75" thickBot="1">
      <c r="A4" s="38"/>
      <c r="B4" s="43"/>
      <c r="C4" s="1444" t="s">
        <v>62</v>
      </c>
      <c r="D4" s="1445"/>
      <c r="E4" s="1445"/>
      <c r="F4" s="1445"/>
      <c r="G4" s="1445"/>
      <c r="H4" s="1445"/>
      <c r="I4" s="1445"/>
      <c r="J4" s="1445"/>
      <c r="K4" s="1445"/>
      <c r="L4" s="1445"/>
      <c r="M4" s="1445"/>
      <c r="N4" s="1445"/>
      <c r="O4" s="1445"/>
      <c r="P4" s="1445"/>
      <c r="Q4" s="1445"/>
      <c r="R4" s="1445"/>
      <c r="S4" s="1446"/>
      <c r="T4" s="1448"/>
      <c r="U4" s="46"/>
      <c r="V4" s="46"/>
      <c r="W4" s="38"/>
      <c r="X4" s="43"/>
      <c r="Y4" s="1444" t="s">
        <v>62</v>
      </c>
      <c r="Z4" s="1445"/>
      <c r="AA4" s="1445"/>
      <c r="AB4" s="1445"/>
      <c r="AC4" s="1445"/>
      <c r="AD4" s="1445"/>
      <c r="AE4" s="1445"/>
      <c r="AF4" s="1445"/>
      <c r="AG4" s="1445"/>
      <c r="AH4" s="1445"/>
      <c r="AI4" s="1445"/>
      <c r="AJ4" s="1445"/>
      <c r="AK4" s="1445"/>
      <c r="AL4" s="1445"/>
      <c r="AM4" s="1445"/>
      <c r="AN4" s="1445"/>
      <c r="AO4" s="1446"/>
      <c r="AP4" s="1448"/>
      <c r="AQ4" s="40"/>
      <c r="AR4" s="40"/>
    </row>
    <row r="5" spans="1:44">
      <c r="A5" s="38"/>
      <c r="B5" s="43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448"/>
      <c r="U5" s="46"/>
      <c r="V5" s="46"/>
      <c r="W5" s="38"/>
      <c r="X5" s="43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1448"/>
      <c r="AQ5" s="40"/>
      <c r="AR5" s="40"/>
    </row>
    <row r="6" spans="1:44" ht="15.75" thickBot="1">
      <c r="A6" s="38"/>
      <c r="B6" s="43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  <c r="S6" s="44"/>
      <c r="T6" s="45"/>
      <c r="U6" s="44"/>
      <c r="V6" s="44"/>
      <c r="W6" s="38"/>
      <c r="X6" s="43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8"/>
      <c r="AO6" s="44"/>
      <c r="AP6" s="45"/>
      <c r="AQ6" s="40"/>
      <c r="AR6" s="40"/>
    </row>
    <row r="7" spans="1:44" ht="15.75" thickBot="1">
      <c r="A7" s="38"/>
      <c r="B7" s="49" t="s">
        <v>6</v>
      </c>
      <c r="C7" s="50" t="s">
        <v>14</v>
      </c>
      <c r="D7" s="39"/>
      <c r="E7" s="47"/>
      <c r="F7" s="47"/>
      <c r="G7" s="44" t="s">
        <v>5</v>
      </c>
      <c r="H7" s="44"/>
      <c r="I7" s="44" t="s">
        <v>6</v>
      </c>
      <c r="J7" s="50" t="e">
        <f>IF(E2=2,"","C")</f>
        <v>#REF!</v>
      </c>
      <c r="K7" s="39"/>
      <c r="L7" s="47"/>
      <c r="M7" s="47"/>
      <c r="N7" s="44" t="s">
        <v>5</v>
      </c>
      <c r="O7" s="44"/>
      <c r="P7" s="44"/>
      <c r="Q7" s="50" t="s">
        <v>41</v>
      </c>
      <c r="R7" s="47"/>
      <c r="S7" s="47" t="s">
        <v>59</v>
      </c>
      <c r="T7" s="51"/>
      <c r="U7" s="47"/>
      <c r="V7" s="47"/>
      <c r="W7" s="38"/>
      <c r="X7" s="49" t="s">
        <v>6</v>
      </c>
      <c r="Y7" s="50" t="s">
        <v>14</v>
      </c>
      <c r="Z7" s="39"/>
      <c r="AA7" s="47"/>
      <c r="AB7" s="47"/>
      <c r="AC7" s="44" t="s">
        <v>5</v>
      </c>
      <c r="AD7" s="44"/>
      <c r="AE7" s="44" t="s">
        <v>6</v>
      </c>
      <c r="AF7" s="50" t="e">
        <f>IF(AA2=2,"","C")</f>
        <v>#REF!</v>
      </c>
      <c r="AG7" s="39"/>
      <c r="AH7" s="47"/>
      <c r="AI7" s="47"/>
      <c r="AJ7" s="44"/>
      <c r="AK7" s="44"/>
      <c r="AL7" s="44"/>
      <c r="AM7" s="50" t="s">
        <v>41</v>
      </c>
      <c r="AN7" s="47"/>
      <c r="AO7" s="47" t="s">
        <v>59</v>
      </c>
      <c r="AP7" s="51"/>
      <c r="AQ7" s="40"/>
      <c r="AR7" s="40"/>
    </row>
    <row r="8" spans="1:44" ht="15.75" thickBot="1">
      <c r="A8" s="52">
        <v>71</v>
      </c>
      <c r="B8" s="1325"/>
      <c r="C8" s="1305" t="str">
        <f>IF(ISNA(MATCH($A$8,Rens.!$U$5:$U$81,0)),"",INDEX(Rens.!$S$5:$S$81,MATCH($A$8,Rens.!$U$5:$U$81,0)))</f>
        <v/>
      </c>
      <c r="D8" s="1306"/>
      <c r="E8" s="1306"/>
      <c r="F8" s="1307"/>
      <c r="G8" s="53">
        <v>1</v>
      </c>
      <c r="H8" s="54">
        <v>73</v>
      </c>
      <c r="I8" s="1325"/>
      <c r="J8" s="1338" t="str">
        <f>IF(ISNA(MATCH($H$8,Rens.!$U$5:$U$81,0)),"",INDEX(Rens.!$S$5:$S$81,MATCH($H$8,Rens.!$U$5:$U$81,0)))</f>
        <v/>
      </c>
      <c r="K8" s="1339"/>
      <c r="L8" s="1339"/>
      <c r="M8" s="1340"/>
      <c r="N8" s="53">
        <v>1</v>
      </c>
      <c r="O8" s="44"/>
      <c r="P8" s="47">
        <v>75</v>
      </c>
      <c r="Q8" s="1417" t="e">
        <f>IF(E2+E3=4,0,IF(E2+E3=3,0,IF(ISNA(MATCH($P$8,Rens.!$U$5:$U$81,0)),"",INDEX(Rens.!$S$5:$S$81,MATCH($P$8,Rens.!$U$5:$U$81,0)))))</f>
        <v>#REF!</v>
      </c>
      <c r="R8" s="1418"/>
      <c r="S8" s="1419"/>
      <c r="T8" s="55"/>
      <c r="U8" s="47"/>
      <c r="V8" s="47"/>
      <c r="W8" s="38">
        <v>76</v>
      </c>
      <c r="X8" s="1325"/>
      <c r="Y8" s="1305" t="str">
        <f>IF(ISNA(MATCH($W$8,Rens.!$U$5:$U$81,0)),"",INDEX(Rens.!$S$5:$S$81,MATCH($W$8,Rens.!$U$5:$U$81,0)))</f>
        <v/>
      </c>
      <c r="Z8" s="1306"/>
      <c r="AA8" s="1306"/>
      <c r="AB8" s="1307"/>
      <c r="AC8" s="53">
        <v>1</v>
      </c>
      <c r="AD8" s="54">
        <v>78</v>
      </c>
      <c r="AE8" s="1325"/>
      <c r="AF8" s="1305" t="str">
        <f>IF(ISNA(MATCH($AD$8,Rens.!$U$5:$U$81,0)),"",INDEX(Rens.!$S$5:$S$81,MATCH($AD$8,Rens.!$U$5:$U$81,0)))</f>
        <v/>
      </c>
      <c r="AG8" s="1306"/>
      <c r="AH8" s="1306"/>
      <c r="AI8" s="1307"/>
      <c r="AJ8" s="53">
        <v>1</v>
      </c>
      <c r="AK8" s="44"/>
      <c r="AL8" s="47">
        <v>80</v>
      </c>
      <c r="AM8" s="1417" t="e">
        <f>IF($AA$2+$AA$3=4,0,IF($AA$2+$AA$3=3,0,IF(ISNA(MATCH($AL$8,Rens.!$U$5:$U$81,0)),"",INDEX(Rens.!$S$5:$S$81,MATCH($AL$8,Rens.!$U$5:$U$81,0)))))</f>
        <v>#REF!</v>
      </c>
      <c r="AN8" s="1418"/>
      <c r="AO8" s="1419"/>
      <c r="AP8" s="55"/>
      <c r="AQ8" s="40"/>
      <c r="AR8" s="40"/>
    </row>
    <row r="9" spans="1:44" ht="15.75" thickBot="1">
      <c r="A9" s="52">
        <v>72</v>
      </c>
      <c r="B9" s="1326"/>
      <c r="C9" s="1341" t="str">
        <f>IF(ISNA(MATCH($A$9,Rens.!$U$5:$U$81,0)),"",INDEX(Rens.!$S$5:$S$81,MATCH($A$9,Rens.!$U$5:$U$81,0)))</f>
        <v/>
      </c>
      <c r="D9" s="1342"/>
      <c r="E9" s="1342"/>
      <c r="F9" s="1343"/>
      <c r="G9" s="80">
        <v>0</v>
      </c>
      <c r="H9" s="54">
        <v>74</v>
      </c>
      <c r="I9" s="1326"/>
      <c r="J9" s="1344"/>
      <c r="K9" s="1342"/>
      <c r="L9" s="1342"/>
      <c r="M9" s="1343"/>
      <c r="N9" s="53">
        <v>0</v>
      </c>
      <c r="O9" s="44"/>
      <c r="P9" s="47"/>
      <c r="Q9" s="56" t="e">
        <f>IF(ISNA(MATCH($P$8,#REF!,0)),"",INDEX(#REF!,MATCH($P$8,#REF!,0)))</f>
        <v>#REF!</v>
      </c>
      <c r="R9" s="47"/>
      <c r="S9" s="47"/>
      <c r="T9" s="51"/>
      <c r="U9" s="47"/>
      <c r="V9" s="47"/>
      <c r="W9" s="38">
        <v>77</v>
      </c>
      <c r="X9" s="1326"/>
      <c r="Y9" s="1341" t="str">
        <f>IF(ISNA(MATCH($W$9,Rens.!$U$5:$U$81,0)),"",INDEX(Rens.!$S$5:$S$81,MATCH($W$9,Rens.!$U$5:$U$81,0)))</f>
        <v/>
      </c>
      <c r="Z9" s="1342"/>
      <c r="AA9" s="1342"/>
      <c r="AB9" s="1343"/>
      <c r="AC9" s="80">
        <v>0</v>
      </c>
      <c r="AD9" s="54">
        <v>79</v>
      </c>
      <c r="AE9" s="1326"/>
      <c r="AF9" s="1341"/>
      <c r="AG9" s="1342"/>
      <c r="AH9" s="1342"/>
      <c r="AI9" s="1343"/>
      <c r="AJ9" s="53">
        <v>0</v>
      </c>
      <c r="AK9" s="44"/>
      <c r="AL9" s="47"/>
      <c r="AM9" s="56" t="e">
        <f>IF(ISNA(MATCH($AL$8,#REF!,0)),"",INDEX(#REF!,MATCH($AL$8,#REF!,0)))</f>
        <v>#REF!</v>
      </c>
      <c r="AN9" s="47"/>
      <c r="AO9" s="47"/>
      <c r="AP9" s="51"/>
      <c r="AQ9" s="40"/>
      <c r="AR9" s="40"/>
    </row>
    <row r="10" spans="1:44" ht="15.75" thickBot="1">
      <c r="A10" s="38"/>
      <c r="B10" s="43"/>
      <c r="C10" s="92" t="s">
        <v>15</v>
      </c>
      <c r="D10" s="39"/>
      <c r="E10" s="47"/>
      <c r="F10" s="47"/>
      <c r="G10" s="47"/>
      <c r="H10" s="47"/>
      <c r="I10" s="47"/>
      <c r="J10" s="50" t="s">
        <v>40</v>
      </c>
      <c r="K10" s="39"/>
      <c r="L10" s="47"/>
      <c r="M10" s="47"/>
      <c r="N10" s="47"/>
      <c r="O10" s="47"/>
      <c r="P10" s="47"/>
      <c r="Q10" s="47"/>
      <c r="R10" s="47"/>
      <c r="S10" s="47"/>
      <c r="T10" s="51"/>
      <c r="U10" s="47"/>
      <c r="V10" s="47"/>
      <c r="W10" s="38"/>
      <c r="X10" s="43"/>
      <c r="Y10" s="92" t="s">
        <v>15</v>
      </c>
      <c r="Z10" s="39"/>
      <c r="AA10" s="47"/>
      <c r="AB10" s="47"/>
      <c r="AC10" s="47"/>
      <c r="AD10" s="47"/>
      <c r="AE10" s="47"/>
      <c r="AF10" s="50" t="s">
        <v>40</v>
      </c>
      <c r="AG10" s="39"/>
      <c r="AH10" s="47"/>
      <c r="AI10" s="47"/>
      <c r="AJ10" s="47"/>
      <c r="AK10" s="47"/>
      <c r="AL10" s="47"/>
      <c r="AM10" s="47"/>
      <c r="AN10" s="47"/>
      <c r="AO10" s="47"/>
      <c r="AP10" s="51"/>
      <c r="AQ10" s="40"/>
      <c r="AR10" s="40"/>
    </row>
    <row r="11" spans="1:44">
      <c r="A11" s="38"/>
      <c r="B11" s="43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51"/>
      <c r="U11" s="47"/>
      <c r="V11" s="47"/>
      <c r="W11" s="38"/>
      <c r="X11" s="43"/>
      <c r="Y11" s="48"/>
      <c r="Z11" s="48"/>
      <c r="AA11" s="48"/>
      <c r="AB11" s="48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51"/>
      <c r="AQ11" s="40"/>
      <c r="AR11" s="40"/>
    </row>
    <row r="12" spans="1:44">
      <c r="A12" s="38"/>
      <c r="B12" s="43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51"/>
      <c r="U12" s="47"/>
      <c r="V12" s="47"/>
      <c r="W12" s="38"/>
      <c r="X12" s="43"/>
      <c r="Y12" s="48"/>
      <c r="Z12" s="48"/>
      <c r="AA12" s="48"/>
      <c r="AB12" s="48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51"/>
      <c r="AQ12" s="40"/>
      <c r="AR12" s="40"/>
    </row>
    <row r="13" spans="1:44" ht="15.75" thickBot="1">
      <c r="A13" s="38"/>
      <c r="B13" s="49" t="s">
        <v>6</v>
      </c>
      <c r="C13" s="47"/>
      <c r="D13" s="78" t="s">
        <v>58</v>
      </c>
      <c r="E13" s="47"/>
      <c r="F13" s="47"/>
      <c r="G13" s="44" t="s">
        <v>5</v>
      </c>
      <c r="H13" s="44"/>
      <c r="I13" s="47"/>
      <c r="J13" s="47"/>
      <c r="K13" s="47"/>
      <c r="L13" s="47" t="s">
        <v>59</v>
      </c>
      <c r="M13" s="47"/>
      <c r="N13" s="47"/>
      <c r="O13" s="47"/>
      <c r="P13" s="44" t="s">
        <v>6</v>
      </c>
      <c r="Q13" s="47"/>
      <c r="R13" s="78" t="s">
        <v>57</v>
      </c>
      <c r="S13" s="47"/>
      <c r="T13" s="44" t="s">
        <v>5</v>
      </c>
      <c r="U13" s="57"/>
      <c r="V13" s="58"/>
      <c r="W13" s="38"/>
      <c r="X13" s="59" t="s">
        <v>6</v>
      </c>
      <c r="Y13" s="48"/>
      <c r="Z13" s="48" t="s">
        <v>58</v>
      </c>
      <c r="AA13" s="48"/>
      <c r="AB13" s="48"/>
      <c r="AC13" s="44" t="s">
        <v>5</v>
      </c>
      <c r="AD13" s="44"/>
      <c r="AE13" s="47"/>
      <c r="AF13" s="47"/>
      <c r="AG13" s="47"/>
      <c r="AH13" s="47" t="s">
        <v>59</v>
      </c>
      <c r="AI13" s="47"/>
      <c r="AJ13" s="47"/>
      <c r="AK13" s="47"/>
      <c r="AL13" s="44" t="s">
        <v>6</v>
      </c>
      <c r="AM13" s="47"/>
      <c r="AN13" s="47" t="s">
        <v>57</v>
      </c>
      <c r="AO13" s="47"/>
      <c r="AP13" s="45" t="s">
        <v>5</v>
      </c>
      <c r="AQ13" s="58"/>
      <c r="AR13" s="58"/>
    </row>
    <row r="14" spans="1:44" ht="15.75" thickBot="1">
      <c r="A14" s="38"/>
      <c r="B14" s="1325"/>
      <c r="C14" s="1305" t="str">
        <f>IF($G$8=$G$9,"résultat",IF($G$8&gt;$G$9,$C$9,$C$8))</f>
        <v/>
      </c>
      <c r="D14" s="1336"/>
      <c r="E14" s="1336"/>
      <c r="F14" s="1337"/>
      <c r="G14" s="53">
        <v>1</v>
      </c>
      <c r="H14" s="44"/>
      <c r="I14" s="47"/>
      <c r="J14" s="1370" t="b">
        <f>IF(ISTEXT($Q$8),IF(($G$9=$G$8),"résultat",IF(($N$9=$N$8),"résultat",IF(($U$14=2),$C$8,IF(($V$14=2),$C$9,IF(($U$15=2),$J$9,IF(($V$15=2),J8,0)))))))</f>
        <v>0</v>
      </c>
      <c r="K14" s="1371"/>
      <c r="L14" s="1371"/>
      <c r="M14" s="1372"/>
      <c r="N14" s="55"/>
      <c r="O14" s="47"/>
      <c r="P14" s="1325"/>
      <c r="Q14" s="1364" t="e">
        <f>IF($E$2+$E$3=5,$Q$8,IF($N$8=$N$9,"résultat",IF($N$8&gt;$N$9,$J$8,$J$9)))</f>
        <v>#REF!</v>
      </c>
      <c r="R14" s="1365"/>
      <c r="S14" s="1366"/>
      <c r="T14" s="61">
        <v>1</v>
      </c>
      <c r="U14" s="62">
        <f>IF(G8&gt;G9,1)+IF(N8&gt;N9,1)</f>
        <v>2</v>
      </c>
      <c r="V14" s="63">
        <f>IF(G9&gt;G8,1)+IF(N9&gt;N8,1)</f>
        <v>0</v>
      </c>
      <c r="W14" s="38"/>
      <c r="X14" s="1325"/>
      <c r="Y14" s="1427" t="str">
        <f>IF($AC$8=$AC$9,"résultat",IF($AC$8&gt;$AC$9,$Y$9,$Y$8))</f>
        <v/>
      </c>
      <c r="Z14" s="1336"/>
      <c r="AA14" s="1336"/>
      <c r="AB14" s="1337"/>
      <c r="AC14" s="53">
        <v>1</v>
      </c>
      <c r="AD14" s="44"/>
      <c r="AE14" s="47"/>
      <c r="AF14" s="1428" t="b">
        <f>IF(ISTEXT($AM$8),IF(($AC$9=$AC$8),"résultat",IF(($AJ$9=$AJ$8),"résultat",IF(($AQ$14=2),$Y$8,IF(($AR$14=2),$Y$9,IF(($AQ$15=2),$AF$9,IF(($AR$15=2),$AF$8,0)))))))</f>
        <v>0</v>
      </c>
      <c r="AG14" s="1371"/>
      <c r="AH14" s="1371"/>
      <c r="AI14" s="1372"/>
      <c r="AJ14" s="60">
        <v>0</v>
      </c>
      <c r="AK14" s="47"/>
      <c r="AL14" s="1325"/>
      <c r="AM14" s="1364" t="e">
        <f>IF($AA$2+$AA$3=5,$AM$8,IF($AJ$8&gt;$AJ$9,$AF$8,$AF$9))</f>
        <v>#REF!</v>
      </c>
      <c r="AN14" s="1365"/>
      <c r="AO14" s="1366"/>
      <c r="AP14" s="53">
        <v>1</v>
      </c>
      <c r="AQ14" s="62">
        <f>IF(AC8&gt;AC9,1)+IF(AJ8&gt;AJ9,1)</f>
        <v>2</v>
      </c>
      <c r="AR14" s="63">
        <f>IF(AC9&gt;AC8,1)+IF(AJ9&gt;AJ8,1)</f>
        <v>0</v>
      </c>
    </row>
    <row r="15" spans="1:44" ht="15.75" thickBot="1">
      <c r="A15" s="38"/>
      <c r="B15" s="1326"/>
      <c r="C15" s="1333">
        <f>IF($N$8=$N$9,"résultat",IF($N$8&lt;$N$9,$J$8,$J$9))</f>
        <v>0</v>
      </c>
      <c r="D15" s="1334"/>
      <c r="E15" s="1334"/>
      <c r="F15" s="1335"/>
      <c r="G15" s="64">
        <v>0</v>
      </c>
      <c r="H15" s="44"/>
      <c r="I15" s="47"/>
      <c r="J15" s="65">
        <f>IF(ISTEXT(J14)," ",0)</f>
        <v>0</v>
      </c>
      <c r="K15" s="47"/>
      <c r="L15" s="47"/>
      <c r="M15" s="47"/>
      <c r="N15" s="47"/>
      <c r="O15" s="47"/>
      <c r="P15" s="1326"/>
      <c r="Q15" s="1333" t="b">
        <f>IF(ISBLANK($Q$8),IF($G$8&gt;$G$9,$C$8,$C$9),IF(ISNUMBER($Q$8),IF(G8=G9,"résultat",IF($G$8&gt;$G$9,$C$8,$C$9)),IF(ISTEXT($Q$8),IF(($G$9=$G$8),"résultat",IF(($N$9=$N$8),"résultat",IF(($U$14=2),$J$8,IF(($V$14=2),$J$9,IF(($U$15=2),$C$8,IF(($V$15=2),$C$9)))))))))</f>
        <v>0</v>
      </c>
      <c r="R15" s="1334"/>
      <c r="S15" s="1335"/>
      <c r="T15" s="80">
        <v>0</v>
      </c>
      <c r="U15" s="66">
        <f>IF(G8&gt;G9,1)+IF(N9&gt;N8,1)</f>
        <v>1</v>
      </c>
      <c r="V15" s="67">
        <f>IF(G9&gt;G8,1)+IF(N8&gt;N9,1)</f>
        <v>1</v>
      </c>
      <c r="W15" s="38"/>
      <c r="X15" s="1326"/>
      <c r="Y15" s="1333">
        <f>IF($AJ$8=$AJ$9,"résultat",IF($AJ$8&lt;$AJ$9,$AF$8,$AF$9))</f>
        <v>0</v>
      </c>
      <c r="Z15" s="1334"/>
      <c r="AA15" s="1334"/>
      <c r="AB15" s="1335"/>
      <c r="AC15" s="53">
        <v>0</v>
      </c>
      <c r="AD15" s="44"/>
      <c r="AE15" s="47"/>
      <c r="AF15" s="47"/>
      <c r="AG15" s="47"/>
      <c r="AH15" s="47"/>
      <c r="AI15" s="47"/>
      <c r="AJ15" s="47"/>
      <c r="AK15" s="47"/>
      <c r="AL15" s="1326"/>
      <c r="AM15" s="1333" t="b">
        <f>IF(ISBLANK($AM$8),IF($AC$8&gt;$AC$9,$Y$8,$Y$9),IF(ISNUMBER($AM$8),IF($AC$8&gt;$AC$9,$Y$8,$Y$9),IF(ISTEXT($AM$8),IF(($AC$9=$AC$8),"résultat",IF(($AJ$9=$AJ$8),"résultat",IF(($AQ$14=2),$AF$8,IF(($AR$14=2),$AF$9,IF(($AQ$15=2),$Y$8,IF(($AR$15=2),$Y$9)))))))))</f>
        <v>0</v>
      </c>
      <c r="AN15" s="1334"/>
      <c r="AO15" s="1335"/>
      <c r="AP15" s="79">
        <v>0</v>
      </c>
      <c r="AQ15" s="66">
        <f>IF(AC8&gt;AC9,1)+IF(AJ9&gt;AJ8,1)</f>
        <v>1</v>
      </c>
      <c r="AR15" s="67">
        <f>IF(AC9&gt;AC8,1)+IF(AJ8&gt;AJ9,1)</f>
        <v>1</v>
      </c>
    </row>
    <row r="16" spans="1:44">
      <c r="A16" s="38"/>
      <c r="B16" s="43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68"/>
      <c r="Q16" s="47"/>
      <c r="R16" s="47"/>
      <c r="S16" s="47"/>
      <c r="T16" s="51"/>
      <c r="U16" s="47"/>
      <c r="V16" s="47"/>
      <c r="W16" s="38"/>
      <c r="X16" s="43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51"/>
      <c r="AQ16" s="40"/>
      <c r="AR16" s="40"/>
    </row>
    <row r="17" spans="1:44">
      <c r="A17" s="38"/>
      <c r="B17" s="43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51"/>
      <c r="U17" s="47"/>
      <c r="V17" s="47"/>
      <c r="W17" s="38"/>
      <c r="X17" s="43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51"/>
      <c r="AQ17" s="40"/>
      <c r="AR17" s="40"/>
    </row>
    <row r="18" spans="1:44">
      <c r="A18" s="38"/>
      <c r="B18" s="43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2"/>
      <c r="T18" s="51"/>
      <c r="U18" s="47"/>
      <c r="V18" s="47"/>
      <c r="W18" s="38"/>
      <c r="X18" s="43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51"/>
      <c r="AQ18" s="40"/>
      <c r="AR18" s="40"/>
    </row>
    <row r="19" spans="1:44" ht="15.75" thickBot="1">
      <c r="A19" s="38"/>
      <c r="B19" s="43"/>
      <c r="C19" s="47"/>
      <c r="D19" s="47"/>
      <c r="E19" s="44" t="s">
        <v>6</v>
      </c>
      <c r="F19" s="47"/>
      <c r="G19" s="47"/>
      <c r="H19" s="47"/>
      <c r="I19" s="47"/>
      <c r="J19" s="44" t="s">
        <v>5</v>
      </c>
      <c r="K19" s="44"/>
      <c r="L19" s="44" t="s">
        <v>6</v>
      </c>
      <c r="M19" s="47"/>
      <c r="N19" s="47"/>
      <c r="O19" s="47"/>
      <c r="P19" s="47"/>
      <c r="Q19" s="44" t="s">
        <v>5</v>
      </c>
      <c r="R19" s="47"/>
      <c r="S19" s="47"/>
      <c r="T19" s="51"/>
      <c r="U19" s="69"/>
      <c r="V19" s="47"/>
      <c r="W19" s="38"/>
      <c r="X19" s="43"/>
      <c r="Y19" s="47"/>
      <c r="Z19" s="47"/>
      <c r="AA19" s="44" t="s">
        <v>6</v>
      </c>
      <c r="AB19" s="47"/>
      <c r="AC19" s="47"/>
      <c r="AD19" s="47"/>
      <c r="AE19" s="47"/>
      <c r="AF19" s="44" t="s">
        <v>5</v>
      </c>
      <c r="AG19" s="44"/>
      <c r="AH19" s="44" t="s">
        <v>6</v>
      </c>
      <c r="AI19" s="47"/>
      <c r="AJ19" s="47"/>
      <c r="AK19" s="47"/>
      <c r="AL19" s="47"/>
      <c r="AM19" s="44" t="s">
        <v>5</v>
      </c>
      <c r="AN19" s="47"/>
      <c r="AO19" s="47"/>
      <c r="AP19" s="51"/>
      <c r="AQ19" s="40"/>
      <c r="AR19" s="40"/>
    </row>
    <row r="20" spans="1:44" ht="15.75" thickBot="1">
      <c r="A20" s="38"/>
      <c r="B20" s="43"/>
      <c r="C20" s="47"/>
      <c r="D20" s="47"/>
      <c r="E20" s="1325"/>
      <c r="F20" s="1341" t="e">
        <f>IF($F$3+$G$3=53,IF($G$14=$G$15,"résultat",IF($G$14&gt;$G$15,$C$14,$C$15)),IF($F$3+$G$3=52,IF($G$14=$G$15,"résultat",IF($G$14&gt;$G$15,$C$14,$C$15)),IF($F$3+$G$3=42,"0",IF($F$3+$G$3=43,"0",IF($F$3+$G$3=32,IF(0&gt;0,0,0),IF($F$3+$G$3=31,IF($T$14=$T$15,"résultat",IF($T$14&lt;$T$15,$Q$14,$Q$15))))))))</f>
        <v>#REF!</v>
      </c>
      <c r="G20" s="1345"/>
      <c r="H20" s="1345"/>
      <c r="I20" s="1346"/>
      <c r="J20" s="53">
        <v>1</v>
      </c>
      <c r="K20" s="44"/>
      <c r="L20" s="1325" t="s">
        <v>16</v>
      </c>
      <c r="M20" s="1423" t="e">
        <f>IF($E$2+$E$3=5,$J$14)</f>
        <v>#REF!</v>
      </c>
      <c r="N20" s="1368"/>
      <c r="O20" s="1368"/>
      <c r="P20" s="1369"/>
      <c r="Q20" s="53">
        <v>1</v>
      </c>
      <c r="R20" s="47"/>
      <c r="S20" s="47"/>
      <c r="T20" s="51"/>
      <c r="U20" s="47"/>
      <c r="V20" s="47"/>
      <c r="W20" s="38"/>
      <c r="X20" s="43"/>
      <c r="Y20" s="47"/>
      <c r="Z20" s="47"/>
      <c r="AA20" s="1325"/>
      <c r="AB20" s="1341" t="e">
        <f>IF($AB$3+$AC$3=53,IF($AC$14=$AC$15,"résultat",IF($AC$14&gt;$AC$15,$Y$14,$Y$15)),IF($AB$3+$AC$3=52,IF($AC$14=$AC$15,"résultat",IF($AC$14&gt;$AC$15,$Y$14,$Y$15)),IF($AB$3+$AC$3=42,"0",IF($AB$3+$AC$3=43,"0",IF($AB$3+$AC$3=32,IF(0&gt;0,0,0),IF($AB$3+$AC$3=31,IF($AP$14=$AP$15,"résultat",IF($AP$14&lt;$AP$15,$AM$14,$AM$15))))))))</f>
        <v>#REF!</v>
      </c>
      <c r="AC20" s="1345"/>
      <c r="AD20" s="1345"/>
      <c r="AE20" s="1346"/>
      <c r="AF20" s="53">
        <v>0</v>
      </c>
      <c r="AG20" s="44"/>
      <c r="AH20" s="1325" t="s">
        <v>16</v>
      </c>
      <c r="AI20" s="1423" t="e">
        <f>IF($AA$2+$AA$3=5,$AF$14)</f>
        <v>#REF!</v>
      </c>
      <c r="AJ20" s="1368"/>
      <c r="AK20" s="1368"/>
      <c r="AL20" s="1369"/>
      <c r="AM20" s="53">
        <v>0</v>
      </c>
      <c r="AN20" s="47"/>
      <c r="AO20" s="47"/>
      <c r="AP20" s="51"/>
      <c r="AQ20" s="40"/>
      <c r="AR20" s="40"/>
    </row>
    <row r="21" spans="1:44" ht="15.75" thickBot="1">
      <c r="A21" s="38"/>
      <c r="B21" s="43"/>
      <c r="C21" s="47"/>
      <c r="D21" s="47"/>
      <c r="E21" s="1326"/>
      <c r="F21" s="1341" t="e">
        <f>IF($F$3+$G$3=53,IF($T$14=$T$15,"résultat",IF($T$14&lt;$T$15,$Q$14,$Q$15)),(IF($F$3+$G$3=52,IF($T$14=$T$15,"résultat",IF($T$14&lt;$T$15,$Q$14,$Q$15)),(IF($F$3+$G$3=43,IF(0&gt;0,0,0),(IF($F$3+$G$3=42,IF(0&gt;0,0,0),(IF($F$3+$G$3=32,IF(0&lt;0,0,0),(IF($F$3+$G$3=31,IF($G$14=$G$15,"résultat",IF($G$14&gt;$G$15,$C$14,$C$15)))))))))))))</f>
        <v>#REF!</v>
      </c>
      <c r="G21" s="1342"/>
      <c r="H21" s="1342"/>
      <c r="I21" s="1343"/>
      <c r="J21" s="53">
        <v>0</v>
      </c>
      <c r="K21" s="44"/>
      <c r="L21" s="1326"/>
      <c r="M21" s="1341" t="e">
        <f>IF($F$3+$G$3=53,IF($T$14=$T$15,"résultat",IF($T$14&gt;$T$15,$Q$14,$Q$15)),(IF($F$3+$G$3=52,IF($T$14=$T$15,"résultat",IF($T$14&gt;$T$15,$Q$14,$Q$15)),(IF($F$3+$G$3=43,IF(0&gt;0,0,0),(IF($F$3+$G$3=42,IF(0&gt;0,0,0),(IF($F$3+$G$3=32,IF(0&gt;0,0,0),(IF($F$3+$G$3=31,IF(0&gt;0,0,0))))))))))))</f>
        <v>#REF!</v>
      </c>
      <c r="N21" s="1342"/>
      <c r="O21" s="1342"/>
      <c r="P21" s="1343"/>
      <c r="Q21" s="53">
        <v>0</v>
      </c>
      <c r="R21" s="47"/>
      <c r="S21" s="69"/>
      <c r="T21" s="51"/>
      <c r="U21" s="47"/>
      <c r="V21" s="42"/>
      <c r="W21" s="38"/>
      <c r="X21" s="43"/>
      <c r="Y21" s="47"/>
      <c r="Z21" s="47"/>
      <c r="AA21" s="1326"/>
      <c r="AB21" s="1341" t="e">
        <f>IF($AB$3+$AC$3=53,IF($AP$14=$AP$15,"résultat",IF($AP$14&lt;$AP$15,$AM$14,$AM$15)),(IF($AB$3+$AC$3=52,IF($AP$14=$AP$15,"résultat",IF($AP$14&lt;$AP$15,$AM$14,$AM$15)),(IF($AB$3+$AC$3=43,IF(0&gt;0,0,0),(IF($AB$3+$AC$3=42,IF(0&gt;0,0,0),(IF($AB$3+$AC$3=32,IF(0&lt;0,0,0),(IF($AB$3+$AC$3=31,IF($AC$14=$AC$15,"résultat",IF($AC$14&gt;$AC$15,$Y$14,$Y$15)))))))))))))</f>
        <v>#REF!</v>
      </c>
      <c r="AC21" s="1342"/>
      <c r="AD21" s="1342"/>
      <c r="AE21" s="1343"/>
      <c r="AF21" s="53">
        <v>0</v>
      </c>
      <c r="AG21" s="44"/>
      <c r="AH21" s="1326"/>
      <c r="AI21" s="1341" t="e">
        <f>IF($AB$3+$AC$3=53,IF($AP$14=$AP$15,"résultat",IF($AP$14&gt;$AP$15,$AM$14,$AM$15)),(IF($AB$3+$AC$3=52,IF($AP$14=$AP$15,"résultat",IF($AP$14&gt;$AP$15,$AM$14,$AM$15)),(IF($AB$3+$AC$3=43,IF(0&gt;0,0,0),(IF($AB$3+$AC$3=42,IF(0&gt;0,0,0),(IF($AB$3+$AC$3=32,IF(0&gt;0,0,0),(IF($AB$3+$AC$3=31,IF(0&gt;0,0,0))))))))))))</f>
        <v>#REF!</v>
      </c>
      <c r="AJ21" s="1342"/>
      <c r="AK21" s="1342"/>
      <c r="AL21" s="1343"/>
      <c r="AM21" s="53">
        <v>0</v>
      </c>
      <c r="AN21" s="47"/>
      <c r="AO21" s="47"/>
      <c r="AP21" s="51"/>
      <c r="AQ21" s="40"/>
      <c r="AR21" s="40"/>
    </row>
    <row r="22" spans="1:44">
      <c r="A22" s="38"/>
      <c r="B22" s="43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51"/>
      <c r="U22" s="47"/>
      <c r="V22" s="47"/>
      <c r="W22" s="38"/>
      <c r="X22" s="43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51"/>
      <c r="AQ22" s="40"/>
      <c r="AR22" s="40"/>
    </row>
    <row r="23" spans="1:44">
      <c r="A23" s="38"/>
      <c r="B23" s="43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51"/>
      <c r="U23" s="47"/>
      <c r="V23" s="47"/>
      <c r="W23" s="38"/>
      <c r="X23" s="43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51"/>
      <c r="AQ23" s="40"/>
      <c r="AR23" s="40"/>
    </row>
    <row r="24" spans="1:44" ht="15.75" thickBot="1">
      <c r="A24" s="38"/>
      <c r="B24" s="43"/>
      <c r="C24" s="47"/>
      <c r="D24" s="47"/>
      <c r="E24" s="47"/>
      <c r="F24" s="47"/>
      <c r="G24" s="47"/>
      <c r="H24" s="47"/>
      <c r="I24" s="44" t="s">
        <v>6</v>
      </c>
      <c r="J24" s="47"/>
      <c r="K24" s="47"/>
      <c r="L24" s="47"/>
      <c r="M24" s="47"/>
      <c r="N24" s="44" t="s">
        <v>5</v>
      </c>
      <c r="O24" s="44"/>
      <c r="P24" s="70"/>
      <c r="Q24" s="47"/>
      <c r="R24" s="47"/>
      <c r="S24" s="47"/>
      <c r="T24" s="51"/>
      <c r="U24" s="47"/>
      <c r="V24" s="47"/>
      <c r="W24" s="38"/>
      <c r="X24" s="43"/>
      <c r="Y24" s="47"/>
      <c r="Z24" s="47"/>
      <c r="AA24" s="47"/>
      <c r="AB24" s="47"/>
      <c r="AC24" s="47"/>
      <c r="AD24" s="47"/>
      <c r="AE24" s="44" t="s">
        <v>6</v>
      </c>
      <c r="AF24" s="47"/>
      <c r="AG24" s="47"/>
      <c r="AH24" s="47"/>
      <c r="AI24" s="47"/>
      <c r="AJ24" s="44" t="s">
        <v>5</v>
      </c>
      <c r="AK24" s="44"/>
      <c r="AL24" s="70"/>
      <c r="AM24" s="47"/>
      <c r="AN24" s="47"/>
      <c r="AO24" s="47"/>
      <c r="AP24" s="51"/>
      <c r="AQ24" s="40"/>
      <c r="AR24" s="40"/>
    </row>
    <row r="25" spans="1:44" ht="15.75" thickBot="1">
      <c r="A25" s="38"/>
      <c r="B25" s="43"/>
      <c r="C25" s="47"/>
      <c r="D25" s="47"/>
      <c r="E25" s="47"/>
      <c r="F25" s="47"/>
      <c r="G25" s="47"/>
      <c r="H25" s="47"/>
      <c r="I25" s="1325"/>
      <c r="J25" s="1250" t="e">
        <f>IF($F$3+$G$3=53,IF(0&lt;0,0,0),(IF($F$3+$G$3=52,IF($Q$20=$Q$21,"résultat",IF($Q$20&lt;$Q$21,$M$20,$M$21)),IF($F$3+$G$3=43,IF(0&lt;0,0,0),(IF($F$3+$G$3=42,IF($T$14=$T$15,"résultat",IF($T$14&lt;$T$15,$Q$14,$Q$15)),IF($F$3+$G$3=32,IF($T$14=$T$15,"résultat",IF($T$14&lt;$T$15,$Q$14,$Q$15)),IF($F$3+$G$3=31,IF($J$20=$J$21,"résultat",IF($J$20&gt;$J$21,$F$20,$F$21))))))))))</f>
        <v>#REF!</v>
      </c>
      <c r="K25" s="1327"/>
      <c r="L25" s="1327"/>
      <c r="M25" s="1328"/>
      <c r="N25" s="53">
        <v>1</v>
      </c>
      <c r="O25" s="44"/>
      <c r="P25" s="47"/>
      <c r="Q25" s="47"/>
      <c r="R25" s="47"/>
      <c r="S25" s="47"/>
      <c r="T25" s="51"/>
      <c r="U25" s="47"/>
      <c r="V25" s="47"/>
      <c r="W25" s="38"/>
      <c r="X25" s="43"/>
      <c r="Y25" s="47"/>
      <c r="Z25" s="47"/>
      <c r="AA25" s="47"/>
      <c r="AB25" s="47"/>
      <c r="AC25" s="47"/>
      <c r="AD25" s="47"/>
      <c r="AE25" s="1325"/>
      <c r="AF25" s="1338" t="e">
        <f>IF($AB$3+$AC$3=53,IF(0&lt;0,0,0),(IF($AB$3+$AC$3=52,IF($AM$20=$AM$21,"résultat",IF($AM$20&lt;$AM$21,$AI$20,$AI$21)),IF($AB$3+$AC$3=43,IF(0&lt;0,0,0),(IF($AB$3+$AC$3=42,IF($AP$14=$AP$15,"résultat",IF($AP$14&lt;$AP$15,$AM$14,$AM$15)),IF($AB$3+$AC$3=32,IF($AP$14=$AP$15,"résultat",IF($AP$14&lt;$AP$15,$AM$14,$AM$15)),IF($AB$3+$AC$3=31,IF($AF$20=$AF$21,"résultat",IF($AF$20&gt;$AF$21,$AB$20,$AB$21))))))))))</f>
        <v>#REF!</v>
      </c>
      <c r="AG25" s="1359"/>
      <c r="AH25" s="1359"/>
      <c r="AI25" s="1360"/>
      <c r="AJ25" s="53">
        <v>1</v>
      </c>
      <c r="AK25" s="44"/>
      <c r="AL25" s="47"/>
      <c r="AM25" s="47"/>
      <c r="AN25" s="47"/>
      <c r="AO25" s="47"/>
      <c r="AP25" s="51"/>
      <c r="AQ25" s="40"/>
      <c r="AR25" s="40"/>
    </row>
    <row r="26" spans="1:44" ht="15.75" thickBot="1">
      <c r="A26" s="38"/>
      <c r="B26" s="43"/>
      <c r="C26" s="47"/>
      <c r="D26" s="47"/>
      <c r="E26" s="47"/>
      <c r="F26" s="47"/>
      <c r="G26" s="47"/>
      <c r="H26" s="47"/>
      <c r="I26" s="1326"/>
      <c r="J26" s="1347" t="e">
        <f>IF($F$3+$G$3=53,IF(0&gt;0,0,0),(IF($F$3+$G$3=52,IF($J$20=$J$21,"résultat",IF($J$20&gt;$J$21,$F$20,$F$21)),IF($F$3+$G$3=43,IF(0&gt;0,0,0),(IF(F3+G3=42,IF($G$14=$G$15,"résultat",IF($G$14&gt;$G$15,$C$14,$C$15)),(IF($F$3+$G$3=32,IF($G$14=$G$15,"résultat",IF($G$14&gt;$G$15,$C$14,$C$15)),(IF($F$3+$G$3=31,IF($T$14=$T$15,"résultat",IF($T$14&gt;$T$15,$Q$14,$Q$15))))))))))))</f>
        <v>#REF!</v>
      </c>
      <c r="K26" s="1348"/>
      <c r="L26" s="1348"/>
      <c r="M26" s="1349"/>
      <c r="N26" s="53">
        <v>0</v>
      </c>
      <c r="O26" s="44"/>
      <c r="P26" s="47"/>
      <c r="Q26" s="47"/>
      <c r="R26" s="47"/>
      <c r="S26" s="47"/>
      <c r="T26" s="51"/>
      <c r="U26" s="47"/>
      <c r="V26" s="47"/>
      <c r="W26" s="38"/>
      <c r="X26" s="43"/>
      <c r="Y26" s="47"/>
      <c r="Z26" s="47"/>
      <c r="AA26" s="47"/>
      <c r="AB26" s="47"/>
      <c r="AC26" s="47"/>
      <c r="AD26" s="47"/>
      <c r="AE26" s="1326"/>
      <c r="AF26" s="1347" t="e">
        <f>IF($AB$3+$AC$3=53,IF(0&gt;0,0,0),(IF($AB$3+$AC$3=52,IF(AF20=AF21,"résultat",IF($AF$20&gt;$AF$21,$AB$20,$AB$21)),IF($AB$3+$AC$3=43,IF(0&gt;0,0,0),(IF($AB$3+$AC$3=42,IF(AC14=AC15,"résultat",IF($AC$14&gt;$AC$15,$Y$14,$Y$15)),(IF($AB$3+$AC$3=32,IF(AC14=AC15,"résultat",IF($AC$14&gt;$AC$15,$Y$14,$Y$15)),(IF($AB$3+$AC$3=31,IF(AP14=AP15,"résultat",IF($AP$14&gt;$AP$15,$AM$14,$AM$15))))))))))))</f>
        <v>#REF!</v>
      </c>
      <c r="AG26" s="1348"/>
      <c r="AH26" s="1348"/>
      <c r="AI26" s="1349"/>
      <c r="AJ26" s="53">
        <v>0</v>
      </c>
      <c r="AK26" s="44"/>
      <c r="AL26" s="47"/>
      <c r="AM26" s="47"/>
      <c r="AN26" s="47"/>
      <c r="AO26" s="47"/>
      <c r="AP26" s="51"/>
      <c r="AQ26" s="40"/>
      <c r="AR26" s="40"/>
    </row>
    <row r="27" spans="1:44" ht="15.75" thickBot="1">
      <c r="A27" s="38"/>
      <c r="B27" s="43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51"/>
      <c r="U27" s="47"/>
      <c r="V27" s="47"/>
      <c r="W27" s="38"/>
      <c r="X27" s="43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51"/>
      <c r="AQ27" s="40"/>
      <c r="AR27" s="40"/>
    </row>
    <row r="28" spans="1:44" ht="15.75" thickBot="1">
      <c r="A28" s="38"/>
      <c r="B28" s="43"/>
      <c r="D28" s="47"/>
      <c r="E28" s="47"/>
      <c r="F28" s="47"/>
      <c r="G28" s="47"/>
      <c r="H28" s="47"/>
      <c r="I28" s="47"/>
      <c r="J28" s="1440" t="s">
        <v>56</v>
      </c>
      <c r="K28" s="1441"/>
      <c r="L28" s="1441"/>
      <c r="M28" s="1442"/>
      <c r="N28" s="47"/>
      <c r="O28" s="47"/>
      <c r="P28" s="69"/>
      <c r="Q28" s="47"/>
      <c r="R28" s="47"/>
      <c r="S28" s="47"/>
      <c r="T28" s="51"/>
      <c r="W28" s="38"/>
      <c r="X28" s="43"/>
      <c r="Z28" s="47"/>
      <c r="AA28" s="47"/>
      <c r="AB28" s="47"/>
      <c r="AC28" s="47"/>
      <c r="AD28" s="47"/>
      <c r="AE28" s="47"/>
      <c r="AF28" s="1440" t="s">
        <v>56</v>
      </c>
      <c r="AG28" s="1441"/>
      <c r="AH28" s="1441"/>
      <c r="AI28" s="1442"/>
      <c r="AJ28" s="47"/>
      <c r="AK28" s="47"/>
      <c r="AL28" s="69"/>
      <c r="AM28" s="47"/>
      <c r="AN28" s="47"/>
      <c r="AO28" s="47"/>
      <c r="AP28" s="51"/>
    </row>
    <row r="29" spans="1:44" ht="15.75" thickBot="1">
      <c r="A29" s="38"/>
      <c r="B29" s="43"/>
      <c r="D29" s="1432" t="s">
        <v>0</v>
      </c>
      <c r="E29" s="1433"/>
      <c r="F29" s="1434"/>
      <c r="G29" s="47"/>
      <c r="H29" s="1429" t="e">
        <f>IF(F3+G3=0,"OFFICE",IF($F$3+$G$3=53,IF($Q$20=$Q$21,"résultat",IF($Q$20&gt;$Q$21,$M$20,$M$21)),(IF($F$3+$G$3=52,IF($Q$20=$Q$21,"résultat",IF($Q$20&gt;$Q$21,$M$20,$M$21)),(IF($F$3+$G$3=43,IF($T$14=$T$15,"résultat",IF($T$14&gt;$T$15,$Q$14,$Q$15)),(IF($F$3+$G$3=42,IF($T$14=$T$15,"résultat",IF($T$14&gt;$T$15,$Q$14,$Q$15)),(IF($F$3+$G$3=32,IF($T$14=$T$15,"résultat",IF($T$14&gt;$T$15,$Q$14,$Q$15)),(IF($F$3+$G$3=31,IF($N$25=$N$26,"résultat",IF($N$25&gt;$N$26,$J$25,$J$26))))))))))))))</f>
        <v>#REF!</v>
      </c>
      <c r="I29" s="1452"/>
      <c r="J29" s="1452"/>
      <c r="K29" s="1452"/>
      <c r="L29" s="1452"/>
      <c r="M29" s="1452"/>
      <c r="N29" s="1453"/>
      <c r="O29" s="47"/>
      <c r="P29" s="47"/>
      <c r="Q29" s="47"/>
      <c r="R29" s="47"/>
      <c r="S29" s="47"/>
      <c r="T29" s="51"/>
      <c r="W29" s="38"/>
      <c r="X29" s="43"/>
      <c r="Z29" s="1432" t="s">
        <v>0</v>
      </c>
      <c r="AA29" s="1433"/>
      <c r="AB29" s="1434"/>
      <c r="AC29" s="47"/>
      <c r="AD29" s="1429" t="e">
        <f>IF(AB3+AC3=0,"OFFICE",IF(AB3+AC3=0,"OFFICE",IF($AB$3+$AC$3=53,IF($AM$20=$AM$21,"résultat",IF($AM$20&gt;$AM$21,$AI$20,$AI$21)),(IF($AB$3+$AC$3=52,IF($AM$20=$AM$21,"résultat",IF($AM$20&gt;$AM$21,$AI$20,$AI$21)),(IF($AB$3+$AC$3=43,IF($AP$14=$AP$15,"résultat",IF($AP$14&gt;$AP$15,$AM$14,$AM$15)),(IF($AB$3+$AC$3=42,IF($AP$14=$AP$15,"résultat",IF($AP$14&gt;$AP$15,$AM$14,$AM$15)),(IF($AB$3+$AC$3=32,IF($AP$14=$AP$15,"résultat",IF($AP$14&gt;$AP$15,$AM$14,$AM$15)),(IF($AB$3+$AC$3=31,IF($AJ$25=$AJ$26,"résultat",IF($AJ$25&gt;$AJ$26,$AF$25,$AF$26)))))))))))))))</f>
        <v>#REF!</v>
      </c>
      <c r="AE29" s="1452"/>
      <c r="AF29" s="1452"/>
      <c r="AG29" s="1452"/>
      <c r="AH29" s="1452"/>
      <c r="AI29" s="1452"/>
      <c r="AJ29" s="1453"/>
      <c r="AK29" s="47"/>
      <c r="AL29" s="47"/>
      <c r="AM29" s="60" t="s">
        <v>70</v>
      </c>
      <c r="AN29" s="47"/>
      <c r="AO29" s="47"/>
      <c r="AP29" s="51"/>
    </row>
    <row r="30" spans="1:44">
      <c r="A30" s="38"/>
      <c r="B30" s="43"/>
      <c r="D30" s="1396" t="s">
        <v>1</v>
      </c>
      <c r="E30" s="1397"/>
      <c r="F30" s="1398"/>
      <c r="G30" s="47"/>
      <c r="H30" s="1399" t="e">
        <f>IF(F3+G3=0,"OFFICE",IF($F$3+$G$3=53,IF($Q$20=$Q$21,"résultat",IF($Q$20&lt;$Q$21,$M$20,$M$21)),(IF($F$3+$G$3=52,IF($N$25=$N$26,"résultat",IF($N$25&gt;$N$26,$J$25,$J$26)),(IF($F$3+$G$3=43,IF($T$14=$T$15,"résultat",IF($T$14&lt;$T$15,$Q$14,$Q$15)),(IF($F$3+$G$3=42,IF($N$25=$N$26,"résultat",IF($N$25&gt;$N$26,$J$25,$J$26)),(IF($F$3+$G$3=32,IF($N$25=$N$26,"résultat",IF($N$25&gt;$N$26,$J$25,$J$26)),(IF($F$3+$G$3=31,IF($N$25=$N$26,"résultat",IF($N$25&lt;$N$26,$J$25,$J$26))))))))))))))</f>
        <v>#REF!</v>
      </c>
      <c r="I30" s="1400"/>
      <c r="J30" s="1400"/>
      <c r="K30" s="1400"/>
      <c r="L30" s="1400"/>
      <c r="M30" s="1400"/>
      <c r="N30" s="1401"/>
      <c r="O30" s="47"/>
      <c r="P30" s="71"/>
      <c r="Q30" s="71"/>
      <c r="R30" s="71"/>
      <c r="S30" s="71"/>
      <c r="T30" s="51"/>
      <c r="W30" s="38"/>
      <c r="X30" s="43"/>
      <c r="Z30" s="1396" t="s">
        <v>1</v>
      </c>
      <c r="AA30" s="1397"/>
      <c r="AB30" s="1398"/>
      <c r="AC30" s="47"/>
      <c r="AD30" s="1399" t="e">
        <f>IF(AB3+AC3=0,"OFFICE",IF($AB$3+$AC$3=53,IF($AM$20=$AM$21,"résultat",IF($AM$20&lt;$AM$21,$AI$20,$AI$21)),(IF($AB$3+$AC$3=52,IF($AJ$25=$AJ$26,"résultat",IF($AJ$25&gt;$AJ$26,$AF$25,$AF$26)),(IF($AB$3+$AC$3=43,IF($AP$14=$AP$15,"résultat",IF($AP$14&lt;$AP$15,$AM$14,$AM$15)),(IF($AB$3+$AC$3=42,IF($AJ$25=$AJ$26,"résultat",IF($AJ$25&gt;$AJ$26,$AF$25,$AF$26)),(IF($AB$3+$AC$3=32,IF($AJ$25=$AJ$26,"résultat",IF($AJ$25&gt;$AJ$26,$AF$25,$AF$26)),(IF($AB$3+$AC$3=31,IF($AJ$25=$AJ$26,"résultat",IF($AJ$25&lt;$AJ$26,$AF$25,$AF$26))))))))))))))</f>
        <v>#REF!</v>
      </c>
      <c r="AE30" s="1400"/>
      <c r="AF30" s="1400"/>
      <c r="AG30" s="1400"/>
      <c r="AH30" s="1400"/>
      <c r="AI30" s="1400"/>
      <c r="AJ30" s="1401"/>
      <c r="AK30" s="47"/>
      <c r="AL30" s="71"/>
      <c r="AM30" s="71"/>
      <c r="AN30" s="71"/>
      <c r="AO30" s="47"/>
      <c r="AP30" s="51"/>
    </row>
    <row r="31" spans="1:44">
      <c r="A31" s="38"/>
      <c r="B31" s="43"/>
      <c r="D31" s="1396" t="s">
        <v>2</v>
      </c>
      <c r="E31" s="1397"/>
      <c r="F31" s="1398"/>
      <c r="G31" s="47"/>
      <c r="H31" s="1405" t="e">
        <f>IF($F$3+$G$3=53,IF($J$20=$J$21,"résultat",IF($J$20&gt;$J$21,$F$20,$F$21)),(IF($F$3+$G$3=52,IF($N$25=$N$26,"résultat",IF($N$25&lt;$N$26,$J$25,$J$26)),(IF($F$3+$G$3=43,IF($G$14=$G$15,"résultat",IF($G$14&gt;$G$15,$C$14,$C$15)),(IF($F$3+$G$3=42,IF($N$25=$N$26,"résultat",IF($N$25&lt;$N$26,$J$25,$J$26)),(IF($F$3+$G$3=32,IF($N$25=$N$26,"résultat",IF($N$25&lt;$N$26,$J$25,$J$26)),(IF($F$3+$G$3=31,IF($J$20=$J$21,"résultat",IF($J$20&lt;$J$21,$F$20,$F$21)))))))))))))</f>
        <v>#REF!</v>
      </c>
      <c r="I31" s="1406"/>
      <c r="J31" s="1406"/>
      <c r="K31" s="1406"/>
      <c r="L31" s="1406"/>
      <c r="M31" s="1406"/>
      <c r="N31" s="1407"/>
      <c r="O31" s="47"/>
      <c r="P31" s="47"/>
      <c r="Q31" s="47"/>
      <c r="R31" s="47"/>
      <c r="S31" s="47"/>
      <c r="T31" s="51"/>
      <c r="W31" s="38"/>
      <c r="X31" s="43"/>
      <c r="Z31" s="1396" t="s">
        <v>2</v>
      </c>
      <c r="AA31" s="1397"/>
      <c r="AB31" s="1398"/>
      <c r="AC31" s="47"/>
      <c r="AD31" s="1402" t="e">
        <f>IF($AB$3+$AC$3=53,IF($AF$20=$AF$21,"résultat",IF($AF$20&gt;$AF$21,$AB$20,$AB$21)),(IF($AB$3+$AC$3=52,IF($AJ$25=$AJ$26,"résultat",IF($AJ$25&lt;$AJ$26,$AF$25,$AF$26)),(IF($AB$3+$AC$3=43,IF($AC$14=$AC$15,"résultat",IF($AC$14&gt;$G$15,$Y$14,$Y$15)),(IF($AB$3+$AC$3=42,IF($AJ$25=$AJ$26,"résultat",IF($AJ$25&lt;$AJ$26,$AF$25,$AF$26)),(IF($AB$3+$AC$3=32,IF($AJ$25=$AJ$26,"résultat",IF($AJ$25&lt;$AJ$26,$AF$25,$AF$26)),(IF($AB$3+$AC$3=31,IF($AF$20=$AF$21,"résultat",IF($AF$20&lt;$AF$21,$AB$20,$AB$21)))))))))))))</f>
        <v>#REF!</v>
      </c>
      <c r="AE31" s="1403"/>
      <c r="AF31" s="1403"/>
      <c r="AG31" s="1403"/>
      <c r="AH31" s="1403"/>
      <c r="AI31" s="1403"/>
      <c r="AJ31" s="1404"/>
      <c r="AK31" s="47"/>
      <c r="AL31" s="47"/>
      <c r="AM31" s="47"/>
      <c r="AN31" s="47"/>
      <c r="AO31" s="47"/>
      <c r="AP31" s="51"/>
    </row>
    <row r="32" spans="1:44">
      <c r="A32" s="38"/>
      <c r="B32" s="43"/>
      <c r="D32" s="1396" t="s">
        <v>3</v>
      </c>
      <c r="E32" s="1397"/>
      <c r="F32" s="1398"/>
      <c r="G32" s="47"/>
      <c r="H32" s="1405" t="e">
        <f>IF($F$3+$G$3=53,IF($J$20=$J$21,"résultat",IF($J$20&lt;$J$21,$F$20,$F$21)),(IF($F$3+$G$3=52,IF($J$20=$J$21,"résultat",IF($J$20&lt;$J$21,$F$20,$F$21)),(IF($F$3+$G$3=43,IF($G$14=$G$15,"résultat",IF($G$14&lt;$G$15,$C$14,$C$15)),(IF($F$3+$G$3=42,IF($G$14=$G$15,"résultat",IF($G$14&lt;$G$15,$C$14,$C$15)),(IF($F$3+$G$3=32,IF(0&gt;0,0,0),(IF($F$3+$G$3=31,IF(0&gt;0,0,0))))))))))))</f>
        <v>#REF!</v>
      </c>
      <c r="I32" s="1406"/>
      <c r="J32" s="1406"/>
      <c r="K32" s="1406"/>
      <c r="L32" s="1406"/>
      <c r="M32" s="1406"/>
      <c r="N32" s="1407"/>
      <c r="O32" s="47"/>
      <c r="P32" s="47"/>
      <c r="Q32" s="47"/>
      <c r="R32" s="47"/>
      <c r="S32" s="47"/>
      <c r="T32" s="51"/>
      <c r="W32" s="38"/>
      <c r="X32" s="43"/>
      <c r="Z32" s="1396" t="s">
        <v>3</v>
      </c>
      <c r="AA32" s="1397"/>
      <c r="AB32" s="1398"/>
      <c r="AC32" s="47"/>
      <c r="AD32" s="1405" t="e">
        <f>IF($AB$3+$AC$3=53,IF($AF$20=$AF$21,"résultat",IF($AF$20&lt;$AF$21,$AB$20,$AB$21)),(IF($AB$3+$AC$3=52,IF($AF$20=$AF$21,"résultat",IF($AF$20&lt;$AF$21,$AB$20,$AB$21)),(IF($AB$3+$AC$3=43,IF($AC$14=$AC$15,"résultat",IF($AC$14&lt;$AC$15,$Y$14,$Y$15)),(IF($AB$3+$AC$3=42,IF($AC$14=$AC$15,"résultat",IF($AC$14&lt;$AC$15,$Y$14,$Y$15)),(IF($AB$3+$AC$3=32,IF(0&gt;0,0,0),(IF($AB$3+$AC$3=31,IF(0&gt;0,0,0))))))))))))</f>
        <v>#REF!</v>
      </c>
      <c r="AE32" s="1406"/>
      <c r="AF32" s="1406"/>
      <c r="AG32" s="1406"/>
      <c r="AH32" s="1406"/>
      <c r="AI32" s="1406"/>
      <c r="AJ32" s="1407"/>
      <c r="AK32" s="47"/>
      <c r="AL32" s="47"/>
      <c r="AM32" s="47"/>
      <c r="AN32" s="47"/>
      <c r="AO32" s="47"/>
      <c r="AP32" s="51"/>
    </row>
    <row r="33" spans="1:44" ht="15.75" thickBot="1">
      <c r="A33" s="38"/>
      <c r="B33" s="43"/>
      <c r="D33" s="1390" t="s">
        <v>4</v>
      </c>
      <c r="E33" s="1391"/>
      <c r="F33" s="1392"/>
      <c r="G33" s="47"/>
      <c r="H33" s="1393" t="e">
        <f>IF($F$3+$G$3=53,IF($G$14=$G$15,"résultat",IF($G$14&lt;$G$15,$C$14,$C$15)),(IF($F$3+$G$3=52,IF($G$14=$G$15,"résultat",IF($G$14&lt;$G$15,$C$14,$C$15)),(IF($F$3+$G$3=43,IF(0&gt;0,0,0),(IF($F$3+$G$3=42,IF(0&gt;0,0,0),(IF($F$3+$G$3=32,IF(0&gt;0,0,0),(IF($F$3+$G$3=31,IF(0&gt;0,0,0))))))))))))</f>
        <v>#REF!</v>
      </c>
      <c r="I33" s="1394"/>
      <c r="J33" s="1394"/>
      <c r="K33" s="1394"/>
      <c r="L33" s="1394"/>
      <c r="M33" s="1394"/>
      <c r="N33" s="1395"/>
      <c r="O33" s="47"/>
      <c r="P33" s="47"/>
      <c r="Q33" s="47"/>
      <c r="R33" s="47"/>
      <c r="S33" s="47"/>
      <c r="T33" s="51"/>
      <c r="W33" s="38"/>
      <c r="X33" s="43"/>
      <c r="Z33" s="1390" t="s">
        <v>4</v>
      </c>
      <c r="AA33" s="1391"/>
      <c r="AB33" s="1392"/>
      <c r="AC33" s="47"/>
      <c r="AD33" s="1393" t="e">
        <f>IF($AB$3+$AC$3=53,IF(AC14=AC15,"résultat",IF($AC$14&lt;$AC$15,$Y$14,$Y$15)),(IF($AB$3+$AC$3=52,IF(AC14=AC15,"résultat",IF($AC$14&lt;$AC$15,$Y$14,$Y$15)),(IF($AB$3+$AC$3=43,IF(0&gt;0,0,0),(IF($AB$3+$AC$3=42,IF(0&gt;0,0,0),(IF($AB$3+$AC$3=32,IF(0&gt;0,0,0),(IF($AB$3+$AC$3=31,IF(0&gt;0,0,0))))))))))))</f>
        <v>#REF!</v>
      </c>
      <c r="AE33" s="1394"/>
      <c r="AF33" s="1394"/>
      <c r="AG33" s="1394"/>
      <c r="AH33" s="1394"/>
      <c r="AI33" s="1394"/>
      <c r="AJ33" s="1395"/>
      <c r="AK33" s="47"/>
      <c r="AL33" s="47"/>
      <c r="AM33" s="47"/>
      <c r="AN33" s="47"/>
      <c r="AO33" s="47"/>
      <c r="AP33" s="51"/>
    </row>
    <row r="34" spans="1:44">
      <c r="A34" s="38"/>
      <c r="B34" s="43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47"/>
      <c r="O34" s="47"/>
      <c r="P34" s="47"/>
      <c r="Q34" s="47"/>
      <c r="R34" s="47"/>
      <c r="S34" s="47"/>
      <c r="T34" s="51"/>
      <c r="U34" s="47"/>
      <c r="V34" s="47"/>
      <c r="W34" s="38"/>
      <c r="X34" s="43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7"/>
      <c r="AK34" s="47"/>
      <c r="AL34" s="47"/>
      <c r="AM34" s="47"/>
      <c r="AN34" s="47"/>
      <c r="AO34" s="47"/>
      <c r="AP34" s="51"/>
      <c r="AQ34" s="40"/>
      <c r="AR34" s="40"/>
    </row>
    <row r="35" spans="1:44" ht="15.75" thickBot="1">
      <c r="A35" s="38"/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4"/>
      <c r="O35" s="74"/>
      <c r="P35" s="74"/>
      <c r="Q35" s="74"/>
      <c r="R35" s="74"/>
      <c r="S35" s="74"/>
      <c r="T35" s="75"/>
      <c r="U35" s="38"/>
      <c r="V35" s="38"/>
      <c r="W35" s="38"/>
      <c r="X35" s="72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5"/>
      <c r="AQ35" s="40"/>
      <c r="AR35" s="40"/>
    </row>
    <row r="39" spans="1:4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</sheetData>
  <sheetProtection formatColumns="0" formatRows="0" selectLockedCells="1"/>
  <mergeCells count="88">
    <mergeCell ref="H30:N30"/>
    <mergeCell ref="Z30:AB30"/>
    <mergeCell ref="AD30:AJ30"/>
    <mergeCell ref="D31:F31"/>
    <mergeCell ref="H31:N31"/>
    <mergeCell ref="Z31:AB31"/>
    <mergeCell ref="AD31:AJ31"/>
    <mergeCell ref="D30:F30"/>
    <mergeCell ref="I25:I26"/>
    <mergeCell ref="J25:M25"/>
    <mergeCell ref="AE25:AE26"/>
    <mergeCell ref="AF25:AI25"/>
    <mergeCell ref="J26:M26"/>
    <mergeCell ref="AF26:AI26"/>
    <mergeCell ref="AA20:AA21"/>
    <mergeCell ref="AB20:AE20"/>
    <mergeCell ref="AH20:AH21"/>
    <mergeCell ref="AI20:AL20"/>
    <mergeCell ref="F21:I21"/>
    <mergeCell ref="M21:P21"/>
    <mergeCell ref="AB21:AE21"/>
    <mergeCell ref="AI21:AL21"/>
    <mergeCell ref="C4:S4"/>
    <mergeCell ref="AM14:AO14"/>
    <mergeCell ref="C15:F15"/>
    <mergeCell ref="Q15:S15"/>
    <mergeCell ref="Y15:AB15"/>
    <mergeCell ref="AM15:AO15"/>
    <mergeCell ref="Q14:S14"/>
    <mergeCell ref="X14:X15"/>
    <mergeCell ref="Y14:AB14"/>
    <mergeCell ref="AF14:AI14"/>
    <mergeCell ref="AL14:AL15"/>
    <mergeCell ref="X8:X9"/>
    <mergeCell ref="Y8:AB8"/>
    <mergeCell ref="AE8:AE9"/>
    <mergeCell ref="AF8:AI8"/>
    <mergeCell ref="AM8:AO8"/>
    <mergeCell ref="Y9:AB9"/>
    <mergeCell ref="AF9:AI9"/>
    <mergeCell ref="B8:B9"/>
    <mergeCell ref="C8:F8"/>
    <mergeCell ref="I8:I9"/>
    <mergeCell ref="J8:M8"/>
    <mergeCell ref="Q8:S8"/>
    <mergeCell ref="C9:F9"/>
    <mergeCell ref="J9:M9"/>
    <mergeCell ref="B14:B15"/>
    <mergeCell ref="C14:F14"/>
    <mergeCell ref="J14:M14"/>
    <mergeCell ref="P14:P15"/>
    <mergeCell ref="E20:E21"/>
    <mergeCell ref="F20:I20"/>
    <mergeCell ref="L20:L21"/>
    <mergeCell ref="M20:P20"/>
    <mergeCell ref="D32:F32"/>
    <mergeCell ref="H32:N32"/>
    <mergeCell ref="Z32:AB32"/>
    <mergeCell ref="AD32:AJ32"/>
    <mergeCell ref="D33:F33"/>
    <mergeCell ref="H33:N33"/>
    <mergeCell ref="Z33:AB33"/>
    <mergeCell ref="AD33:AJ33"/>
    <mergeCell ref="J28:M28"/>
    <mergeCell ref="AF28:AI28"/>
    <mergeCell ref="D29:F29"/>
    <mergeCell ref="H29:N29"/>
    <mergeCell ref="Z29:AB29"/>
    <mergeCell ref="AD29:AJ29"/>
    <mergeCell ref="X2:Z2"/>
    <mergeCell ref="T4:T5"/>
    <mergeCell ref="Y4:AO4"/>
    <mergeCell ref="X1:Z1"/>
    <mergeCell ref="AA1:AC1"/>
    <mergeCell ref="AE1:AH1"/>
    <mergeCell ref="AJ1:AO1"/>
    <mergeCell ref="AB2:AC2"/>
    <mergeCell ref="AE2:AG2"/>
    <mergeCell ref="AH2:AP2"/>
    <mergeCell ref="AP4:AP5"/>
    <mergeCell ref="I1:L1"/>
    <mergeCell ref="N1:S1"/>
    <mergeCell ref="B1:D1"/>
    <mergeCell ref="E1:G1"/>
    <mergeCell ref="B2:D2"/>
    <mergeCell ref="F2:G2"/>
    <mergeCell ref="I2:K2"/>
    <mergeCell ref="L2:T2"/>
  </mergeCells>
  <conditionalFormatting sqref="H32">
    <cfRule type="expression" dxfId="97" priority="250">
      <formula>$H$2=5</formula>
    </cfRule>
    <cfRule type="expression" dxfId="96" priority="251">
      <formula>$H$2=4</formula>
    </cfRule>
    <cfRule type="expression" dxfId="95" priority="252">
      <formula>$H$2=0</formula>
    </cfRule>
  </conditionalFormatting>
  <conditionalFormatting sqref="H29:N29">
    <cfRule type="expression" dxfId="94" priority="247">
      <formula>$H$2=0</formula>
    </cfRule>
    <cfRule type="expression" dxfId="93" priority="248" stopIfTrue="1">
      <formula>(OR(H2="1",H2="2",H2="3"))</formula>
    </cfRule>
  </conditionalFormatting>
  <conditionalFormatting sqref="H30:N30">
    <cfRule type="expression" dxfId="92" priority="246">
      <formula>(OR(H2="2",H2="3"))</formula>
    </cfRule>
  </conditionalFormatting>
  <conditionalFormatting sqref="H31:N31">
    <cfRule type="expression" dxfId="91" priority="245">
      <formula>(H2="3")</formula>
    </cfRule>
  </conditionalFormatting>
  <conditionalFormatting sqref="H32:N32">
    <cfRule type="cellIs" dxfId="90" priority="244" operator="equal">
      <formula>0</formula>
    </cfRule>
  </conditionalFormatting>
  <conditionalFormatting sqref="H33:N33">
    <cfRule type="cellIs" dxfId="89" priority="243" operator="equal">
      <formula>0</formula>
    </cfRule>
  </conditionalFormatting>
  <conditionalFormatting sqref="AD32">
    <cfRule type="expression" dxfId="88" priority="234">
      <formula>$H$2=5</formula>
    </cfRule>
    <cfRule type="expression" dxfId="87" priority="235">
      <formula>$H$2=4</formula>
    </cfRule>
    <cfRule type="expression" dxfId="86" priority="236" stopIfTrue="1">
      <formula>$AA$2=0</formula>
    </cfRule>
  </conditionalFormatting>
  <conditionalFormatting sqref="AD32:AJ32">
    <cfRule type="cellIs" dxfId="85" priority="229" operator="equal">
      <formula>0</formula>
    </cfRule>
  </conditionalFormatting>
  <conditionalFormatting sqref="AD33:AJ33">
    <cfRule type="cellIs" dxfId="84" priority="228" operator="equal">
      <formula>0</formula>
    </cfRule>
  </conditionalFormatting>
  <conditionalFormatting sqref="H33 AD33">
    <cfRule type="expression" dxfId="83" priority="275">
      <formula>$AF$2=5</formula>
    </cfRule>
  </conditionalFormatting>
  <conditionalFormatting sqref="AD33">
    <cfRule type="expression" dxfId="82" priority="274" stopIfTrue="1">
      <formula>$AA$2=0</formula>
    </cfRule>
  </conditionalFormatting>
  <conditionalFormatting sqref="AD30">
    <cfRule type="expression" dxfId="81" priority="260" stopIfTrue="1">
      <formula>$AA$2=0</formula>
    </cfRule>
    <cfRule type="expression" dxfId="80" priority="261">
      <formula>$AF$2=5</formula>
    </cfRule>
    <cfRule type="expression" dxfId="79" priority="262">
      <formula>$AF$2=4</formula>
    </cfRule>
    <cfRule type="expression" dxfId="78" priority="263">
      <formula>$AF$2=3</formula>
    </cfRule>
    <cfRule type="expression" dxfId="77" priority="264">
      <formula>$AF$2=2</formula>
    </cfRule>
  </conditionalFormatting>
  <conditionalFormatting sqref="AD31:AJ31">
    <cfRule type="expression" dxfId="76" priority="256" stopIfTrue="1">
      <formula>$AA$2=0</formula>
    </cfRule>
    <cfRule type="expression" dxfId="75" priority="257">
      <formula>$AF$2=5</formula>
    </cfRule>
    <cfRule type="expression" dxfId="74" priority="258">
      <formula>$AF$2=4</formula>
    </cfRule>
    <cfRule type="expression" dxfId="73" priority="259">
      <formula>$AF$2=3</formula>
    </cfRule>
  </conditionalFormatting>
  <conditionalFormatting sqref="AD32:AJ32">
    <cfRule type="expression" dxfId="72" priority="253">
      <formula>$AF$2=5</formula>
    </cfRule>
    <cfRule type="expression" dxfId="71" priority="254">
      <formula>$AA$2=0</formula>
    </cfRule>
    <cfRule type="expression" dxfId="70" priority="255">
      <formula>$AF$2=4</formula>
    </cfRule>
  </conditionalFormatting>
  <conditionalFormatting sqref="AD29:AJ29">
    <cfRule type="expression" dxfId="69" priority="249">
      <formula>$AF$2=1</formula>
    </cfRule>
  </conditionalFormatting>
  <conditionalFormatting sqref="AD29:AJ29">
    <cfRule type="expression" dxfId="68" priority="233" stopIfTrue="1">
      <formula>(OR(AF2="1",AF2="2",AF2="3"))</formula>
    </cfRule>
  </conditionalFormatting>
  <conditionalFormatting sqref="AD30:AJ30">
    <cfRule type="expression" dxfId="67" priority="231">
      <formula>(OR(AF2="2",AF2="3"))</formula>
    </cfRule>
  </conditionalFormatting>
  <conditionalFormatting sqref="AD31:AJ31">
    <cfRule type="expression" dxfId="66" priority="230">
      <formula>(AF2="3")</formula>
    </cfRule>
  </conditionalFormatting>
  <conditionalFormatting sqref="AD29">
    <cfRule type="expression" dxfId="65" priority="314">
      <formula>$AF$2=2</formula>
    </cfRule>
    <cfRule type="expression" dxfId="64" priority="315">
      <formula>$AF$2=5</formula>
    </cfRule>
    <cfRule type="expression" dxfId="63" priority="316">
      <formula>$AF$2=4</formula>
    </cfRule>
    <cfRule type="expression" dxfId="62" priority="317">
      <formula>$AF$2=3</formula>
    </cfRule>
    <cfRule type="expression" dxfId="61" priority="318">
      <formula>$H$2=0</formula>
    </cfRule>
  </conditionalFormatting>
  <conditionalFormatting sqref="AD29:AJ33">
    <cfRule type="expression" dxfId="60" priority="232">
      <formula>$AA$2=0</formula>
    </cfRule>
  </conditionalFormatting>
  <conditionalFormatting sqref="H33 AD33">
    <cfRule type="expression" dxfId="59" priority="213">
      <formula>$AD$2=5</formula>
    </cfRule>
  </conditionalFormatting>
  <conditionalFormatting sqref="AD33">
    <cfRule type="expression" dxfId="58" priority="212">
      <formula>$AD$2=0</formula>
    </cfRule>
  </conditionalFormatting>
  <conditionalFormatting sqref="AD29">
    <cfRule type="expression" dxfId="57" priority="204">
      <formula>$AD$2=2</formula>
    </cfRule>
    <cfRule type="expression" dxfId="56" priority="205">
      <formula>$AD$2=5</formula>
    </cfRule>
    <cfRule type="expression" dxfId="55" priority="206">
      <formula>$AD$2=4</formula>
    </cfRule>
    <cfRule type="expression" dxfId="54" priority="207">
      <formula>$AD$2=3</formula>
    </cfRule>
    <cfRule type="expression" dxfId="53" priority="208">
      <formula>$H$2=0</formula>
    </cfRule>
  </conditionalFormatting>
  <conditionalFormatting sqref="AD30">
    <cfRule type="expression" dxfId="52" priority="199">
      <formula>$AD$2=0</formula>
    </cfRule>
    <cfRule type="expression" dxfId="51" priority="200">
      <formula>$AD$2=5</formula>
    </cfRule>
    <cfRule type="expression" dxfId="50" priority="201">
      <formula>$AD$2=4</formula>
    </cfRule>
    <cfRule type="expression" dxfId="49" priority="202">
      <formula>$AD$2=3</formula>
    </cfRule>
    <cfRule type="expression" dxfId="48" priority="203">
      <formula>$AD$2=2</formula>
    </cfRule>
  </conditionalFormatting>
  <conditionalFormatting sqref="AD31">
    <cfRule type="expression" dxfId="47" priority="195">
      <formula>$AD$2=0</formula>
    </cfRule>
    <cfRule type="expression" dxfId="46" priority="196">
      <formula>$AD$2=5</formula>
    </cfRule>
    <cfRule type="expression" dxfId="45" priority="197">
      <formula>$AD$2=4</formula>
    </cfRule>
    <cfRule type="expression" dxfId="44" priority="198">
      <formula>$AD$2=3</formula>
    </cfRule>
  </conditionalFormatting>
  <conditionalFormatting sqref="AD32:AJ32">
    <cfRule type="cellIs" dxfId="43" priority="191" operator="equal">
      <formula>0</formula>
    </cfRule>
    <cfRule type="expression" dxfId="42" priority="192">
      <formula>$AD$2=5</formula>
    </cfRule>
    <cfRule type="expression" dxfId="41" priority="193">
      <formula>$AD$2=0</formula>
    </cfRule>
    <cfRule type="expression" dxfId="40" priority="194">
      <formula>$AD$2=4</formula>
    </cfRule>
  </conditionalFormatting>
  <conditionalFormatting sqref="H32 AD32">
    <cfRule type="expression" dxfId="39" priority="190">
      <formula>$H$2=0</formula>
    </cfRule>
  </conditionalFormatting>
  <conditionalFormatting sqref="AD29:AJ29">
    <cfRule type="expression" dxfId="38" priority="189">
      <formula>$AD$2=1</formula>
    </cfRule>
  </conditionalFormatting>
  <conditionalFormatting sqref="H29:N29">
    <cfRule type="expression" dxfId="37" priority="187">
      <formula>$H$2=0</formula>
    </cfRule>
    <cfRule type="expression" dxfId="36" priority="188" stopIfTrue="1">
      <formula>(OR(H2="1",H2="2",H2="3"))</formula>
    </cfRule>
  </conditionalFormatting>
  <conditionalFormatting sqref="H30:N30">
    <cfRule type="expression" dxfId="35" priority="186">
      <formula>(OR(H2="2",H2="3"))</formula>
    </cfRule>
  </conditionalFormatting>
  <conditionalFormatting sqref="H31:N31">
    <cfRule type="cellIs" dxfId="34" priority="184" operator="equal">
      <formula>0</formula>
    </cfRule>
    <cfRule type="expression" dxfId="33" priority="185">
      <formula>(H2="3")</formula>
    </cfRule>
  </conditionalFormatting>
  <conditionalFormatting sqref="AD29:AJ29">
    <cfRule type="expression" dxfId="32" priority="182">
      <formula>$H$2=0</formula>
    </cfRule>
    <cfRule type="expression" dxfId="31" priority="183" stopIfTrue="1">
      <formula>(OR(AD2="1",AD2="2",AD2="3"))</formula>
    </cfRule>
  </conditionalFormatting>
  <conditionalFormatting sqref="AD30:AJ30">
    <cfRule type="expression" dxfId="30" priority="181">
      <formula>(OR(AD2="2",AD2="3"))</formula>
    </cfRule>
  </conditionalFormatting>
  <conditionalFormatting sqref="AD31">
    <cfRule type="expression" dxfId="29" priority="180">
      <formula>(AD2="3")</formula>
    </cfRule>
  </conditionalFormatting>
  <conditionalFormatting sqref="H33:N33">
    <cfRule type="cellIs" dxfId="28" priority="159" operator="equal">
      <formula>0</formula>
    </cfRule>
  </conditionalFormatting>
  <conditionalFormatting sqref="H32:N32">
    <cfRule type="cellIs" dxfId="27" priority="158" operator="equal">
      <formula>0</formula>
    </cfRule>
  </conditionalFormatting>
  <conditionalFormatting sqref="AD33:AJ33">
    <cfRule type="cellIs" dxfId="26" priority="156" operator="equal">
      <formula>0</formula>
    </cfRule>
  </conditionalFormatting>
  <conditionalFormatting sqref="AD31:AJ31">
    <cfRule type="cellIs" dxfId="25" priority="155" operator="equal">
      <formula>0</formula>
    </cfRule>
  </conditionalFormatting>
  <conditionalFormatting sqref="AF25:AI25">
    <cfRule type="cellIs" dxfId="24" priority="150" operator="equal">
      <formula>0</formula>
    </cfRule>
  </conditionalFormatting>
  <conditionalFormatting sqref="C14:F15">
    <cfRule type="cellIs" dxfId="23" priority="64" operator="equal">
      <formula>0</formula>
    </cfRule>
  </conditionalFormatting>
  <conditionalFormatting sqref="C8:F9">
    <cfRule type="expression" dxfId="22" priority="54">
      <formula>(OR($E$2=3,$E$2=4,$E$2=5))</formula>
    </cfRule>
  </conditionalFormatting>
  <conditionalFormatting sqref="AF8:AI9">
    <cfRule type="expression" dxfId="21" priority="1">
      <formula>(OR($E$2=3,$E$2=4,$E$2=5))</formula>
    </cfRule>
  </conditionalFormatting>
  <pageMargins left="0.7" right="0.7" top="0.75" bottom="0.75" header="0.3" footer="0.3"/>
  <pageSetup paperSize="9" scale="81" orientation="landscape" horizontalDpi="4294967292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1">
    <tabColor rgb="FFFF0000"/>
  </sheetPr>
  <dimension ref="A1:AK40"/>
  <sheetViews>
    <sheetView topLeftCell="A4" workbookViewId="0">
      <selection activeCell="S33" sqref="S33"/>
    </sheetView>
  </sheetViews>
  <sheetFormatPr baseColWidth="10" defaultRowHeight="15"/>
  <cols>
    <col min="1" max="1" width="7.42578125" style="42" customWidth="1"/>
    <col min="2" max="2" width="8.28515625" style="42" customWidth="1"/>
    <col min="3" max="3" width="6.28515625" style="42" customWidth="1"/>
    <col min="4" max="4" width="9.5703125" style="42" customWidth="1"/>
    <col min="5" max="6" width="7.42578125" style="42" customWidth="1"/>
    <col min="7" max="7" width="4.28515625" style="42" customWidth="1"/>
    <col min="8" max="8" width="8.140625" style="42" customWidth="1"/>
    <col min="9" max="9" width="6.28515625" style="42" customWidth="1"/>
    <col min="10" max="10" width="9.7109375" style="42" customWidth="1"/>
    <col min="11" max="11" width="6.42578125" style="42" customWidth="1"/>
    <col min="12" max="12" width="8.140625" style="42" customWidth="1"/>
    <col min="13" max="13" width="4.85546875" style="252" customWidth="1"/>
    <col min="14" max="14" width="7.85546875" style="42" customWidth="1"/>
    <col min="15" max="15" width="6.42578125" style="42" customWidth="1"/>
    <col min="16" max="16" width="11.42578125" style="42"/>
    <col min="17" max="17" width="7.140625" style="42" customWidth="1"/>
    <col min="18" max="18" width="8.5703125" style="226" customWidth="1"/>
    <col min="19" max="19" width="5.7109375" style="245" customWidth="1"/>
    <col min="20" max="20" width="5.7109375" style="42" customWidth="1"/>
    <col min="21" max="21" width="4" style="42" customWidth="1"/>
    <col min="22" max="22" width="8.85546875" style="42" customWidth="1"/>
    <col min="23" max="23" width="2.7109375" style="42" customWidth="1"/>
    <col min="24" max="24" width="7" style="42" customWidth="1"/>
    <col min="25" max="25" width="6.7109375" style="42" customWidth="1"/>
    <col min="26" max="26" width="7.85546875" style="42" customWidth="1"/>
    <col min="27" max="27" width="5" style="42" customWidth="1"/>
    <col min="28" max="28" width="8.42578125" style="42" customWidth="1"/>
    <col min="29" max="29" width="7.28515625" style="42" customWidth="1"/>
    <col min="30" max="30" width="3.42578125" style="42" customWidth="1"/>
    <col min="31" max="31" width="6.5703125" style="42" customWidth="1"/>
    <col min="32" max="32" width="8.85546875" style="42" customWidth="1"/>
    <col min="33" max="33" width="6.42578125" style="42" customWidth="1"/>
    <col min="34" max="34" width="8.5703125" style="42" customWidth="1"/>
    <col min="35" max="35" width="7" style="42" customWidth="1"/>
    <col min="36" max="16384" width="11.42578125" style="42"/>
  </cols>
  <sheetData>
    <row r="1" spans="1:30" ht="24" thickBot="1">
      <c r="F1" s="942" t="s">
        <v>43</v>
      </c>
      <c r="G1" s="943"/>
      <c r="H1" s="943"/>
      <c r="I1" s="943"/>
      <c r="J1" s="943"/>
      <c r="K1" s="944"/>
      <c r="L1" s="942" t="s">
        <v>44</v>
      </c>
      <c r="M1" s="943"/>
      <c r="N1" s="943">
        <v>0</v>
      </c>
      <c r="O1" s="944"/>
      <c r="P1" s="1527" t="s">
        <v>45</v>
      </c>
      <c r="Q1" s="1528"/>
      <c r="R1" s="1528"/>
      <c r="S1" s="943" t="s">
        <v>89</v>
      </c>
      <c r="T1" s="943"/>
      <c r="U1" s="944"/>
      <c r="V1" s="942" t="s">
        <v>46</v>
      </c>
      <c r="W1" s="943"/>
      <c r="X1" s="943"/>
      <c r="Y1" s="943"/>
      <c r="Z1" s="943"/>
      <c r="AA1" s="943" t="s">
        <v>90</v>
      </c>
      <c r="AB1" s="944"/>
    </row>
    <row r="2" spans="1:30" ht="31.5" customHeight="1" thickBot="1">
      <c r="A2" s="98">
        <f>+Rens.!J10</f>
        <v>31</v>
      </c>
      <c r="B2" s="230" t="s">
        <v>71</v>
      </c>
      <c r="C2" s="97" t="str">
        <f>+Rens.!G10</f>
        <v>3</v>
      </c>
      <c r="F2" s="1511" t="s">
        <v>7</v>
      </c>
      <c r="G2" s="1512"/>
      <c r="H2" s="1512"/>
      <c r="I2" s="1512"/>
      <c r="J2" s="1512"/>
      <c r="K2" s="1512"/>
      <c r="L2" s="1512"/>
      <c r="M2" s="1512"/>
      <c r="N2" s="1512"/>
      <c r="O2" s="161"/>
      <c r="P2" s="162"/>
      <c r="Q2" s="162"/>
      <c r="R2" s="244"/>
      <c r="S2" s="257"/>
      <c r="T2" s="162"/>
      <c r="U2" s="162"/>
      <c r="V2" s="162"/>
      <c r="W2" s="162"/>
      <c r="X2" s="118"/>
      <c r="Y2" s="118"/>
      <c r="Z2" s="118"/>
      <c r="AA2" s="118"/>
      <c r="AB2" s="118"/>
      <c r="AC2" s="118"/>
    </row>
    <row r="3" spans="1:30" ht="34.5" customHeight="1" thickBot="1">
      <c r="A3" s="126"/>
      <c r="B3" s="231" t="s">
        <v>94</v>
      </c>
      <c r="C3" s="99" t="str">
        <f>+Rens.!G11</f>
        <v>1</v>
      </c>
      <c r="E3" s="163"/>
      <c r="F3" s="1513"/>
      <c r="G3" s="1514"/>
      <c r="H3" s="1514"/>
      <c r="I3" s="1514"/>
      <c r="J3" s="1514"/>
      <c r="K3" s="1514"/>
      <c r="L3" s="1514"/>
      <c r="M3" s="1514"/>
      <c r="N3" s="1514"/>
      <c r="O3" s="1515" t="s">
        <v>42</v>
      </c>
      <c r="P3" s="1516"/>
      <c r="Q3" s="1516"/>
      <c r="R3" s="1516"/>
      <c r="S3" s="1516"/>
      <c r="T3" s="1516"/>
      <c r="U3" s="1516"/>
      <c r="V3" s="1516"/>
      <c r="W3" s="1516"/>
      <c r="X3" s="1516"/>
      <c r="Y3" s="1517"/>
      <c r="Z3" s="100" t="str">
        <f>Rens.!$G$11</f>
        <v>1</v>
      </c>
      <c r="AA3" s="126"/>
      <c r="AB3" s="126"/>
    </row>
    <row r="4" spans="1:30" ht="21" thickBot="1">
      <c r="A4" s="126"/>
      <c r="F4" s="136"/>
      <c r="S4" s="1529" t="s">
        <v>9</v>
      </c>
      <c r="T4" s="1530"/>
      <c r="U4" s="1530"/>
      <c r="V4" s="1530"/>
      <c r="W4" s="1530"/>
      <c r="X4" s="1530"/>
      <c r="Y4" s="1530"/>
      <c r="Z4" s="1531"/>
      <c r="AA4" s="126"/>
      <c r="AB4" s="126"/>
    </row>
    <row r="5" spans="1:30" s="143" customFormat="1" ht="19.5" thickBot="1">
      <c r="A5" s="126"/>
      <c r="C5" s="1518" t="s">
        <v>8</v>
      </c>
      <c r="D5" s="1519"/>
      <c r="E5" s="1520"/>
      <c r="I5" s="1521" t="s">
        <v>10</v>
      </c>
      <c r="J5" s="1522"/>
      <c r="K5" s="1523"/>
      <c r="M5" s="253"/>
      <c r="O5" s="1524" t="s">
        <v>12</v>
      </c>
      <c r="P5" s="1525"/>
      <c r="Q5" s="1526"/>
      <c r="R5" s="243"/>
      <c r="S5" s="249"/>
    </row>
    <row r="6" spans="1:30" ht="15.75" thickBot="1">
      <c r="A6" s="126"/>
      <c r="B6" s="103" t="s">
        <v>6</v>
      </c>
      <c r="D6" s="53" t="s">
        <v>14</v>
      </c>
      <c r="F6" s="103" t="s">
        <v>5</v>
      </c>
      <c r="G6" s="176"/>
      <c r="H6" s="103" t="s">
        <v>6</v>
      </c>
      <c r="J6" s="53" t="s">
        <v>14</v>
      </c>
      <c r="L6" s="103" t="s">
        <v>5</v>
      </c>
    </row>
    <row r="7" spans="1:30" ht="19.5" thickBot="1">
      <c r="A7" s="126"/>
      <c r="B7" s="1325"/>
      <c r="C7" s="1367">
        <f>IF(OR(AND(A2=0)),"OFFICE",IF(OR(AND($A$2=75)),'Poule 1 et 2'!I34,IF(OR(AND(A2=76)),'Poule 1 et 2'!I34,0)))</f>
        <v>0</v>
      </c>
      <c r="D7" s="1502"/>
      <c r="E7" s="1503"/>
      <c r="F7" s="64">
        <v>1</v>
      </c>
      <c r="G7" s="259">
        <f>IF(F7=F8,"résultat",IF(F7&gt;F8,C7,C8))</f>
        <v>0</v>
      </c>
      <c r="H7" s="1325"/>
      <c r="I7" s="1481">
        <f>IF(OR(AND(A2=32)),'Poule 1 et 2'!I34,IF(OR(AND(A2&gt;0,A2&lt;0)),"OFFICE",IF(OR(AND(A2=0)),"OFFICE",IF(OR(AND(A2&gt;60,A2&lt;75)),'Poule 1 et 2'!I34,IF(OR(AND(A2=76)),G7,IF(OR(AND(A2=75)),G7,IF(OR(AND(A2=61,F7&lt;F8)),C26,IF(OR(AND(A2=0)),'Poule 1 et 2'!I34,IF(OR(AND(A2=32)),'Poule 1 et 2'!I34,IF(OR(AND(A2&gt;41,A2&lt;44)),'Poule 1 et 2'!I34,IF(OR(AND(A2&gt;51,A2&lt;55)),'Poule 1 et 2'!I34,IF(OR(AND(A2&gt;61,A2&lt;63)),'Poule 1 et 2'!I34,0))))))))))))</f>
        <v>0</v>
      </c>
      <c r="J7" s="1500"/>
      <c r="K7" s="1501"/>
      <c r="L7" s="53">
        <v>1</v>
      </c>
      <c r="M7" s="260">
        <f>IF(L7=L8,"résultat",IF(L7&gt;L8,I7,I8))</f>
        <v>0</v>
      </c>
      <c r="U7" s="1475" t="s">
        <v>13</v>
      </c>
      <c r="V7" s="1476"/>
      <c r="W7" s="1476"/>
      <c r="X7" s="1476"/>
      <c r="Y7" s="1476"/>
      <c r="Z7" s="1476"/>
      <c r="AA7" s="1476"/>
      <c r="AB7" s="1477"/>
    </row>
    <row r="8" spans="1:30" ht="15.75" thickBot="1">
      <c r="A8" s="126"/>
      <c r="B8" s="1326"/>
      <c r="C8" s="1454">
        <f>IF(OR(AND(A2&gt;0,A2&lt;0)),"OFFICE",IF(OR(AND(A2&gt;0,$A$2&lt;0)),"OFFICE",IF(OR(AND($A$2=75)),'Poule 1 et 2'!AE27,IF(OR(AND(A2=76)),'Poule 1 et 2'!AE27,0))))</f>
        <v>0</v>
      </c>
      <c r="D8" s="1455"/>
      <c r="E8" s="1456"/>
      <c r="F8" s="102">
        <v>0</v>
      </c>
      <c r="G8" s="260">
        <f>IF(F7=F8,"résultat",IF(F7&lt;F8,C7,C8))</f>
        <v>0</v>
      </c>
      <c r="H8" s="1326"/>
      <c r="I8" s="1481">
        <f>IF(OR(AND(A2&gt;0,A2&lt;0)),"OFFICE",IF(OR(AND(A2&gt;51,A2&lt;53)),"OFFICE",IF(OR(AND(A2&gt;42,A2&lt;44)),'Poule 1 et 2'!I36,IF(OR(AND(A2&gt;60,A2&lt;65)),'Poule 1 et 2'!AE27,IF(OR(AND(A2&gt;70,A2&lt;75)),'Poule 1 et 2'!AE27,IF(OR(AND(A2=0,F13=F14)),"Gagnant 1/4 B",IF(OR(AND(A2&gt;52,A2&lt;55)),'Poule 1 et 2'!I36,IF(OR(AND(A2=75)),G13,0))))))))</f>
        <v>0</v>
      </c>
      <c r="J8" s="1482"/>
      <c r="K8" s="1483"/>
      <c r="L8" s="222">
        <v>0</v>
      </c>
      <c r="M8" s="260">
        <f>IF(L7=L8,"résultat",IF(L7&lt;L8,I7,I8))</f>
        <v>0</v>
      </c>
    </row>
    <row r="9" spans="1:30" ht="15.75" thickBot="1">
      <c r="A9" s="126"/>
      <c r="B9" s="136"/>
      <c r="C9" s="38"/>
      <c r="D9" s="38"/>
      <c r="E9" s="38"/>
      <c r="G9" s="261"/>
      <c r="I9" s="38"/>
      <c r="J9" s="38"/>
      <c r="K9" s="38"/>
      <c r="M9" s="242"/>
      <c r="N9" s="103" t="s">
        <v>6</v>
      </c>
      <c r="R9" s="245" t="s">
        <v>5</v>
      </c>
    </row>
    <row r="10" spans="1:30" ht="15.75" thickBot="1">
      <c r="A10" s="126"/>
      <c r="B10" s="136"/>
      <c r="C10" s="38"/>
      <c r="D10" s="38"/>
      <c r="E10" s="38"/>
      <c r="F10" s="227"/>
      <c r="G10" s="261"/>
      <c r="I10" s="38"/>
      <c r="J10" s="38"/>
      <c r="K10" s="38"/>
      <c r="M10" s="242"/>
      <c r="N10" s="1325"/>
      <c r="O10" s="1484">
        <f>+M7</f>
        <v>0</v>
      </c>
      <c r="P10" s="1485"/>
      <c r="Q10" s="1486"/>
      <c r="R10" s="246">
        <v>1</v>
      </c>
      <c r="S10" s="263">
        <f>IF(R10=R11,"résultat",IF(R10&gt;R11,O10,O11))</f>
        <v>0</v>
      </c>
    </row>
    <row r="11" spans="1:30" ht="19.5" thickBot="1">
      <c r="A11" s="126"/>
      <c r="C11" s="38"/>
      <c r="D11" s="38"/>
      <c r="E11" s="38"/>
      <c r="G11" s="261"/>
      <c r="I11" s="38"/>
      <c r="J11" s="38"/>
      <c r="K11" s="38"/>
      <c r="M11" s="242"/>
      <c r="N11" s="1326"/>
      <c r="O11" s="1487" t="str">
        <f>+M13</f>
        <v>OFFICE</v>
      </c>
      <c r="P11" s="1488"/>
      <c r="Q11" s="1489"/>
      <c r="R11" s="247">
        <v>0</v>
      </c>
      <c r="S11" s="263" t="str">
        <f>IF(R10=R11,"résultat",IF(R10&lt;R11,O10,O11))</f>
        <v>OFFICE</v>
      </c>
      <c r="V11" s="96">
        <v>1</v>
      </c>
      <c r="X11" s="1490" t="str">
        <f>IF(OR(AND(Z3=2)),S10,IF(OR(AND(A2=31)),'Poule 1 et 2'!I34,IF(OR(AND(A2=32)),S10,IF(OR(AND(A2=41)),'Poule 1 et 2'!I34,IF(OR(AND(A2=61)),S10,IF(OR(AND(A2=31)),'Poule 1 et 2'!I34,IF(OR(AND(A2=51)),'Poule 1 et 2'!I34,IF(OR(AND(A2=43)),S10,IF(OR(AND(A2&gt;50,A2&lt;77)),S10,IF(OR(AND(A2=42)),S10,))))))))))</f>
        <v>C</v>
      </c>
      <c r="Y11" s="1491"/>
      <c r="Z11" s="1491"/>
      <c r="AA11" s="1491"/>
      <c r="AB11" s="1492"/>
      <c r="AC11" s="104"/>
      <c r="AD11" s="164"/>
    </row>
    <row r="12" spans="1:30" ht="19.5" thickBot="1">
      <c r="A12" s="126"/>
      <c r="C12" s="38"/>
      <c r="D12" s="101" t="s">
        <v>15</v>
      </c>
      <c r="E12" s="38"/>
      <c r="G12" s="261"/>
      <c r="H12" s="103"/>
      <c r="I12" s="38"/>
      <c r="J12" s="101" t="s">
        <v>15</v>
      </c>
      <c r="K12" s="38"/>
      <c r="L12" s="103"/>
      <c r="M12" s="242"/>
      <c r="O12" s="38"/>
      <c r="P12" s="38"/>
      <c r="Q12" s="38"/>
      <c r="S12" s="264"/>
      <c r="V12" s="232">
        <v>2</v>
      </c>
      <c r="X12" s="1493" t="str">
        <f>IF(OR(AND($Z$3&gt;1,$Z$3&lt;9)),$S$11,IF(OR(AND(A2=52)),S11,IF(OR(AND($Z$3&gt;8,$Z$3&lt;10)),A8,"0")))</f>
        <v>0</v>
      </c>
      <c r="Y12" s="1494"/>
      <c r="Z12" s="1494"/>
      <c r="AA12" s="1494"/>
      <c r="AB12" s="1495"/>
      <c r="AC12" s="104"/>
    </row>
    <row r="13" spans="1:30" ht="19.5" thickBot="1">
      <c r="A13" s="126"/>
      <c r="B13" s="1325"/>
      <c r="C13" s="1454">
        <f>IF(OR($A$2&lt;0),"OFFICE",IF(AND($A$2=75),'Poule 1 et 2'!I35,IF(AND(A2=76),'Poule 1 et 2'!I35,0)))</f>
        <v>0</v>
      </c>
      <c r="D13" s="1455"/>
      <c r="E13" s="1456"/>
      <c r="F13" s="53">
        <v>1</v>
      </c>
      <c r="G13" s="260">
        <f>IF(F13=F14,"résultat",IF(F13&gt;F14,C13,C14))</f>
        <v>0</v>
      </c>
      <c r="H13" s="1325"/>
      <c r="I13" s="1478" t="str">
        <f>IF(OR(A2=31,A2=0,A2=0,A2=0),"OFFICE",IF(AND(A2&gt;60,A2&lt;65),'Poule 1 et 2'!I35,IF(AND(A2=75),G19,IF(AND(A2=61,F25&gt;F26),C25,IF(AND(A2=61,F25&lt;F26),C26,IF(AND(A2&gt;70,A2&lt;76),'Poule 1 et 2'!I35,IF(AND(A2&gt;30,A2&lt;33),'Poule 1 et 2'!I35,IF(AND(A2&gt;41,A2&lt;44),'Poule 1 et 2'!I35,IF(AND(A2&gt;51,A2&lt;55),'Poule 1 et 2'!I35,0)))))))))</f>
        <v>OFFICE</v>
      </c>
      <c r="J13" s="1479"/>
      <c r="K13" s="1480"/>
      <c r="L13" s="53">
        <v>1</v>
      </c>
      <c r="M13" s="260" t="str">
        <f>IF(L13=L14,"résultat",IF(L13&gt;L14,I13,I14))</f>
        <v>OFFICE</v>
      </c>
      <c r="O13" s="38"/>
      <c r="P13" s="38"/>
      <c r="Q13" s="38"/>
      <c r="S13" s="264"/>
      <c r="V13" s="232">
        <v>3</v>
      </c>
      <c r="X13" s="1003">
        <f>IF(OR(A2=53),M8,IF(AND(A2=43),M8,IF(AND(A2=64),$S$25,IF(AND(A2=73),$S$25,IF(AND(A2=74),$S$25,IF(AND(A2=54),S25,IF(A2=63,S25,IF(A2=75,S25,0))))))))</f>
        <v>0</v>
      </c>
      <c r="Y13" s="1004"/>
      <c r="Z13" s="1004"/>
      <c r="AA13" s="1004"/>
      <c r="AB13" s="1005"/>
      <c r="AC13" s="104"/>
    </row>
    <row r="14" spans="1:30" ht="18" customHeight="1" thickBot="1">
      <c r="A14" s="126"/>
      <c r="B14" s="1326"/>
      <c r="C14" s="1454">
        <f>IF(OR(A2=75),"OFFICE",IF(AND($A$2=76),'Poule 1 et 2'!AE28,0))</f>
        <v>0</v>
      </c>
      <c r="D14" s="1455"/>
      <c r="E14" s="1456"/>
      <c r="F14" s="222">
        <v>0</v>
      </c>
      <c r="G14" s="260">
        <f>IF(F13=F14,"résultat",IF(F13&lt;F14,C13,C14))</f>
        <v>0</v>
      </c>
      <c r="H14" s="1326"/>
      <c r="I14" s="1481" t="str">
        <f>IF(OR(A2=31,A2=32,A2=0,A2=43,A2=52,A2=0,A2=53),"OFFICE",IF(AND(A2&gt;60,A2&lt;75),'Poule 1 et 2'!AE26,IF(AND(A2&gt;61,A2&lt;63),'Poule 1 et 2'!AE26,IF(AND(A2=75),G25,IF(AND(A2=76),G25,IF(AND(C3&gt;4,F25=F26),"Gagnant 1/4 D",IF(AND(C3&gt;4,F25&lt;F26),C26,IF(AND(A2=54),'Poule 1 et 2'!I37,0))))))))</f>
        <v>OFFICE</v>
      </c>
      <c r="J14" s="1482"/>
      <c r="K14" s="1483"/>
      <c r="L14" s="222">
        <v>0</v>
      </c>
      <c r="M14" s="260" t="str">
        <f>IF(L13=L14,"résultat",IF(L13&lt;L14,I13,I14))</f>
        <v>OFFICE</v>
      </c>
      <c r="O14" s="38"/>
      <c r="P14" s="38"/>
      <c r="Q14" s="38"/>
      <c r="S14" s="264"/>
      <c r="T14" s="165"/>
      <c r="V14" s="232">
        <v>4</v>
      </c>
      <c r="X14" s="1003">
        <f>IF(OR(A2=54),S26,IF(AND(A2=64),$S$26,IF(AND(A2=74),$S$26,IF(A2=75,S26,0))))</f>
        <v>0</v>
      </c>
      <c r="Y14" s="1004"/>
      <c r="Z14" s="1004"/>
      <c r="AA14" s="1004"/>
      <c r="AB14" s="1005"/>
      <c r="AC14" s="104"/>
    </row>
    <row r="15" spans="1:30" ht="16.5" customHeight="1" thickBot="1">
      <c r="A15" s="126"/>
      <c r="C15" s="38"/>
      <c r="D15" s="38"/>
      <c r="E15" s="38"/>
      <c r="G15" s="261"/>
      <c r="I15" s="38"/>
      <c r="J15" s="38"/>
      <c r="K15" s="38"/>
      <c r="M15" s="254"/>
      <c r="O15" s="38"/>
      <c r="P15" s="38"/>
      <c r="Q15" s="38"/>
      <c r="S15" s="264"/>
      <c r="V15" s="232">
        <v>5</v>
      </c>
      <c r="X15" s="1003" t="str">
        <f>IF(OR(AND(A2=75)),G8,IF(OR(AND($Z$3&gt;8,$Z$3&lt;10)),A16,IF(OR(AND($Z$3&gt;6,$Z$3&lt;8)),$M$19,IF(OR(AND($Z$3&gt;4,$Z$3&lt;6)),$I$19,IF(OR(AND($Z$3&gt;7,$Z$3&lt;9)),G8,"0")))))</f>
        <v>0</v>
      </c>
      <c r="Y15" s="1004"/>
      <c r="Z15" s="1004"/>
      <c r="AA15" s="1004"/>
      <c r="AB15" s="1005"/>
      <c r="AC15" s="104"/>
    </row>
    <row r="16" spans="1:30" ht="15.75" customHeight="1" thickBot="1">
      <c r="A16" s="126"/>
      <c r="C16" s="38"/>
      <c r="D16" s="38"/>
      <c r="E16" s="38"/>
      <c r="G16" s="261"/>
      <c r="I16" s="1505" t="s">
        <v>11</v>
      </c>
      <c r="J16" s="1506"/>
      <c r="K16" s="1506"/>
      <c r="L16" s="1506"/>
      <c r="M16" s="1506"/>
      <c r="N16" s="1506"/>
      <c r="O16" s="1506"/>
      <c r="P16" s="1506"/>
      <c r="Q16" s="1506"/>
      <c r="R16" s="1507"/>
      <c r="S16" s="264"/>
      <c r="V16" s="455">
        <v>6</v>
      </c>
      <c r="X16" s="1472" t="str">
        <f>IF(OR(AND(A3=75)),G9,IF(OR(AND($Z$3&gt;8,$Z$3&lt;10)),A17,IF(OR(AND($Z$3&gt;6,$Z$3&lt;8)),$M$19,IF(OR(AND($Z$3&gt;4,$Z$3&lt;6)),$I$19,IF(OR(AND($Z$3&gt;7,$Z$3&lt;9)),G9,"0")))))</f>
        <v>0</v>
      </c>
      <c r="Y16" s="1473"/>
      <c r="Z16" s="1473"/>
      <c r="AA16" s="1473"/>
      <c r="AB16" s="1474"/>
      <c r="AC16" s="104"/>
    </row>
    <row r="17" spans="1:37" ht="15.75" thickBot="1">
      <c r="A17" s="126"/>
      <c r="C17" s="38"/>
      <c r="D17" s="38"/>
      <c r="E17" s="38"/>
      <c r="G17" s="261"/>
      <c r="I17" s="1460" t="s">
        <v>47</v>
      </c>
      <c r="J17" s="1461"/>
      <c r="K17" s="1462"/>
      <c r="M17" s="254"/>
      <c r="O17" s="1457" t="s">
        <v>48</v>
      </c>
      <c r="P17" s="1458"/>
      <c r="Q17" s="1459"/>
      <c r="S17" s="264"/>
      <c r="V17" s="126"/>
      <c r="W17" s="126"/>
      <c r="X17" s="126"/>
      <c r="Y17" s="126"/>
      <c r="Z17" s="126"/>
      <c r="AA17" s="126"/>
      <c r="AB17" s="126"/>
      <c r="AC17" s="104"/>
    </row>
    <row r="18" spans="1:37" ht="15.75" thickBot="1">
      <c r="A18" s="126"/>
      <c r="B18" s="103" t="s">
        <v>6</v>
      </c>
      <c r="C18" s="38"/>
      <c r="D18" s="101" t="s">
        <v>49</v>
      </c>
      <c r="E18" s="38"/>
      <c r="F18" s="103" t="s">
        <v>5</v>
      </c>
      <c r="G18" s="261"/>
      <c r="H18" s="103" t="s">
        <v>6</v>
      </c>
      <c r="I18" s="38"/>
      <c r="J18" s="101" t="s">
        <v>14</v>
      </c>
      <c r="K18" s="38"/>
      <c r="L18" s="103" t="s">
        <v>5</v>
      </c>
      <c r="M18" s="254"/>
      <c r="N18" s="103" t="s">
        <v>6</v>
      </c>
      <c r="O18" s="38"/>
      <c r="P18" s="38"/>
      <c r="Q18" s="38"/>
      <c r="R18" s="245" t="s">
        <v>5</v>
      </c>
      <c r="S18" s="264"/>
      <c r="V18" s="126"/>
      <c r="W18" s="126"/>
      <c r="X18" s="126"/>
      <c r="Y18" s="126"/>
      <c r="Z18" s="126"/>
      <c r="AA18" s="126"/>
      <c r="AB18" s="126"/>
      <c r="AC18" s="104"/>
    </row>
    <row r="19" spans="1:37" ht="15.75" thickBot="1">
      <c r="A19" s="126"/>
      <c r="B19" s="1325"/>
      <c r="C19" s="1454">
        <f>IF(OR($A$2&lt;0),"OFFICE",IF(AND($A$2=75),'Poule 1 et 2'!I36,IF(AND(A2=76),'Poule 1 et 2'!I36,0)))</f>
        <v>0</v>
      </c>
      <c r="D19" s="1498"/>
      <c r="E19" s="1499"/>
      <c r="F19" s="53">
        <v>1</v>
      </c>
      <c r="G19" s="260">
        <f>IF(F19=F20,"résultat",IF(F19&gt;F20,C19,C20))</f>
        <v>0</v>
      </c>
      <c r="H19" s="1325"/>
      <c r="I19" s="1454"/>
      <c r="J19" s="1455"/>
      <c r="K19" s="1456"/>
      <c r="L19" s="53">
        <v>0</v>
      </c>
      <c r="M19" s="262" t="str">
        <f>IF(L19=L20,"résultat",IF(L19&gt;L20,I19,I20))</f>
        <v>résultat</v>
      </c>
      <c r="N19" s="1325"/>
      <c r="O19" s="1508" t="str">
        <f>IF(OR(A2=31,A2=32,A2=0,A2=0,A2=0,A2=0),"OFFICE",IF(AND(C3&gt;7,Z3=0,F7=F8),"Perdant quart de Finale",IF(AND(C3&gt;7,Z3=6,F7&gt;F8),C8,IF(AND(C3&gt;4,Z3=7,L19=L20),"Perdant 1ère Partie Repêchage A",IF(AND(C3&gt;4,Z3=7,L19&lt;L20),I19,IF(AND(C3&gt;4,Z3=7,L20&lt;L19),I20,IF(AND(Z3=5,L19=L20),"Gagnant 1ère Partie Repêchage A",IF(AND(C3&gt;4,Z3=5,L19&gt;L20),I19,IF(AND(C3&gt;4,Z3=5,L20&gt;L19),I20,"0")))))))))</f>
        <v>OFFICE</v>
      </c>
      <c r="P19" s="1509"/>
      <c r="Q19" s="1510"/>
      <c r="R19" s="246">
        <v>0</v>
      </c>
      <c r="S19" s="264" t="str">
        <f>IF(R19=R20,"résultat",IF(R19&gt;R20,O19,O20))</f>
        <v>résultat</v>
      </c>
      <c r="V19" s="126"/>
      <c r="W19" s="126"/>
      <c r="X19" s="126"/>
      <c r="Y19" s="126"/>
      <c r="Z19" s="126"/>
      <c r="AA19" s="126"/>
      <c r="AB19" s="126"/>
      <c r="AC19" s="104"/>
    </row>
    <row r="20" spans="1:37" ht="15.75" thickBot="1">
      <c r="A20" s="126"/>
      <c r="B20" s="1326"/>
      <c r="C20" s="1367">
        <f>IF(OR(A2=75),"OFFICE",IF(AND($A$2=76),'Poule 1 et 2'!I36,0))</f>
        <v>0</v>
      </c>
      <c r="D20" s="1368"/>
      <c r="E20" s="1369"/>
      <c r="F20" s="222">
        <v>0</v>
      </c>
      <c r="G20" s="260">
        <f>IF(F19=F20,"résultat",IF(F19&lt;F20,C19,C20))</f>
        <v>0</v>
      </c>
      <c r="H20" s="1326"/>
      <c r="I20" s="1454"/>
      <c r="J20" s="1455"/>
      <c r="K20" s="1456"/>
      <c r="L20" s="222">
        <v>0</v>
      </c>
      <c r="M20" s="262" t="str">
        <f>IF(L19=L20,"résultat",IF(L19&lt;L20,I19,I20))</f>
        <v>résultat</v>
      </c>
      <c r="N20" s="1326"/>
      <c r="O20" s="1463" t="str">
        <f>IF(OR(A2=31,A2=32,A2=0,A2=0,A2=0,A2=75),"OFFICE",IF(AND(C3&gt;6,Z3=6,F13=F14),"Perdant quart de Finale",IF(AND(C3&gt;7,Z3=6,F13&gt;F14),C14,IF(AND(C3&gt;7,Z3=7,L25=L26),"Perdant 1ère Partie Repêchage B",IF(AND(C3&gt;7,Z3=7,L25&lt;L26),I25,IF(AND(C3&gt;7,Z3=7,L26&lt;L25),I26,IF(AND(C3&gt;7,Z3=5,L25=L26),"Gagnant 1ère Partie Repêchage B",IF(AND(C3&gt;7,Z3=5,L25&gt;L26),I25,IF(AND(C3&gt;7,Z3=5,L26&gt;L25),I26,"0")))))))))</f>
        <v>OFFICE</v>
      </c>
      <c r="P20" s="1464"/>
      <c r="Q20" s="1465"/>
      <c r="R20" s="247">
        <v>0</v>
      </c>
      <c r="S20" s="264" t="str">
        <f>IF(R19=R20,"résultat",IF(R19&lt;R20,O19,O20))</f>
        <v>résultat</v>
      </c>
    </row>
    <row r="21" spans="1:37" ht="15.75" thickBot="1">
      <c r="A21" s="126"/>
      <c r="C21" s="38"/>
      <c r="D21" s="38"/>
      <c r="E21" s="38"/>
      <c r="G21" s="261"/>
      <c r="I21" s="38"/>
      <c r="J21" s="38"/>
      <c r="K21" s="38"/>
      <c r="M21" s="254"/>
      <c r="O21" s="38"/>
      <c r="P21" s="38"/>
      <c r="Q21" s="38"/>
      <c r="S21" s="264"/>
    </row>
    <row r="22" spans="1:37" ht="15.75" thickBot="1">
      <c r="A22" s="126"/>
      <c r="C22" s="38"/>
      <c r="D22" s="38"/>
      <c r="E22" s="38"/>
      <c r="G22" s="261"/>
      <c r="H22" s="1504"/>
      <c r="I22" s="193"/>
      <c r="J22" s="193"/>
      <c r="K22" s="193"/>
      <c r="L22" s="105"/>
      <c r="M22" s="254"/>
      <c r="N22" s="1469" t="s">
        <v>68</v>
      </c>
      <c r="O22" s="1470"/>
      <c r="P22" s="1470"/>
      <c r="Q22" s="1470"/>
      <c r="R22" s="1471"/>
      <c r="S22" s="264"/>
    </row>
    <row r="23" spans="1:37" ht="15.75" thickBot="1">
      <c r="A23" s="126"/>
      <c r="C23" s="38"/>
      <c r="D23" s="38"/>
      <c r="E23" s="38"/>
      <c r="G23" s="261"/>
      <c r="H23" s="1504"/>
      <c r="I23" s="193"/>
      <c r="J23" s="193"/>
      <c r="K23" s="193"/>
      <c r="L23" s="225"/>
      <c r="M23" s="254"/>
      <c r="O23" s="38"/>
      <c r="P23" s="38"/>
      <c r="Q23" s="38"/>
      <c r="S23" s="264"/>
    </row>
    <row r="24" spans="1:37" ht="15.75" thickBot="1">
      <c r="A24" s="126"/>
      <c r="C24" s="38"/>
      <c r="D24" s="101" t="s">
        <v>40</v>
      </c>
      <c r="E24" s="38"/>
      <c r="G24" s="261"/>
      <c r="I24" s="38"/>
      <c r="J24" s="101" t="s">
        <v>15</v>
      </c>
      <c r="K24" s="38"/>
      <c r="M24" s="254"/>
      <c r="N24" s="103" t="s">
        <v>6</v>
      </c>
      <c r="O24" s="38"/>
      <c r="P24" s="38" t="s">
        <v>79</v>
      </c>
      <c r="Q24" s="38"/>
      <c r="R24" s="245"/>
      <c r="S24" s="264"/>
    </row>
    <row r="25" spans="1:37" ht="15.75" thickBot="1">
      <c r="A25" s="126"/>
      <c r="B25" s="1325"/>
      <c r="C25" s="1454">
        <f>IF(OR($A$2&lt;0),"OFFICE",IF(OR($A$2=75),'Poule 1 et 2'!AE26,IF(OR(A2=76),'Poule 1 et 2'!AE26,0)))</f>
        <v>0</v>
      </c>
      <c r="D25" s="1455"/>
      <c r="E25" s="1456"/>
      <c r="F25" s="53">
        <v>1</v>
      </c>
      <c r="G25" s="260">
        <f>IF(F25=F26,"résultat",IF(F25&gt;F26,C25,C26))</f>
        <v>0</v>
      </c>
      <c r="H25" s="1325"/>
      <c r="I25" s="1454"/>
      <c r="J25" s="1455"/>
      <c r="K25" s="1456"/>
      <c r="L25" s="53">
        <v>0</v>
      </c>
      <c r="M25" s="262" t="str">
        <f>IF(L25=L26,"résultat",IF(L25&gt;L26,I25,I26))</f>
        <v>résultat</v>
      </c>
      <c r="N25" s="1325"/>
      <c r="O25" s="1466" t="str">
        <f>IF(OR(A2=31,A2=32,A2=0,A2=0,A2=0,A2=0,A2=0,A2=0,A2=0,A2=0,A2=0),"OFFICE",IF(AND(L7=L8),"Perdant 1/2 Finale A",IF(AND(A2=43),M8,IF(AND(A2=54),M8,IF(AND(A2=53),M8,IF(AND(A2=63),M8,IF(AND(A2=64),M8,IF(AND(A2=73),M8,IF(AND(A2=74),M8,IF(A2=75,M8,0))))))))))</f>
        <v>OFFICE</v>
      </c>
      <c r="P25" s="1496"/>
      <c r="Q25" s="1497"/>
      <c r="R25" s="246">
        <v>1</v>
      </c>
      <c r="S25" s="264" t="str">
        <f>IF(R25=R26,"résultat",IF(R25&gt;R26,O25,O26))</f>
        <v>OFFICE</v>
      </c>
      <c r="T25" s="164"/>
    </row>
    <row r="26" spans="1:37" ht="15.75" thickBot="1">
      <c r="A26" s="126"/>
      <c r="B26" s="1326"/>
      <c r="C26" s="1454">
        <f>IF(OR(A2=75),"OFFICE",0)</f>
        <v>0</v>
      </c>
      <c r="D26" s="1455"/>
      <c r="E26" s="1456"/>
      <c r="F26" s="222">
        <v>0</v>
      </c>
      <c r="G26" s="260">
        <f>IF(F25=F26,"résultat",IF(F25&lt;F26,C25,C26))</f>
        <v>0</v>
      </c>
      <c r="H26" s="1326"/>
      <c r="I26" s="1454"/>
      <c r="J26" s="1455"/>
      <c r="K26" s="1456"/>
      <c r="L26" s="222">
        <v>0</v>
      </c>
      <c r="M26" s="262" t="str">
        <f>IF(L25=L26,"résultat",IF(L25&lt;L26,I25,I26))</f>
        <v>résultat</v>
      </c>
      <c r="N26" s="1326"/>
      <c r="O26" s="1466" t="str">
        <f>IF(OR(A2=31,A2=32,A2=43,A2=53),"OFFICE",IF(AND(L13=L14),"Perdant 1/2 Finale B",IF(AND(A2=54),M14,IF(AND(A2=63),M14,IF(AND(A2=64),M14,IF(AND(A2=73),M14,IF(AND(A2=74),M14,IF(A2=75,M14,0))))))))</f>
        <v>OFFICE</v>
      </c>
      <c r="P26" s="1467"/>
      <c r="Q26" s="1468"/>
      <c r="R26" s="246">
        <v>0</v>
      </c>
      <c r="S26" s="264" t="str">
        <f>IF(R25=R26,"résultat",IF(R25&lt;R26,O25,O26))</f>
        <v>OFFICE</v>
      </c>
      <c r="T26" s="136"/>
    </row>
    <row r="27" spans="1:37">
      <c r="A27" s="126"/>
      <c r="G27" s="226"/>
      <c r="N27" s="126"/>
      <c r="O27" s="126"/>
      <c r="P27" s="126"/>
      <c r="Q27" s="126"/>
      <c r="R27" s="248"/>
    </row>
    <row r="28" spans="1:37">
      <c r="A28" s="126"/>
      <c r="B28" s="164"/>
      <c r="G28" s="226"/>
      <c r="N28" s="126"/>
      <c r="O28" s="126"/>
      <c r="P28" s="126"/>
      <c r="Q28" s="126"/>
      <c r="R28" s="248"/>
      <c r="S28" s="258"/>
    </row>
    <row r="29" spans="1:37" ht="15.75" thickBot="1">
      <c r="A29" s="126"/>
      <c r="N29" s="126"/>
      <c r="O29" s="126"/>
      <c r="P29" s="126"/>
      <c r="Q29" s="126"/>
      <c r="R29" s="248"/>
      <c r="S29" s="258"/>
    </row>
    <row r="30" spans="1:37" ht="15.75" thickBot="1">
      <c r="A30" s="126"/>
      <c r="D30" s="1299" t="s">
        <v>60</v>
      </c>
      <c r="E30" s="1300"/>
      <c r="F30" s="1301"/>
      <c r="S30" s="258"/>
      <c r="T30" s="126"/>
      <c r="U30" s="126"/>
      <c r="V30" s="126"/>
      <c r="W30" s="126"/>
      <c r="X30" s="126"/>
    </row>
    <row r="31" spans="1:37" ht="19.5" customHeight="1">
      <c r="A31" s="12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250"/>
      <c r="N31" s="166"/>
      <c r="O31" s="166"/>
      <c r="S31" s="258"/>
      <c r="T31" s="126"/>
      <c r="U31" s="126"/>
      <c r="V31" s="126"/>
      <c r="W31" s="126"/>
      <c r="X31" s="126"/>
      <c r="AJ31" s="126"/>
      <c r="AK31" s="126"/>
    </row>
    <row r="32" spans="1:37" ht="18" customHeight="1">
      <c r="A32" s="126"/>
      <c r="J32" s="167"/>
      <c r="K32" s="167"/>
      <c r="L32" s="167"/>
      <c r="M32" s="251"/>
      <c r="N32" s="141"/>
      <c r="S32" s="258"/>
      <c r="T32" s="126"/>
      <c r="U32" s="126"/>
      <c r="V32" s="126"/>
      <c r="W32" s="126"/>
      <c r="X32" s="126"/>
      <c r="AJ32" s="126"/>
      <c r="AK32" s="126"/>
    </row>
    <row r="33" spans="1:37" ht="18.75">
      <c r="A33" s="126"/>
      <c r="J33" s="141"/>
      <c r="K33" s="141"/>
      <c r="L33" s="141"/>
      <c r="M33" s="255"/>
      <c r="N33" s="141"/>
      <c r="AJ33" s="126"/>
      <c r="AK33" s="126"/>
    </row>
    <row r="34" spans="1:37" ht="18" customHeight="1">
      <c r="A34" s="126"/>
      <c r="J34" s="168"/>
      <c r="K34" s="168"/>
      <c r="L34" s="168"/>
      <c r="M34" s="256"/>
      <c r="N34" s="168"/>
      <c r="AJ34" s="126"/>
      <c r="AK34" s="126"/>
    </row>
    <row r="35" spans="1:37">
      <c r="A35" s="126"/>
      <c r="AJ35" s="126"/>
      <c r="AK35" s="126"/>
    </row>
    <row r="36" spans="1:37">
      <c r="A36" s="126"/>
      <c r="AJ36" s="126"/>
      <c r="AK36" s="126"/>
    </row>
    <row r="37" spans="1:37">
      <c r="A37" s="126"/>
      <c r="AJ37" s="126"/>
      <c r="AK37" s="126"/>
    </row>
    <row r="38" spans="1:37">
      <c r="A38" s="126"/>
    </row>
    <row r="39" spans="1:37">
      <c r="A39" s="126"/>
    </row>
    <row r="40" spans="1:37">
      <c r="A40" s="126"/>
    </row>
  </sheetData>
  <sheetProtection formatCells="0" formatColumns="0" formatRows="0" insertColumns="0" insertRows="0" insertHyperlinks="0" deleteColumns="0" deleteRows="0" sort="0"/>
  <mergeCells count="59">
    <mergeCell ref="AA1:AB1"/>
    <mergeCell ref="F2:N3"/>
    <mergeCell ref="O3:Y3"/>
    <mergeCell ref="C5:E5"/>
    <mergeCell ref="I5:K5"/>
    <mergeCell ref="O5:Q5"/>
    <mergeCell ref="F1:K1"/>
    <mergeCell ref="L1:M1"/>
    <mergeCell ref="N1:O1"/>
    <mergeCell ref="P1:R1"/>
    <mergeCell ref="S1:U1"/>
    <mergeCell ref="V1:Z1"/>
    <mergeCell ref="S4:Z4"/>
    <mergeCell ref="H7:H8"/>
    <mergeCell ref="I7:K7"/>
    <mergeCell ref="C7:E7"/>
    <mergeCell ref="C8:E8"/>
    <mergeCell ref="D30:F30"/>
    <mergeCell ref="H22:H23"/>
    <mergeCell ref="I16:R16"/>
    <mergeCell ref="O19:Q19"/>
    <mergeCell ref="B19:B20"/>
    <mergeCell ref="H19:H20"/>
    <mergeCell ref="I19:K19"/>
    <mergeCell ref="C19:E19"/>
    <mergeCell ref="C20:E20"/>
    <mergeCell ref="B25:B26"/>
    <mergeCell ref="H25:H26"/>
    <mergeCell ref="I25:K25"/>
    <mergeCell ref="O25:Q25"/>
    <mergeCell ref="C25:E25"/>
    <mergeCell ref="C26:E26"/>
    <mergeCell ref="N25:N26"/>
    <mergeCell ref="U7:AB7"/>
    <mergeCell ref="B13:B14"/>
    <mergeCell ref="I13:K13"/>
    <mergeCell ref="I14:K14"/>
    <mergeCell ref="C13:E13"/>
    <mergeCell ref="C14:E14"/>
    <mergeCell ref="H13:H14"/>
    <mergeCell ref="N10:N11"/>
    <mergeCell ref="O10:Q10"/>
    <mergeCell ref="O11:Q11"/>
    <mergeCell ref="X11:AB11"/>
    <mergeCell ref="X12:AB12"/>
    <mergeCell ref="X13:AB13"/>
    <mergeCell ref="X14:AB14"/>
    <mergeCell ref="B7:B8"/>
    <mergeCell ref="I8:K8"/>
    <mergeCell ref="X15:AB15"/>
    <mergeCell ref="I26:K26"/>
    <mergeCell ref="O17:Q17"/>
    <mergeCell ref="I17:K17"/>
    <mergeCell ref="O20:Q20"/>
    <mergeCell ref="I20:K20"/>
    <mergeCell ref="N19:N20"/>
    <mergeCell ref="O26:Q26"/>
    <mergeCell ref="N22:R22"/>
    <mergeCell ref="X16:AB16"/>
  </mergeCells>
  <conditionalFormatting sqref="X11:AB11">
    <cfRule type="expression" dxfId="20" priority="39">
      <formula>(OR(Z3=8,Z3=7,Z3=6,Z3=5,Z3=4,Z3=3,Z3=2))</formula>
    </cfRule>
  </conditionalFormatting>
  <conditionalFormatting sqref="X12">
    <cfRule type="expression" dxfId="19" priority="38">
      <formula>(OR(Z3=9,Z3=8,Z3=7,Z3=6,Z3=5,Z3=4,Z3=3,Z3=2))</formula>
    </cfRule>
  </conditionalFormatting>
  <conditionalFormatting sqref="X13:AB13">
    <cfRule type="expression" dxfId="18" priority="37">
      <formula>(OR(Z3=9,Z3=8,Z3=7,Z3=6,Z3=5,Z3=4,Z3=3))</formula>
    </cfRule>
  </conditionalFormatting>
  <conditionalFormatting sqref="X14:AB14">
    <cfRule type="expression" dxfId="17" priority="36">
      <formula>(OR(Z3=9,Z3=8,Z3=7,Z3=6,Z3=5,Z3=4))</formula>
    </cfRule>
  </conditionalFormatting>
  <conditionalFormatting sqref="X15:AB16">
    <cfRule type="expression" dxfId="16" priority="35">
      <formula>(OR(Z3=9,Z3=8,Z3=7,Z3=6,Z3=5,Z3=6))</formula>
    </cfRule>
  </conditionalFormatting>
  <conditionalFormatting sqref="J21:K24 J14:K14 O10:Q11 I7:I14 J8:K12 C7:C26 D21:E24 D15:E18 D9:E12 I19:I26 N19:N26 O19:R21 O23:O26 R23:R26 P23:Q24 P26:Q26">
    <cfRule type="containsText" dxfId="15" priority="24" operator="containsText" text="OFFICE">
      <formula>NOT(ISERROR(SEARCH("OFFICE",C7)))</formula>
    </cfRule>
  </conditionalFormatting>
  <conditionalFormatting sqref="V11">
    <cfRule type="expression" dxfId="14" priority="17">
      <formula>(OR(Z3=9,Z3=8,Z3=7,Z3=6,Z3=5,Z3=4,Z3=3,Z3=2,Z3=1))</formula>
    </cfRule>
  </conditionalFormatting>
  <conditionalFormatting sqref="V12">
    <cfRule type="expression" dxfId="13" priority="16">
      <formula>(OR(Z3=9,Z3=8,Z3=7,Z3=6,Z3=5,Z3=4,Z3=3,Z3=2))</formula>
    </cfRule>
  </conditionalFormatting>
  <conditionalFormatting sqref="V13">
    <cfRule type="expression" dxfId="12" priority="14">
      <formula>(OR(Z3=9,Z3=8,Z3=7,Z3=6,Z3=5,Z3=4,Z3=3))</formula>
    </cfRule>
  </conditionalFormatting>
  <conditionalFormatting sqref="V14">
    <cfRule type="expression" dxfId="11" priority="13">
      <formula>(OR(Z3=9,Z3=8,Z3=7,Z3=6,Z3=5,Z3=4))</formula>
    </cfRule>
  </conditionalFormatting>
  <conditionalFormatting sqref="V15:V16">
    <cfRule type="expression" dxfId="10" priority="12">
      <formula>(OR(Z3=9,Z3=8,Z3=7,Z3=6,Z3=5,Z3=6))</formula>
    </cfRule>
  </conditionalFormatting>
  <conditionalFormatting sqref="C7:C26 D15:E18 D9:E12 D7:E7 D21:E24">
    <cfRule type="containsText" dxfId="9" priority="5" operator="containsText" text="OFFICE">
      <formula>NOT(ISERROR(SEARCH("OFFICE",C7)))</formula>
    </cfRule>
  </conditionalFormatting>
  <conditionalFormatting sqref="I19">
    <cfRule type="containsText" dxfId="8" priority="4" operator="containsText" text="OFFICE">
      <formula>NOT(ISERROR(SEARCH("OFFICE",I19)))</formula>
    </cfRule>
  </conditionalFormatting>
  <conditionalFormatting sqref="I20">
    <cfRule type="containsText" dxfId="7" priority="3" operator="containsText" text="OFFICE">
      <formula>NOT(ISERROR(SEARCH("OFFICE",I20)))</formula>
    </cfRule>
  </conditionalFormatting>
  <conditionalFormatting sqref="I25">
    <cfRule type="containsText" dxfId="6" priority="2" operator="containsText" text="OFFICE">
      <formula>NOT(ISERROR(SEARCH("OFFICE",I25)))</formula>
    </cfRule>
  </conditionalFormatting>
  <conditionalFormatting sqref="I26">
    <cfRule type="containsText" dxfId="5" priority="1" operator="containsText" text="OFFICE">
      <formula>NOT(ISERROR(SEARCH("OFFICE",I26)))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6"/>
  <sheetViews>
    <sheetView topLeftCell="B4" zoomScale="110" zoomScaleNormal="110" workbookViewId="0">
      <selection activeCell="K26" sqref="K26"/>
    </sheetView>
  </sheetViews>
  <sheetFormatPr baseColWidth="10" defaultRowHeight="15"/>
  <cols>
    <col min="1" max="1" width="5.28515625" style="58" customWidth="1"/>
    <col min="2" max="2" width="7.5703125" style="58" customWidth="1"/>
    <col min="3" max="3" width="7.28515625" style="58" customWidth="1"/>
    <col min="4" max="4" width="5.7109375" style="58" customWidth="1"/>
    <col min="5" max="5" width="21" style="58" customWidth="1"/>
    <col min="6" max="6" width="7.85546875" style="58" customWidth="1"/>
    <col min="7" max="7" width="6" style="58" customWidth="1"/>
    <col min="8" max="8" width="8.42578125" style="58" customWidth="1"/>
    <col min="9" max="9" width="6.5703125" style="58" customWidth="1"/>
    <col min="10" max="10" width="2.85546875" style="58" customWidth="1"/>
    <col min="11" max="11" width="103.42578125" style="58" customWidth="1"/>
    <col min="12" max="12" width="8.140625" style="58" customWidth="1"/>
    <col min="13" max="13" width="6.85546875" style="58" customWidth="1"/>
    <col min="14" max="14" width="5.7109375" style="58" customWidth="1"/>
    <col min="15" max="16384" width="11.42578125" style="58"/>
  </cols>
  <sheetData>
    <row r="1" spans="1:15" s="403" customFormat="1" ht="39" customHeight="1" thickBot="1">
      <c r="C1" s="404" t="s">
        <v>120</v>
      </c>
    </row>
    <row r="2" spans="1:15" ht="16.5" thickBot="1">
      <c r="B2" s="1028" t="s">
        <v>47</v>
      </c>
      <c r="C2" s="1029"/>
      <c r="D2" s="1029"/>
      <c r="E2" s="1029"/>
      <c r="F2" s="1030"/>
      <c r="H2" s="1046" t="s">
        <v>48</v>
      </c>
      <c r="I2" s="1047"/>
      <c r="J2" s="1047"/>
      <c r="K2" s="1047"/>
      <c r="L2" s="1048"/>
    </row>
    <row r="3" spans="1:15" ht="16.5" thickBot="1">
      <c r="B3" s="275" t="s">
        <v>98</v>
      </c>
      <c r="C3" s="275" t="s">
        <v>64</v>
      </c>
      <c r="D3" s="275"/>
      <c r="E3" s="276" t="s">
        <v>99</v>
      </c>
      <c r="F3" s="276" t="s">
        <v>100</v>
      </c>
      <c r="G3" s="279"/>
      <c r="H3" s="277" t="s">
        <v>98</v>
      </c>
      <c r="I3" s="277" t="s">
        <v>64</v>
      </c>
      <c r="J3" s="277"/>
      <c r="K3" s="278" t="s">
        <v>99</v>
      </c>
      <c r="L3" s="278" t="s">
        <v>100</v>
      </c>
      <c r="M3" s="346"/>
      <c r="N3" s="346"/>
      <c r="O3" s="346"/>
    </row>
    <row r="4" spans="1:15" ht="19.5" thickTop="1">
      <c r="A4" s="269"/>
      <c r="B4" s="979">
        <v>1</v>
      </c>
      <c r="C4" s="976">
        <v>1</v>
      </c>
      <c r="D4" s="280" t="s">
        <v>14</v>
      </c>
      <c r="E4" s="398" t="s">
        <v>108</v>
      </c>
      <c r="F4" s="281">
        <v>1</v>
      </c>
      <c r="G4" s="282"/>
      <c r="H4" s="979">
        <v>1</v>
      </c>
      <c r="I4" s="976">
        <v>4</v>
      </c>
      <c r="J4" s="283"/>
      <c r="K4" s="284" t="str">
        <f>IF(A5+A6=3,IF(F4=F5,"résultat",IF(F4&gt;F5,E4,E5)),IF($A$5+A6=4,IF(F4=F5,"résultat",IF(F4&gt;F5,E4,E5)),IF(F4=F5,"résultet",IF($A$5+A6=5,$E$8,0))))</f>
        <v>E1</v>
      </c>
      <c r="L4" s="281">
        <v>1</v>
      </c>
    </row>
    <row r="5" spans="1:15" ht="19.5" thickBot="1">
      <c r="A5" s="301">
        <v>5</v>
      </c>
      <c r="B5" s="980"/>
      <c r="C5" s="977"/>
      <c r="D5" s="285" t="s">
        <v>15</v>
      </c>
      <c r="E5" s="286" t="s">
        <v>109</v>
      </c>
      <c r="F5" s="287">
        <v>0</v>
      </c>
      <c r="G5" s="282"/>
      <c r="H5" s="980"/>
      <c r="I5" s="977"/>
      <c r="J5" s="288"/>
      <c r="K5" s="385" t="str">
        <f>IF(A5+A6=3,IF(F6&gt;F7,E6,E7),IF(A5+A6=4,IF(F6&gt;F7,E6,E7),IF(A5+A6=5,IF((M6=2),E6,IF((N6=2),E7,IF((M7=2),E4,IF((N7=2),E5)))))))</f>
        <v>C1</v>
      </c>
      <c r="L5" s="287">
        <v>0</v>
      </c>
    </row>
    <row r="6" spans="1:15" ht="18.75">
      <c r="A6" s="269"/>
      <c r="B6" s="980"/>
      <c r="C6" s="978">
        <v>2</v>
      </c>
      <c r="D6" s="289" t="s">
        <v>49</v>
      </c>
      <c r="E6" s="399" t="s">
        <v>110</v>
      </c>
      <c r="F6" s="290">
        <v>1</v>
      </c>
      <c r="G6" s="282"/>
      <c r="H6" s="980"/>
      <c r="I6" s="978">
        <v>5</v>
      </c>
      <c r="J6" s="291"/>
      <c r="K6" s="292" t="str">
        <f>IF(F4=F5,"résultat",IF(F4&lt;F5,E4,E5))</f>
        <v>B1</v>
      </c>
      <c r="L6" s="290">
        <v>1</v>
      </c>
      <c r="M6" s="366">
        <f>IF($F$4&gt;$F$5,1)+IF($F$6&gt;$F$7,1)</f>
        <v>2</v>
      </c>
      <c r="N6" s="357">
        <f>IF($F$5&gt;$F$4,1)+IF($F$7&gt;$F$6,1)</f>
        <v>0</v>
      </c>
      <c r="O6" s="384"/>
    </row>
    <row r="7" spans="1:15" ht="19.5" thickBot="1">
      <c r="A7" s="269"/>
      <c r="B7" s="980"/>
      <c r="C7" s="977"/>
      <c r="D7" s="293" t="s">
        <v>40</v>
      </c>
      <c r="E7" s="400" t="s">
        <v>111</v>
      </c>
      <c r="F7" s="294">
        <v>0</v>
      </c>
      <c r="G7" s="282"/>
      <c r="H7" s="980"/>
      <c r="I7" s="977"/>
      <c r="J7" s="373"/>
      <c r="K7" s="371" t="str">
        <f>IF($F$6=$F$7,"résultat",IF($F$6&lt;$F$7,$E$6,$E$7))</f>
        <v>D1</v>
      </c>
      <c r="L7" s="368">
        <v>0</v>
      </c>
      <c r="M7" s="367">
        <f>IF($F$4&gt;$F$5,1)+IF($F$7&gt;$F$6,1)</f>
        <v>1</v>
      </c>
      <c r="N7" s="358">
        <f>IF($F$5&gt;$F$4,1)+IF($F$6&gt;$F$7,1)</f>
        <v>1</v>
      </c>
      <c r="O7" s="384"/>
    </row>
    <row r="8" spans="1:15" ht="19.5" thickBot="1">
      <c r="A8" s="269"/>
      <c r="B8" s="981"/>
      <c r="C8" s="370" t="s">
        <v>101</v>
      </c>
      <c r="D8" s="296" t="s">
        <v>41</v>
      </c>
      <c r="E8" s="401" t="s">
        <v>112</v>
      </c>
      <c r="F8" s="297"/>
      <c r="G8" s="298"/>
      <c r="H8" s="981"/>
      <c r="I8" s="299" t="s">
        <v>101</v>
      </c>
      <c r="J8" s="300" t="s">
        <v>41</v>
      </c>
      <c r="K8" s="386" t="str">
        <f>IF(A5+A6=3," ",IF($A$5+$A$6=4," ",IF($A$5+$A$6=5,IF(($M$6=2),$E$4,IF(($N$6=2),$E$5,IF(($M$7=2),$E$7,IF(($N$7=2),$E$6)))))))</f>
        <v>A1</v>
      </c>
      <c r="L8" s="369"/>
    </row>
    <row r="9" spans="1:15" ht="19.5" thickTop="1">
      <c r="A9" s="269"/>
      <c r="B9" s="979">
        <v>2</v>
      </c>
      <c r="C9" s="976">
        <v>3</v>
      </c>
      <c r="D9" s="359"/>
      <c r="E9" s="398" t="s">
        <v>113</v>
      </c>
      <c r="F9" s="281">
        <v>1</v>
      </c>
      <c r="G9" s="363"/>
      <c r="H9" s="979">
        <v>2</v>
      </c>
      <c r="I9" s="976">
        <v>6</v>
      </c>
      <c r="J9" s="314"/>
      <c r="K9" s="315" t="str">
        <f>IF(F9=F10,"résultat",IF(F9&gt;F10,E9,E10))</f>
        <v>A2</v>
      </c>
      <c r="L9" s="316">
        <v>1</v>
      </c>
      <c r="M9" s="356"/>
      <c r="N9" s="356"/>
      <c r="O9" s="356"/>
    </row>
    <row r="10" spans="1:15" ht="19.5" thickBot="1">
      <c r="A10" s="301">
        <v>4</v>
      </c>
      <c r="B10" s="980"/>
      <c r="C10" s="977"/>
      <c r="D10" s="360"/>
      <c r="E10" s="286" t="s">
        <v>114</v>
      </c>
      <c r="F10" s="287">
        <v>0</v>
      </c>
      <c r="G10" s="364"/>
      <c r="H10" s="980"/>
      <c r="I10" s="977"/>
      <c r="J10" s="317"/>
      <c r="K10" s="318" t="str">
        <f>IF(F11=F12,"résultat",IF(F11&gt;F12,E11,E12))</f>
        <v>C2</v>
      </c>
      <c r="L10" s="287">
        <v>0</v>
      </c>
      <c r="M10" s="356"/>
      <c r="N10" s="356"/>
      <c r="O10" s="356"/>
    </row>
    <row r="11" spans="1:15" ht="18.75">
      <c r="A11" s="269"/>
      <c r="B11" s="980"/>
      <c r="C11" s="978">
        <v>4</v>
      </c>
      <c r="D11" s="361"/>
      <c r="E11" s="402" t="s">
        <v>115</v>
      </c>
      <c r="F11" s="290">
        <v>1</v>
      </c>
      <c r="G11" s="364"/>
      <c r="H11" s="980"/>
      <c r="I11" s="978">
        <v>7</v>
      </c>
      <c r="J11" s="319"/>
      <c r="K11" s="315" t="str">
        <f>IF(F9=F10,"résultat",IF(F9&lt;F10,E9,E10))</f>
        <v>B2</v>
      </c>
      <c r="L11" s="290">
        <v>1</v>
      </c>
      <c r="M11" s="356"/>
      <c r="N11" s="356"/>
      <c r="O11" s="356"/>
    </row>
    <row r="12" spans="1:15" ht="19.5" thickBot="1">
      <c r="A12" s="269"/>
      <c r="B12" s="981"/>
      <c r="C12" s="995"/>
      <c r="D12" s="362"/>
      <c r="E12" s="312" t="s">
        <v>116</v>
      </c>
      <c r="F12" s="313">
        <v>0</v>
      </c>
      <c r="G12" s="365"/>
      <c r="H12" s="981"/>
      <c r="I12" s="995"/>
      <c r="J12" s="320"/>
      <c r="K12" s="321" t="str">
        <f>IF(F11=F12,"résultat",IF(F11&lt;F12,E11,E12))</f>
        <v>D2</v>
      </c>
      <c r="L12" s="313">
        <v>0</v>
      </c>
    </row>
    <row r="13" spans="1:15" ht="15.75" thickTop="1"/>
    <row r="14" spans="1:15" ht="15.75" thickBot="1">
      <c r="A14" s="397"/>
      <c r="B14" s="397" t="s">
        <v>107</v>
      </c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</row>
    <row r="15" spans="1:15" ht="16.5" thickBot="1">
      <c r="B15" s="1028" t="s">
        <v>47</v>
      </c>
      <c r="C15" s="1029"/>
      <c r="D15" s="1029"/>
      <c r="E15" s="1029"/>
      <c r="F15" s="1030"/>
      <c r="H15" s="1046" t="s">
        <v>48</v>
      </c>
      <c r="I15" s="1047"/>
      <c r="J15" s="1047"/>
      <c r="K15" s="1047"/>
      <c r="L15" s="1048"/>
    </row>
    <row r="16" spans="1:15" ht="16.5" thickBot="1">
      <c r="B16" s="275" t="s">
        <v>98</v>
      </c>
      <c r="C16" s="275" t="s">
        <v>64</v>
      </c>
      <c r="D16" s="275"/>
      <c r="E16" s="276" t="s">
        <v>99</v>
      </c>
      <c r="F16" s="276" t="s">
        <v>100</v>
      </c>
      <c r="G16" s="279"/>
      <c r="H16" s="277" t="s">
        <v>98</v>
      </c>
      <c r="I16" s="277" t="s">
        <v>64</v>
      </c>
      <c r="J16" s="277"/>
      <c r="K16" s="278" t="s">
        <v>99</v>
      </c>
      <c r="L16" s="278" t="s">
        <v>100</v>
      </c>
      <c r="M16" s="346"/>
      <c r="N16" s="346"/>
    </row>
    <row r="17" spans="1:14" s="408" customFormat="1" ht="32.25" thickTop="1">
      <c r="A17" s="405"/>
      <c r="B17" s="979">
        <v>1</v>
      </c>
      <c r="C17" s="976">
        <v>1</v>
      </c>
      <c r="D17" s="280" t="s">
        <v>14</v>
      </c>
      <c r="E17" s="398" t="s">
        <v>108</v>
      </c>
      <c r="F17" s="281">
        <v>1</v>
      </c>
      <c r="G17" s="406"/>
      <c r="H17" s="979">
        <v>1</v>
      </c>
      <c r="I17" s="976">
        <v>4</v>
      </c>
      <c r="J17" s="407"/>
      <c r="K17" s="284" t="s">
        <v>117</v>
      </c>
      <c r="L17" s="281">
        <v>1</v>
      </c>
    </row>
    <row r="18" spans="1:14" ht="61.5" customHeight="1" thickBot="1">
      <c r="A18" s="301">
        <v>5</v>
      </c>
      <c r="B18" s="980"/>
      <c r="C18" s="977"/>
      <c r="D18" s="285" t="s">
        <v>15</v>
      </c>
      <c r="E18" s="286" t="s">
        <v>109</v>
      </c>
      <c r="F18" s="287">
        <v>0</v>
      </c>
      <c r="G18" s="282"/>
      <c r="H18" s="980"/>
      <c r="I18" s="977"/>
      <c r="J18" s="288"/>
      <c r="K18" s="385" t="s">
        <v>118</v>
      </c>
      <c r="L18" s="287">
        <v>0</v>
      </c>
    </row>
    <row r="19" spans="1:14" ht="18.75">
      <c r="A19" s="269"/>
      <c r="B19" s="980"/>
      <c r="C19" s="978">
        <v>2</v>
      </c>
      <c r="D19" s="289" t="s">
        <v>49</v>
      </c>
      <c r="E19" s="399" t="s">
        <v>110</v>
      </c>
      <c r="F19" s="290">
        <v>1</v>
      </c>
      <c r="G19" s="282"/>
      <c r="H19" s="980"/>
      <c r="I19" s="978">
        <v>5</v>
      </c>
      <c r="J19" s="291"/>
      <c r="K19" s="409" t="s">
        <v>119</v>
      </c>
      <c r="L19" s="290">
        <v>1</v>
      </c>
      <c r="M19" s="366">
        <f>IF($F$4&gt;$F$5,1)+IF($F$6&gt;$F$7,1)</f>
        <v>2</v>
      </c>
      <c r="N19" s="357">
        <f>IF($F$5&gt;$F$4,1)+IF($F$7&gt;$F$6,1)</f>
        <v>0</v>
      </c>
    </row>
    <row r="20" spans="1:14" ht="19.5" thickBot="1">
      <c r="A20" s="269"/>
      <c r="B20" s="980"/>
      <c r="C20" s="977"/>
      <c r="D20" s="293" t="s">
        <v>40</v>
      </c>
      <c r="E20" s="400" t="s">
        <v>111</v>
      </c>
      <c r="F20" s="294">
        <v>0</v>
      </c>
      <c r="G20" s="282"/>
      <c r="H20" s="980"/>
      <c r="I20" s="977"/>
      <c r="J20" s="373"/>
      <c r="K20" s="371" t="str">
        <f>IF($F$6=$F$7,"résultat",IF($F$6&lt;$F$7,$E$6,$E$7))</f>
        <v>D1</v>
      </c>
      <c r="L20" s="368">
        <v>0</v>
      </c>
      <c r="M20" s="367">
        <f>IF($F$4&gt;$F$5,1)+IF($F$7&gt;$F$6,1)</f>
        <v>1</v>
      </c>
      <c r="N20" s="358">
        <f>IF($F$5&gt;$F$4,1)+IF($F$6&gt;$F$7,1)</f>
        <v>1</v>
      </c>
    </row>
    <row r="21" spans="1:14" ht="19.5" thickBot="1">
      <c r="A21" s="269"/>
      <c r="B21" s="981"/>
      <c r="C21" s="370" t="s">
        <v>101</v>
      </c>
      <c r="D21" s="296" t="s">
        <v>41</v>
      </c>
      <c r="E21" s="401" t="s">
        <v>112</v>
      </c>
      <c r="F21" s="297"/>
      <c r="G21" s="298"/>
      <c r="H21" s="981"/>
      <c r="I21" s="299" t="s">
        <v>101</v>
      </c>
      <c r="J21" s="300" t="s">
        <v>41</v>
      </c>
      <c r="K21" s="386" t="str">
        <f>IF(A18+A19=3," ",IF($A$5+$A$6=4," ",IF($A$5+$A$6=5,IF(($M$6=2),$E$4,IF(($N$6=2),$E$5,IF(($M$7=2),$E$7,IF(($N$7=2),$E$6)))))))</f>
        <v>A1</v>
      </c>
      <c r="L21" s="369"/>
    </row>
    <row r="22" spans="1:14" ht="19.5" thickTop="1">
      <c r="A22" s="269"/>
      <c r="B22" s="979">
        <v>2</v>
      </c>
      <c r="C22" s="976">
        <v>3</v>
      </c>
      <c r="D22" s="359"/>
      <c r="E22" s="398" t="s">
        <v>113</v>
      </c>
      <c r="F22" s="281">
        <v>1</v>
      </c>
      <c r="G22" s="363"/>
      <c r="H22" s="979">
        <v>2</v>
      </c>
      <c r="I22" s="976">
        <v>6</v>
      </c>
      <c r="J22" s="314"/>
      <c r="K22" s="315" t="str">
        <f>IF(F22=F23,"résultat",IF(F22&gt;F23,E22,E23))</f>
        <v>A2</v>
      </c>
      <c r="L22" s="316">
        <v>1</v>
      </c>
      <c r="M22" s="356"/>
      <c r="N22" s="356"/>
    </row>
    <row r="23" spans="1:14" ht="19.5" thickBot="1">
      <c r="A23" s="301">
        <v>4</v>
      </c>
      <c r="B23" s="980"/>
      <c r="C23" s="977"/>
      <c r="D23" s="360"/>
      <c r="E23" s="286" t="s">
        <v>114</v>
      </c>
      <c r="F23" s="287">
        <v>0</v>
      </c>
      <c r="G23" s="364"/>
      <c r="H23" s="980"/>
      <c r="I23" s="977"/>
      <c r="J23" s="317"/>
      <c r="K23" s="318" t="str">
        <f>IF(F24=F25,"résultat",IF(F24&gt;F25,E24,E25))</f>
        <v>C2</v>
      </c>
      <c r="L23" s="287">
        <v>0</v>
      </c>
      <c r="M23" s="356"/>
      <c r="N23" s="356"/>
    </row>
    <row r="24" spans="1:14" ht="18.75">
      <c r="A24" s="269"/>
      <c r="B24" s="980"/>
      <c r="C24" s="978">
        <v>4</v>
      </c>
      <c r="D24" s="361"/>
      <c r="E24" s="402" t="s">
        <v>115</v>
      </c>
      <c r="F24" s="290">
        <v>1</v>
      </c>
      <c r="G24" s="364"/>
      <c r="H24" s="980"/>
      <c r="I24" s="978">
        <v>7</v>
      </c>
      <c r="J24" s="319"/>
      <c r="K24" s="315" t="str">
        <f>IF(F22=F23,"résultat",IF(F22&lt;F23,E22,E23))</f>
        <v>B2</v>
      </c>
      <c r="L24" s="290">
        <v>1</v>
      </c>
      <c r="M24" s="356"/>
      <c r="N24" s="356"/>
    </row>
    <row r="25" spans="1:14" ht="19.5" thickBot="1">
      <c r="A25" s="269"/>
      <c r="B25" s="981"/>
      <c r="C25" s="995"/>
      <c r="D25" s="362"/>
      <c r="E25" s="312" t="s">
        <v>116</v>
      </c>
      <c r="F25" s="313">
        <v>0</v>
      </c>
      <c r="G25" s="365"/>
      <c r="H25" s="981"/>
      <c r="I25" s="995"/>
      <c r="J25" s="320"/>
      <c r="K25" s="321" t="str">
        <f>IF(F24=F25,"résultat",IF(F24&lt;F25,E24,E25))</f>
        <v>D2</v>
      </c>
      <c r="L25" s="313">
        <v>0</v>
      </c>
    </row>
    <row r="26" spans="1:14" ht="15.75" thickTop="1"/>
  </sheetData>
  <mergeCells count="28">
    <mergeCell ref="B2:F2"/>
    <mergeCell ref="H2:L2"/>
    <mergeCell ref="B4:B8"/>
    <mergeCell ref="C4:C5"/>
    <mergeCell ref="H4:H8"/>
    <mergeCell ref="I4:I5"/>
    <mergeCell ref="C6:C7"/>
    <mergeCell ref="I6:I7"/>
    <mergeCell ref="B9:B12"/>
    <mergeCell ref="C9:C10"/>
    <mergeCell ref="H9:H12"/>
    <mergeCell ref="I9:I10"/>
    <mergeCell ref="C11:C12"/>
    <mergeCell ref="I11:I12"/>
    <mergeCell ref="B15:F15"/>
    <mergeCell ref="H15:L15"/>
    <mergeCell ref="B17:B21"/>
    <mergeCell ref="C17:C18"/>
    <mergeCell ref="H17:H21"/>
    <mergeCell ref="I17:I18"/>
    <mergeCell ref="C19:C20"/>
    <mergeCell ref="I19:I20"/>
    <mergeCell ref="B22:B25"/>
    <mergeCell ref="C22:C23"/>
    <mergeCell ref="H22:H25"/>
    <mergeCell ref="I22:I23"/>
    <mergeCell ref="C24:C25"/>
    <mergeCell ref="I24:I25"/>
  </mergeCells>
  <conditionalFormatting sqref="K4:K12">
    <cfRule type="containsText" dxfId="4" priority="26" operator="containsText" text="OFFICE">
      <formula>NOT(ISERROR(SEARCH("OFFICE",K4)))</formula>
    </cfRule>
  </conditionalFormatting>
  <conditionalFormatting sqref="F6:F7">
    <cfRule type="iconSet" priority="24">
      <iconSet iconSet="3Signs">
        <cfvo type="percent" val="0"/>
        <cfvo type="percent" val="12"/>
        <cfvo type="percent" val="13" gte="0"/>
      </iconSet>
    </cfRule>
  </conditionalFormatting>
  <conditionalFormatting sqref="F4:F5">
    <cfRule type="iconSet" priority="23">
      <iconSet iconSet="3Signs">
        <cfvo type="percent" val="0"/>
        <cfvo type="percent" val="12"/>
        <cfvo type="percent" val="13" gte="0"/>
      </iconSet>
    </cfRule>
  </conditionalFormatting>
  <conditionalFormatting sqref="L4:L5">
    <cfRule type="iconSet" priority="22">
      <iconSet iconSet="3Signs">
        <cfvo type="percent" val="0"/>
        <cfvo type="percent" val="12"/>
        <cfvo type="percent" val="13" gte="0"/>
      </iconSet>
    </cfRule>
  </conditionalFormatting>
  <conditionalFormatting sqref="L6:L7">
    <cfRule type="iconSet" priority="21">
      <iconSet iconSet="3Signs">
        <cfvo type="percent" val="0"/>
        <cfvo type="percent" val="12"/>
        <cfvo type="percent" val="13" gte="0"/>
      </iconSet>
    </cfRule>
  </conditionalFormatting>
  <conditionalFormatting sqref="F9:F10">
    <cfRule type="iconSet" priority="20">
      <iconSet iconSet="3Signs">
        <cfvo type="percent" val="0"/>
        <cfvo type="percent" val="12"/>
        <cfvo type="percent" val="13" gte="0"/>
      </iconSet>
    </cfRule>
  </conditionalFormatting>
  <conditionalFormatting sqref="F11:F12">
    <cfRule type="iconSet" priority="19">
      <iconSet iconSet="3Signs">
        <cfvo type="percent" val="0"/>
        <cfvo type="percent" val="12"/>
        <cfvo type="percent" val="13" gte="0"/>
      </iconSet>
    </cfRule>
  </conditionalFormatting>
  <conditionalFormatting sqref="L9:L10">
    <cfRule type="iconSet" priority="18">
      <iconSet iconSet="3Signs">
        <cfvo type="percent" val="0"/>
        <cfvo type="percent" val="12"/>
        <cfvo type="percent" val="13" gte="0"/>
      </iconSet>
    </cfRule>
  </conditionalFormatting>
  <conditionalFormatting sqref="L11:L12">
    <cfRule type="iconSet" priority="17">
      <iconSet iconSet="3Signs">
        <cfvo type="percent" val="0"/>
        <cfvo type="percent" val="12"/>
        <cfvo type="percent" val="13" gte="0"/>
      </iconSet>
    </cfRule>
  </conditionalFormatting>
  <conditionalFormatting sqref="L11:L12 M11:O11">
    <cfRule type="iconSet" priority="16">
      <iconSet iconSet="3Signs">
        <cfvo type="percent" val="0"/>
        <cfvo type="percent" val="12"/>
        <cfvo type="percent" val="13" gte="0"/>
      </iconSet>
    </cfRule>
  </conditionalFormatting>
  <conditionalFormatting sqref="L9:O10">
    <cfRule type="iconSet" priority="15">
      <iconSet iconSet="3Signs">
        <cfvo type="percent" val="0"/>
        <cfvo type="percent" val="12"/>
        <cfvo type="percent" val="13" gte="0"/>
      </iconSet>
    </cfRule>
  </conditionalFormatting>
  <conditionalFormatting sqref="E4:E12">
    <cfRule type="containsText" dxfId="3" priority="14" operator="containsText" text="OFFICE">
      <formula>NOT(ISERROR(SEARCH("OFFICE",E4)))</formula>
    </cfRule>
  </conditionalFormatting>
  <conditionalFormatting sqref="K17:K25">
    <cfRule type="containsText" dxfId="2" priority="12" operator="containsText" text="résultat">
      <formula>NOT(ISERROR(SEARCH("résultat",K17)))</formula>
    </cfRule>
    <cfRule type="containsText" dxfId="1" priority="13" operator="containsText" text="OFFICE">
      <formula>NOT(ISERROR(SEARCH("OFFICE",K17)))</formula>
    </cfRule>
  </conditionalFormatting>
  <conditionalFormatting sqref="F19:F20">
    <cfRule type="iconSet" priority="11">
      <iconSet iconSet="3Signs">
        <cfvo type="percent" val="0"/>
        <cfvo type="percent" val="12"/>
        <cfvo type="percent" val="13" gte="0"/>
      </iconSet>
    </cfRule>
  </conditionalFormatting>
  <conditionalFormatting sqref="F17:F18">
    <cfRule type="iconSet" priority="10">
      <iconSet iconSet="3Signs">
        <cfvo type="percent" val="0"/>
        <cfvo type="percent" val="12"/>
        <cfvo type="percent" val="13" gte="0"/>
      </iconSet>
    </cfRule>
  </conditionalFormatting>
  <conditionalFormatting sqref="L17:L18">
    <cfRule type="iconSet" priority="9">
      <iconSet iconSet="3Signs">
        <cfvo type="percent" val="0"/>
        <cfvo type="percent" val="12"/>
        <cfvo type="percent" val="13" gte="0"/>
      </iconSet>
    </cfRule>
  </conditionalFormatting>
  <conditionalFormatting sqref="L19:L20">
    <cfRule type="iconSet" priority="8">
      <iconSet iconSet="3Signs">
        <cfvo type="percent" val="0"/>
        <cfvo type="percent" val="12"/>
        <cfvo type="percent" val="13" gte="0"/>
      </iconSet>
    </cfRule>
  </conditionalFormatting>
  <conditionalFormatting sqref="F22:F23">
    <cfRule type="iconSet" priority="7">
      <iconSet iconSet="3Signs">
        <cfvo type="percent" val="0"/>
        <cfvo type="percent" val="12"/>
        <cfvo type="percent" val="13" gte="0"/>
      </iconSet>
    </cfRule>
  </conditionalFormatting>
  <conditionalFormatting sqref="F24:F25">
    <cfRule type="iconSet" priority="6">
      <iconSet iconSet="3Signs">
        <cfvo type="percent" val="0"/>
        <cfvo type="percent" val="12"/>
        <cfvo type="percent" val="13" gte="0"/>
      </iconSet>
    </cfRule>
  </conditionalFormatting>
  <conditionalFormatting sqref="L22:L23">
    <cfRule type="iconSet" priority="5">
      <iconSet iconSet="3Signs">
        <cfvo type="percent" val="0"/>
        <cfvo type="percent" val="12"/>
        <cfvo type="percent" val="13" gte="0"/>
      </iconSet>
    </cfRule>
  </conditionalFormatting>
  <conditionalFormatting sqref="L24:L25">
    <cfRule type="iconSet" priority="4">
      <iconSet iconSet="3Signs">
        <cfvo type="percent" val="0"/>
        <cfvo type="percent" val="12"/>
        <cfvo type="percent" val="13" gte="0"/>
      </iconSet>
    </cfRule>
  </conditionalFormatting>
  <conditionalFormatting sqref="L24:L25 M24:N24">
    <cfRule type="iconSet" priority="3">
      <iconSet iconSet="3Signs">
        <cfvo type="percent" val="0"/>
        <cfvo type="percent" val="12"/>
        <cfvo type="percent" val="13" gte="0"/>
      </iconSet>
    </cfRule>
  </conditionalFormatting>
  <conditionalFormatting sqref="L22:N23">
    <cfRule type="iconSet" priority="2">
      <iconSet iconSet="3Signs">
        <cfvo type="percent" val="0"/>
        <cfvo type="percent" val="12"/>
        <cfvo type="percent" val="13" gte="0"/>
      </iconSet>
    </cfRule>
  </conditionalFormatting>
  <conditionalFormatting sqref="E17:E25">
    <cfRule type="containsText" dxfId="0" priority="1" operator="containsText" text="OFFICE">
      <formula>NOT(ISERROR(SEARCH("OFFICE",E17)))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6" sqref="G36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rgb="FFFFFF00"/>
  </sheetPr>
  <dimension ref="A1:AK98"/>
  <sheetViews>
    <sheetView zoomScale="70" zoomScaleNormal="70" workbookViewId="0">
      <selection activeCell="D5" sqref="D5:E5"/>
    </sheetView>
  </sheetViews>
  <sheetFormatPr baseColWidth="10" defaultRowHeight="18.75"/>
  <cols>
    <col min="1" max="1" width="8.42578125" style="42" customWidth="1"/>
    <col min="2" max="2" width="7.85546875" style="42" customWidth="1"/>
    <col min="3" max="3" width="11.28515625" style="42" customWidth="1"/>
    <col min="4" max="4" width="9.7109375" style="42" customWidth="1"/>
    <col min="5" max="5" width="9.5703125" style="42" customWidth="1"/>
    <col min="6" max="6" width="9" style="42" customWidth="1"/>
    <col min="7" max="7" width="5.85546875" style="42" customWidth="1"/>
    <col min="8" max="8" width="6.140625" style="42" customWidth="1"/>
    <col min="9" max="9" width="6.28515625" style="42" customWidth="1"/>
    <col min="10" max="10" width="6.7109375" style="42" customWidth="1"/>
    <col min="11" max="11" width="8" style="42" customWidth="1"/>
    <col min="12" max="12" width="14.140625" style="42" customWidth="1"/>
    <col min="13" max="13" width="6.140625" style="42" customWidth="1"/>
    <col min="14" max="14" width="6.7109375" style="42" customWidth="1"/>
    <col min="15" max="15" width="6.140625" style="42" customWidth="1"/>
    <col min="16" max="16" width="5" style="42" customWidth="1"/>
    <col min="17" max="18" width="5.7109375" style="42" customWidth="1"/>
    <col min="19" max="19" width="27.42578125" style="42" customWidth="1"/>
    <col min="20" max="20" width="22" style="42" customWidth="1"/>
    <col min="21" max="21" width="13.85546875" style="42" customWidth="1"/>
    <col min="22" max="22" width="5.7109375" style="42" customWidth="1"/>
    <col min="23" max="23" width="8.7109375" style="143" customWidth="1"/>
    <col min="24" max="24" width="12.85546875" style="42" customWidth="1"/>
    <col min="25" max="25" width="5.7109375" style="139" customWidth="1"/>
    <col min="26" max="26" width="7.5703125" style="139" customWidth="1"/>
    <col min="27" max="27" width="32" style="42" customWidth="1"/>
    <col min="28" max="28" width="5.7109375" style="42" customWidth="1"/>
    <col min="29" max="29" width="10.7109375" style="42" customWidth="1"/>
    <col min="30" max="32" width="5.7109375" style="42" customWidth="1"/>
    <col min="33" max="33" width="15.7109375" style="42" customWidth="1"/>
    <col min="34" max="38" width="5.7109375" style="42" customWidth="1"/>
    <col min="39" max="16384" width="11.42578125" style="42"/>
  </cols>
  <sheetData>
    <row r="1" spans="1:37" ht="36" customHeight="1" thickBot="1">
      <c r="A1" s="938" t="s">
        <v>72</v>
      </c>
      <c r="B1" s="939"/>
      <c r="C1" s="939"/>
      <c r="D1" s="939"/>
      <c r="E1" s="939"/>
      <c r="F1" s="939"/>
      <c r="G1" s="939"/>
      <c r="H1" s="939"/>
      <c r="I1" s="940"/>
      <c r="J1" s="938"/>
      <c r="K1" s="939"/>
      <c r="L1" s="939"/>
      <c r="M1" s="939"/>
      <c r="N1" s="940"/>
      <c r="Q1" s="135"/>
      <c r="R1" s="136"/>
      <c r="T1" s="137"/>
      <c r="W1" s="138"/>
    </row>
    <row r="2" spans="1:37" ht="30" customHeight="1" thickBot="1">
      <c r="R2" s="140"/>
      <c r="AC2" s="126"/>
      <c r="AD2" s="126"/>
      <c r="AE2" s="126"/>
      <c r="AF2" s="126"/>
      <c r="AG2" s="126"/>
      <c r="AH2" s="126"/>
      <c r="AI2" s="126"/>
      <c r="AJ2" s="126"/>
      <c r="AK2" s="126"/>
    </row>
    <row r="3" spans="1:37" ht="30" customHeight="1" thickBot="1">
      <c r="A3" s="142" t="s">
        <v>80</v>
      </c>
      <c r="B3" s="947">
        <f ca="1">TODAY()</f>
        <v>44239</v>
      </c>
      <c r="C3" s="948"/>
      <c r="D3" s="945">
        <f ca="1">YEAR(NOW())</f>
        <v>2021</v>
      </c>
      <c r="E3" s="946"/>
      <c r="F3" s="81"/>
      <c r="G3" s="941" t="s">
        <v>145</v>
      </c>
      <c r="H3" s="941"/>
      <c r="I3" s="81"/>
      <c r="J3" s="942" t="s">
        <v>141</v>
      </c>
      <c r="K3" s="943"/>
      <c r="L3" s="943"/>
      <c r="M3" s="943"/>
      <c r="N3" s="944"/>
      <c r="O3" s="81"/>
      <c r="Q3" s="21"/>
      <c r="R3" s="22"/>
      <c r="S3" s="22"/>
      <c r="T3" s="22"/>
      <c r="U3" s="23" t="s">
        <v>52</v>
      </c>
      <c r="V3" s="22"/>
      <c r="Y3" s="144" t="s">
        <v>6</v>
      </c>
      <c r="Z3" s="145"/>
      <c r="AA3" s="146" t="s">
        <v>19</v>
      </c>
      <c r="AC3" s="126"/>
      <c r="AD3" s="126"/>
      <c r="AE3" s="126"/>
      <c r="AF3" s="126"/>
      <c r="AG3" s="126"/>
      <c r="AH3" s="126"/>
      <c r="AI3" s="126"/>
      <c r="AJ3" s="126"/>
      <c r="AK3" s="126"/>
    </row>
    <row r="4" spans="1:37" ht="30" customHeight="1" thickBot="1">
      <c r="Q4" s="24"/>
      <c r="R4" s="82" t="s">
        <v>50</v>
      </c>
      <c r="S4" s="25" t="s">
        <v>53</v>
      </c>
      <c r="T4" s="26" t="s">
        <v>54</v>
      </c>
      <c r="U4" s="27" t="s">
        <v>74</v>
      </c>
      <c r="V4" s="28"/>
      <c r="W4" s="181">
        <v>1</v>
      </c>
      <c r="X4" s="952" t="s">
        <v>24</v>
      </c>
      <c r="Y4" s="949">
        <v>1</v>
      </c>
      <c r="Z4" s="84" t="s">
        <v>14</v>
      </c>
      <c r="AA4" s="85" t="str">
        <f>IF(ISNA(MATCH(W4,$U$5:$U$81,0)),"",INDEX($S$5:$S$81,MATCH(W4,$U$5:$U$81,0)))</f>
        <v>A</v>
      </c>
      <c r="AC4" s="126"/>
      <c r="AD4" s="126"/>
      <c r="AE4" s="126"/>
      <c r="AF4" s="126"/>
      <c r="AG4" s="126"/>
      <c r="AH4" s="126"/>
      <c r="AI4" s="126"/>
      <c r="AJ4" s="126"/>
      <c r="AK4" s="126"/>
    </row>
    <row r="5" spans="1:37" s="151" customFormat="1" ht="30" customHeight="1" thickBot="1">
      <c r="A5" s="147"/>
      <c r="B5" s="148" t="s">
        <v>21</v>
      </c>
      <c r="C5" s="148"/>
      <c r="D5" s="918" t="s">
        <v>124</v>
      </c>
      <c r="E5" s="919"/>
      <c r="F5" s="918" t="s">
        <v>132</v>
      </c>
      <c r="G5" s="920"/>
      <c r="H5" s="919"/>
      <c r="I5" s="150"/>
      <c r="J5" s="150"/>
      <c r="Q5" s="34">
        <v>1</v>
      </c>
      <c r="R5" s="29"/>
      <c r="S5" s="184" t="s">
        <v>14</v>
      </c>
      <c r="T5" s="83"/>
      <c r="U5" s="30">
        <v>1</v>
      </c>
      <c r="V5" s="42"/>
      <c r="W5" s="182">
        <v>2</v>
      </c>
      <c r="X5" s="953"/>
      <c r="Y5" s="950"/>
      <c r="Z5" s="87" t="s">
        <v>15</v>
      </c>
      <c r="AA5" s="88" t="str">
        <f>IF(ISNA(MATCH(W5,$U$5:$U$81,0)),"",INDEX($S$5:$S$81,MATCH(W5,$U$5:$U$81,0)))</f>
        <v>B</v>
      </c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30" customHeight="1">
      <c r="Q6" s="35">
        <v>2</v>
      </c>
      <c r="R6" s="31"/>
      <c r="S6" s="185" t="s">
        <v>15</v>
      </c>
      <c r="T6" s="86"/>
      <c r="U6" s="32">
        <v>2</v>
      </c>
      <c r="W6" s="182">
        <v>3</v>
      </c>
      <c r="X6" s="953"/>
      <c r="Y6" s="949">
        <v>3</v>
      </c>
      <c r="Z6" s="84" t="str">
        <f>IF(T3=2,"","C")</f>
        <v>C</v>
      </c>
      <c r="AA6" s="89" t="str">
        <f>IF(ISNA(MATCH(W6,$U$5:$U$81,0)),"",INDEX($S$5:$S$81,MATCH(W6,$U$5:$U$81,0)))</f>
        <v>C</v>
      </c>
      <c r="AC6" s="126"/>
      <c r="AD6" s="126"/>
      <c r="AE6" s="126"/>
      <c r="AF6" s="126"/>
      <c r="AG6" s="126"/>
      <c r="AH6" s="126"/>
      <c r="AI6" s="126"/>
      <c r="AJ6" s="126"/>
      <c r="AK6" s="126"/>
    </row>
    <row r="7" spans="1:37" ht="30" customHeight="1">
      <c r="C7" s="152"/>
      <c r="D7" s="148"/>
      <c r="E7" s="148"/>
      <c r="F7" s="148"/>
      <c r="G7" s="148"/>
      <c r="H7" s="160" t="s">
        <v>83</v>
      </c>
      <c r="M7" s="118"/>
      <c r="N7" s="118"/>
      <c r="Q7" s="35">
        <v>3</v>
      </c>
      <c r="R7" s="31"/>
      <c r="S7" s="185" t="s">
        <v>49</v>
      </c>
      <c r="T7" s="86"/>
      <c r="U7" s="32">
        <v>3</v>
      </c>
      <c r="W7" s="195">
        <f>IF(OR(AND($J$10&gt;39,$J$10&lt;60),AND($J$10&gt;69,$J$10&lt;80),AND($J$10&gt;0,$J$10&lt;0),AND($J$10&gt;0,$J$10&lt;0),AND($J$10&gt;0,$J$10&lt;0),IF($J$10&gt;0,$J$10&lt;0)),4,0)</f>
        <v>0</v>
      </c>
      <c r="X7" s="953"/>
      <c r="Y7" s="951"/>
      <c r="Z7" s="229" t="s">
        <v>40</v>
      </c>
      <c r="AA7" s="198" t="str">
        <f>IF(ISNA(MATCH(W7,$U$5:$U$81,0)),"OFFICE",INDEX($S$5:$S$81,MATCH(W7,$U$5:$U$81,0)))</f>
        <v>OFFICE</v>
      </c>
      <c r="AC7" s="126"/>
      <c r="AD7" s="126"/>
      <c r="AE7" s="126"/>
      <c r="AF7" s="126"/>
      <c r="AG7" s="126"/>
      <c r="AH7" s="126"/>
      <c r="AI7" s="126"/>
      <c r="AJ7" s="126"/>
      <c r="AK7" s="126"/>
    </row>
    <row r="8" spans="1:37" ht="30" customHeight="1" thickBot="1">
      <c r="B8" s="148"/>
      <c r="C8" s="148"/>
      <c r="D8" s="148"/>
      <c r="E8" s="126"/>
      <c r="F8" s="126"/>
      <c r="G8" s="148"/>
      <c r="H8" s="153"/>
      <c r="J8" s="139"/>
      <c r="N8" s="154"/>
      <c r="Q8" s="36">
        <v>4</v>
      </c>
      <c r="R8" s="31"/>
      <c r="S8" s="31" t="s">
        <v>40</v>
      </c>
      <c r="T8" s="86"/>
      <c r="U8" s="32">
        <v>4</v>
      </c>
      <c r="V8" s="90"/>
      <c r="W8" s="179">
        <f>IF(OR(AND($J$10&gt;39,$J$10&lt;50)),0,IF(OR(AND($J$10&gt;0,$J$10&lt;0),IF($J$10&gt;0,$J$10&lt;0)),4,IF(OR(AND($J$10&gt;49,$J$10&lt;60),AND($J$10&gt;0,$J$10&lt;0),IF($J$10&gt;0,$J$10&lt;0)),5,0)))</f>
        <v>0</v>
      </c>
      <c r="X8" s="954"/>
      <c r="Y8" s="228"/>
      <c r="Z8" s="87" t="s">
        <v>41</v>
      </c>
      <c r="AA8" s="183" t="str">
        <f>IF(ISNA(MATCH(W8,$U$5:$U$81,0)),"OFFICE",INDEX($S$5:$S$81,MATCH(W8,$U$5:$U$81,0)))</f>
        <v>OFFICE</v>
      </c>
      <c r="AC8" s="126"/>
      <c r="AD8" s="126"/>
      <c r="AE8" s="126"/>
      <c r="AF8" s="126"/>
      <c r="AG8" s="126"/>
      <c r="AH8" s="126"/>
      <c r="AI8" s="126"/>
      <c r="AJ8" s="126"/>
      <c r="AK8" s="126"/>
    </row>
    <row r="9" spans="1:37" ht="30" customHeight="1" thickBot="1">
      <c r="B9" s="126"/>
      <c r="C9" s="126"/>
      <c r="D9" s="126"/>
      <c r="E9" s="126"/>
      <c r="F9" s="126"/>
      <c r="N9" s="154"/>
      <c r="Q9" s="35">
        <v>5</v>
      </c>
      <c r="R9" s="31"/>
      <c r="S9" s="31" t="s">
        <v>41</v>
      </c>
      <c r="T9" s="86"/>
      <c r="U9" s="32">
        <v>5</v>
      </c>
      <c r="V9" s="90"/>
      <c r="W9" s="180">
        <f>IF(OR(AND($J$10&gt;59,$J$10&lt;70),AND($J$10&gt;0,$J$10&lt;0),IF($J$10&gt;0,$J$10&lt;0)),4,IF(OR(AND($J$10&gt;69,$J$10&lt;80),AND($J$10&gt;0,$J$10&lt;0),IF($J$10&gt;0,$J$10&lt;0)),5,0))</f>
        <v>0</v>
      </c>
      <c r="X9" s="952" t="s">
        <v>25</v>
      </c>
      <c r="Y9" s="949">
        <v>5</v>
      </c>
      <c r="Z9" s="84" t="s">
        <v>14</v>
      </c>
      <c r="AA9" s="85" t="str">
        <f>IF(ISNA(MATCH(W9,$U$5:$U$81,0)),"",INDEX($S$5:$S$81,MATCH(W9,$U$5:$U$81,0)))</f>
        <v/>
      </c>
      <c r="AC9" s="126"/>
      <c r="AD9" s="126"/>
      <c r="AE9" s="126"/>
      <c r="AF9" s="126"/>
      <c r="AG9" s="126"/>
      <c r="AH9" s="126"/>
      <c r="AI9" s="126"/>
      <c r="AJ9" s="126"/>
      <c r="AK9" s="126"/>
    </row>
    <row r="10" spans="1:37" ht="30" customHeight="1" thickBot="1">
      <c r="A10" s="925" t="s">
        <v>22</v>
      </c>
      <c r="B10" s="926"/>
      <c r="C10" s="926"/>
      <c r="D10" s="926"/>
      <c r="E10" s="926"/>
      <c r="F10" s="927"/>
      <c r="G10" s="934" t="str">
        <f>LEFT(J10,1)</f>
        <v>3</v>
      </c>
      <c r="H10" s="935"/>
      <c r="J10" s="928">
        <v>31</v>
      </c>
      <c r="K10" s="929"/>
      <c r="Q10" s="36">
        <v>6</v>
      </c>
      <c r="R10" s="31"/>
      <c r="S10" s="31" t="s">
        <v>87</v>
      </c>
      <c r="T10" s="86"/>
      <c r="U10" s="32">
        <v>6</v>
      </c>
      <c r="V10" s="90"/>
      <c r="W10" s="265">
        <f>IF(OR(AND($J$10&gt;59,$J$10&lt;70),AND($J$10&gt;0,$J$10&lt;0),IF($J$10&gt;0,$J$10&lt;0)),5,IF(OR(AND($J$10&gt;69,$J$10&lt;80),AND($J$10&gt;0,$J$10&lt;0),IF($J$10&gt;0,$J$10&lt;0)),6,0))</f>
        <v>0</v>
      </c>
      <c r="X10" s="953"/>
      <c r="Y10" s="950"/>
      <c r="Z10" s="87" t="s">
        <v>15</v>
      </c>
      <c r="AA10" s="91" t="str">
        <f>IF(ISNA(MATCH(W10,$U$5:$U$81,0)),"",INDEX($S$5:$S$81,MATCH(W10,$U$5:$U$81,0)))</f>
        <v/>
      </c>
      <c r="AC10" s="126"/>
      <c r="AD10" s="126"/>
      <c r="AE10" s="126"/>
      <c r="AF10" s="126"/>
      <c r="AG10" s="126"/>
      <c r="AH10" s="126"/>
      <c r="AI10" s="126"/>
      <c r="AJ10" s="126"/>
      <c r="AK10" s="126"/>
    </row>
    <row r="11" spans="1:37" ht="30" customHeight="1" thickBot="1">
      <c r="A11" s="925" t="s">
        <v>55</v>
      </c>
      <c r="B11" s="926"/>
      <c r="C11" s="926"/>
      <c r="D11" s="926"/>
      <c r="E11" s="926"/>
      <c r="F11" s="927"/>
      <c r="G11" s="936" t="str">
        <f>RIGHT(J10,1)</f>
        <v>1</v>
      </c>
      <c r="H11" s="937"/>
      <c r="J11" s="929"/>
      <c r="K11" s="929"/>
      <c r="M11" s="126"/>
      <c r="Q11" s="189">
        <v>7</v>
      </c>
      <c r="R11" s="190"/>
      <c r="S11" s="190" t="s">
        <v>88</v>
      </c>
      <c r="T11" s="191"/>
      <c r="U11" s="192">
        <v>7</v>
      </c>
      <c r="V11" s="90"/>
      <c r="W11" s="178">
        <f>IF(OR(AND($J$10&gt;59,$J$10&lt;70),AND($J$10&gt;0,$J$10&lt;0),IF($J$10&gt;0,$J$10&lt;0)),6,IF(OR(AND($J$10&gt;69,$J$10&lt;80),AND($J$10&gt;0,$J$10&lt;0),IF($J$10&gt;0,$J$10&lt;0)),7,0))</f>
        <v>0</v>
      </c>
      <c r="X11" s="953"/>
      <c r="Y11" s="949">
        <v>7</v>
      </c>
      <c r="Z11" s="84" t="str">
        <f>IF(AJ17=2,"","C")</f>
        <v>C</v>
      </c>
      <c r="AA11" s="85" t="str">
        <f>IF(ISNA(MATCH(W11,$U$5:$U$81,0)),"",INDEX($S$5:$S$81,MATCH(W11,$U$5:$U$81,0)))</f>
        <v/>
      </c>
      <c r="AC11" s="126"/>
      <c r="AD11" s="126"/>
      <c r="AE11" s="126"/>
      <c r="AF11" s="126"/>
      <c r="AG11" s="126"/>
      <c r="AH11" s="126"/>
      <c r="AI11" s="126"/>
      <c r="AJ11" s="126"/>
      <c r="AK11" s="126"/>
    </row>
    <row r="12" spans="1:37" ht="30" customHeight="1" thickBot="1">
      <c r="D12" s="126"/>
      <c r="Q12" s="126"/>
      <c r="R12" s="126"/>
      <c r="S12" s="126"/>
      <c r="T12" s="126"/>
      <c r="U12" s="126"/>
      <c r="V12" s="90"/>
      <c r="W12" s="179">
        <v>0</v>
      </c>
      <c r="X12" s="954"/>
      <c r="Y12" s="950"/>
      <c r="Z12" s="87" t="s">
        <v>40</v>
      </c>
      <c r="AA12" s="183" t="str">
        <f>IF(ISNA(MATCH(W12,$U$5:$U$11,0)),"OFFICE",INDEX($S$5:$S$11,MATCH(W12,$U$5:$U$11,0)))</f>
        <v>OFFICE</v>
      </c>
      <c r="AC12" s="126"/>
      <c r="AD12" s="126"/>
      <c r="AE12" s="126"/>
      <c r="AF12" s="126"/>
      <c r="AG12" s="126"/>
      <c r="AH12" s="126"/>
      <c r="AI12" s="126"/>
      <c r="AJ12" s="126"/>
      <c r="AK12" s="126"/>
    </row>
    <row r="13" spans="1:37" ht="30" customHeight="1" thickBot="1">
      <c r="Q13" s="126"/>
      <c r="R13" s="126"/>
      <c r="S13" s="204"/>
      <c r="T13" s="126"/>
      <c r="U13" s="126"/>
      <c r="V13" s="90"/>
      <c r="W13" s="126"/>
      <c r="X13" s="126"/>
      <c r="Y13" s="205"/>
      <c r="Z13" s="126"/>
      <c r="AA13" s="126"/>
      <c r="AC13" s="126"/>
      <c r="AD13" s="126"/>
      <c r="AE13" s="126"/>
      <c r="AF13" s="126"/>
      <c r="AG13" s="126"/>
      <c r="AH13" s="126"/>
      <c r="AI13" s="126"/>
      <c r="AJ13" s="126"/>
      <c r="AK13" s="126"/>
    </row>
    <row r="14" spans="1:37" s="139" customFormat="1" ht="30" customHeight="1" thickBot="1">
      <c r="C14" s="922" t="s">
        <v>66</v>
      </c>
      <c r="D14" s="923"/>
      <c r="E14" s="206" t="s">
        <v>38</v>
      </c>
      <c r="F14" s="207" t="s">
        <v>39</v>
      </c>
      <c r="G14" s="126"/>
      <c r="H14" s="126"/>
      <c r="I14" s="126"/>
      <c r="J14" s="126"/>
      <c r="K14" s="930" t="str">
        <f>IF(D16=4,2,IF(D16=5,2,IF(D16=6,2,IF(D16=7,3,"0"))))</f>
        <v>0</v>
      </c>
      <c r="L14" s="932" t="s">
        <v>64</v>
      </c>
      <c r="M14" s="126"/>
      <c r="N14" s="126"/>
      <c r="O14" s="126"/>
      <c r="Q14" s="126"/>
      <c r="R14" s="126"/>
      <c r="S14" s="126"/>
      <c r="T14" s="126"/>
      <c r="U14" s="126"/>
      <c r="V14" s="90"/>
      <c r="W14" s="126"/>
      <c r="X14" s="126"/>
      <c r="Y14" s="205"/>
      <c r="Z14" s="126"/>
      <c r="AA14" s="126"/>
      <c r="AB14" s="151"/>
      <c r="AC14" s="151"/>
      <c r="AD14" s="126"/>
      <c r="AE14" s="126"/>
      <c r="AF14" s="126"/>
      <c r="AG14" s="126"/>
      <c r="AH14" s="126"/>
      <c r="AI14" s="126"/>
      <c r="AJ14" s="126"/>
      <c r="AK14" s="126"/>
    </row>
    <row r="15" spans="1:37" ht="30" customHeight="1" thickBot="1">
      <c r="E15" s="208"/>
      <c r="F15" s="209"/>
      <c r="G15" s="126"/>
      <c r="H15" s="126"/>
      <c r="I15" s="126"/>
      <c r="J15" s="126"/>
      <c r="K15" s="931"/>
      <c r="L15" s="933"/>
      <c r="M15" s="126"/>
      <c r="N15" s="126"/>
      <c r="O15" s="126"/>
      <c r="Q15" s="126"/>
      <c r="R15" s="126"/>
      <c r="S15" s="126"/>
      <c r="T15" s="126"/>
      <c r="U15" s="126"/>
      <c r="V15" s="90"/>
      <c r="W15" s="126"/>
      <c r="X15" s="126"/>
      <c r="Y15" s="205"/>
      <c r="Z15" s="126"/>
      <c r="AA15" s="126"/>
      <c r="AB15" s="151"/>
      <c r="AC15" s="151"/>
      <c r="AD15" s="126"/>
      <c r="AE15" s="126"/>
      <c r="AF15" s="126"/>
      <c r="AG15" s="126"/>
      <c r="AH15" s="126"/>
      <c r="AI15" s="126"/>
      <c r="AJ15" s="126"/>
      <c r="AK15" s="126"/>
    </row>
    <row r="16" spans="1:37" s="151" customFormat="1" ht="30" customHeight="1" thickBot="1">
      <c r="A16" s="922" t="s">
        <v>61</v>
      </c>
      <c r="B16" s="924"/>
      <c r="C16" s="923"/>
      <c r="D16" s="196">
        <f>SUM(E16+F16)</f>
        <v>3</v>
      </c>
      <c r="E16" s="266" t="str">
        <f>IF(OR($J$10=0,J10=0,AND(J10&gt;30,J10&lt;33),AND(J10&gt;60,J10&lt;65)),"3",IF(OR(AND(J10&gt;40,J10&lt;44),AND(J10&gt;70,J10&lt;76)),"4",IF(OR(AND(J10&gt;50,J10&lt;55)),"5","0")))</f>
        <v>3</v>
      </c>
      <c r="F16" s="267" t="str">
        <f>IF(OR($J$10=0,AND(J10&gt;60,J10&lt;65),AND(J10&gt;70,J10&lt;76)),"3","0")</f>
        <v>0</v>
      </c>
      <c r="G16" s="126"/>
      <c r="H16" s="126"/>
      <c r="I16" s="126"/>
      <c r="J16" s="210"/>
      <c r="K16" s="126"/>
      <c r="L16" s="126"/>
      <c r="M16" s="126"/>
      <c r="N16" s="126"/>
      <c r="O16" s="126"/>
      <c r="Q16" s="126"/>
      <c r="R16" s="126"/>
      <c r="S16" s="126"/>
      <c r="T16" s="126"/>
      <c r="U16" s="126"/>
      <c r="V16" s="90"/>
      <c r="W16" s="126"/>
      <c r="X16" s="126"/>
      <c r="Y16" s="205"/>
      <c r="Z16" s="126"/>
      <c r="AA16" s="126"/>
      <c r="AB16" s="42"/>
      <c r="AC16" s="42"/>
    </row>
    <row r="17" spans="1:29" s="151" customFormat="1" ht="30" customHeight="1" thickBot="1">
      <c r="A17" s="922" t="s">
        <v>73</v>
      </c>
      <c r="B17" s="924"/>
      <c r="C17" s="923"/>
      <c r="D17" s="197">
        <f>SUM(E17+F17)</f>
        <v>1</v>
      </c>
      <c r="E17" s="268" t="str">
        <f>IF(OR(AND(J10&gt;30,J10&lt;32),AND(J10&gt;40,J10&lt;42),AND(J10&gt;50,J10&lt;52)),"1",IF(OR(AND(J10&gt;31,J10&lt;33),AND(J10&gt;41,J10&lt;43),AND(J10&gt;70,J10&lt;75),AND(J10&gt;60,J10&lt;65),AND(J10&gt;50,J10&lt;53)),"2",IF(OR(AND(J10&gt;42,J10&lt;44),AND(J10&gt;52,J10&lt;54),AND(J10&gt;74,J10&lt;76)),"3","0")))</f>
        <v>1</v>
      </c>
      <c r="F17" s="267" t="str">
        <f>IF(OR($J$10=0,J10=0,AND(J10&gt;0,J10&lt;0)),"1",IF(OR(AND(J10&gt;60,J10&lt;65),AND(J10&gt;70,J10&lt;76),AND(J10&gt;0,J10&lt;0)),"2","0"))</f>
        <v>0</v>
      </c>
      <c r="G17" s="126"/>
      <c r="H17" s="126"/>
      <c r="I17" s="126"/>
      <c r="J17" s="211"/>
      <c r="K17" s="126"/>
      <c r="L17" s="126"/>
      <c r="M17" s="126"/>
      <c r="N17" s="126"/>
      <c r="O17" s="126"/>
      <c r="Q17" s="126"/>
      <c r="R17" s="126"/>
      <c r="S17" s="126"/>
      <c r="T17" s="126"/>
      <c r="U17" s="126"/>
      <c r="V17" s="90"/>
      <c r="W17" s="126"/>
      <c r="X17" s="126"/>
      <c r="Y17" s="205"/>
      <c r="Z17" s="126"/>
      <c r="AA17" s="126"/>
      <c r="AB17" s="42"/>
      <c r="AC17" s="42"/>
    </row>
    <row r="18" spans="1:29" ht="30" customHeight="1">
      <c r="A18" s="110"/>
      <c r="B18" s="110"/>
      <c r="C18" s="155"/>
      <c r="D18" s="156"/>
      <c r="E18" s="139"/>
      <c r="H18" s="157"/>
      <c r="I18" s="157"/>
      <c r="J18" s="210"/>
      <c r="K18" s="157"/>
      <c r="L18" s="157"/>
      <c r="M18" s="157"/>
      <c r="N18" s="157"/>
      <c r="O18" s="157"/>
      <c r="Q18" s="126"/>
      <c r="R18" s="126"/>
      <c r="S18" s="126"/>
      <c r="T18" s="126"/>
      <c r="U18" s="126"/>
      <c r="V18" s="90"/>
      <c r="W18" s="126"/>
      <c r="X18" s="126"/>
      <c r="Y18" s="205"/>
      <c r="Z18" s="126"/>
      <c r="AA18" s="126"/>
    </row>
    <row r="19" spans="1:29" ht="30" customHeight="1">
      <c r="B19" s="921" t="s">
        <v>84</v>
      </c>
      <c r="C19" s="921"/>
      <c r="D19" s="921"/>
      <c r="V19" s="90"/>
      <c r="W19" s="42"/>
      <c r="X19" s="126"/>
      <c r="Y19" s="205"/>
      <c r="Z19" s="126"/>
      <c r="AA19" s="126"/>
    </row>
    <row r="20" spans="1:29" s="126" customFormat="1" ht="30" customHeight="1">
      <c r="Y20" s="205"/>
    </row>
    <row r="21" spans="1:29" ht="24.95" customHeight="1">
      <c r="A21" s="194" t="s">
        <v>85</v>
      </c>
      <c r="B21" s="194"/>
      <c r="C21" s="194"/>
      <c r="D21" s="194"/>
      <c r="E21" s="194"/>
      <c r="F21" s="194"/>
      <c r="W21" s="42"/>
      <c r="X21" s="126"/>
      <c r="Y21" s="205"/>
      <c r="Z21" s="126"/>
      <c r="AA21" s="126"/>
    </row>
    <row r="22" spans="1:29" ht="24.95" customHeight="1">
      <c r="A22" s="194" t="s">
        <v>86</v>
      </c>
      <c r="B22" s="194"/>
      <c r="C22" s="194"/>
      <c r="D22" s="194"/>
      <c r="E22" s="194"/>
      <c r="F22" s="194"/>
      <c r="W22" s="42"/>
      <c r="X22" s="126"/>
      <c r="Y22" s="205"/>
      <c r="Z22" s="126"/>
      <c r="AA22" s="126"/>
    </row>
    <row r="23" spans="1:29" ht="24.95" customHeight="1">
      <c r="A23" s="194" t="s">
        <v>81</v>
      </c>
      <c r="B23" s="194"/>
      <c r="C23" s="194"/>
      <c r="D23" s="194"/>
      <c r="E23" s="194"/>
      <c r="F23" s="194"/>
      <c r="W23" s="42"/>
      <c r="X23" s="126"/>
      <c r="Y23" s="205"/>
      <c r="Z23" s="126"/>
      <c r="AA23" s="126"/>
    </row>
    <row r="24" spans="1:29" ht="24.95" customHeight="1">
      <c r="A24" s="194" t="s">
        <v>82</v>
      </c>
      <c r="B24" s="194"/>
      <c r="C24" s="194"/>
      <c r="D24" s="194"/>
      <c r="E24" s="194"/>
      <c r="F24" s="194"/>
      <c r="W24" s="42"/>
      <c r="X24" s="126"/>
      <c r="Y24" s="205"/>
      <c r="Z24" s="126"/>
      <c r="AA24" s="126"/>
    </row>
    <row r="25" spans="1:29" ht="24.95" customHeight="1">
      <c r="A25" s="148" t="s">
        <v>78</v>
      </c>
      <c r="W25" s="42"/>
      <c r="X25" s="126"/>
      <c r="Y25" s="205"/>
      <c r="Z25" s="126"/>
      <c r="AA25" s="126"/>
    </row>
    <row r="26" spans="1:29" ht="24.95" customHeight="1">
      <c r="W26" s="42"/>
      <c r="X26" s="126"/>
      <c r="Y26" s="205"/>
      <c r="Z26" s="126"/>
      <c r="AA26" s="126"/>
    </row>
    <row r="27" spans="1:29" ht="24.95" customHeight="1">
      <c r="W27" s="42"/>
      <c r="X27" s="126"/>
      <c r="Y27" s="205"/>
      <c r="Z27" s="126"/>
      <c r="AA27" s="126"/>
    </row>
    <row r="28" spans="1:29" ht="24.95" customHeight="1">
      <c r="W28" s="42"/>
      <c r="X28" s="126"/>
      <c r="Y28" s="205"/>
      <c r="Z28" s="126"/>
      <c r="AA28" s="126"/>
    </row>
    <row r="29" spans="1:29" ht="24.95" customHeight="1">
      <c r="W29" s="42"/>
      <c r="X29" s="126"/>
      <c r="Y29" s="205"/>
      <c r="Z29" s="126"/>
      <c r="AA29" s="126"/>
    </row>
    <row r="30" spans="1:29" ht="24.95" customHeight="1">
      <c r="W30" s="42"/>
      <c r="X30" s="126"/>
      <c r="Y30" s="205"/>
      <c r="Z30" s="126"/>
      <c r="AA30" s="126"/>
    </row>
    <row r="31" spans="1:29" ht="24.95" customHeight="1">
      <c r="W31" s="42"/>
      <c r="X31" s="126"/>
      <c r="Y31" s="205"/>
      <c r="Z31" s="126"/>
      <c r="AA31" s="126"/>
    </row>
    <row r="32" spans="1:29" ht="24.95" customHeight="1">
      <c r="W32" s="42"/>
      <c r="X32" s="126"/>
      <c r="Y32" s="205"/>
      <c r="Z32" s="126"/>
      <c r="AA32" s="126"/>
    </row>
    <row r="33" spans="5:27" ht="24.95" customHeight="1">
      <c r="W33" s="42"/>
      <c r="X33" s="126"/>
      <c r="Y33" s="205"/>
      <c r="Z33" s="126"/>
      <c r="AA33" s="126"/>
    </row>
    <row r="34" spans="5:27" ht="24.95" customHeight="1">
      <c r="W34" s="42"/>
      <c r="X34" s="126"/>
      <c r="Y34" s="205"/>
      <c r="Z34" s="126"/>
      <c r="AA34" s="126"/>
    </row>
    <row r="35" spans="5:27" ht="24.95" customHeight="1">
      <c r="W35" s="42"/>
      <c r="X35" s="126"/>
      <c r="Y35" s="205"/>
      <c r="Z35" s="126"/>
      <c r="AA35" s="126"/>
    </row>
    <row r="36" spans="5:27" ht="24.95" customHeight="1">
      <c r="E36" s="126"/>
      <c r="F36" s="126"/>
      <c r="G36" s="126"/>
      <c r="H36" s="126"/>
      <c r="Q36" s="126"/>
      <c r="R36" s="126"/>
      <c r="S36" s="126"/>
      <c r="T36" s="126"/>
      <c r="U36" s="126"/>
      <c r="V36" s="126"/>
      <c r="W36" s="126"/>
      <c r="X36" s="126"/>
      <c r="Y36" s="205"/>
      <c r="Z36" s="126"/>
      <c r="AA36" s="126"/>
    </row>
    <row r="37" spans="5:27" ht="24.95" customHeight="1">
      <c r="E37" s="126"/>
      <c r="F37" s="126"/>
      <c r="G37" s="126"/>
      <c r="H37" s="126"/>
      <c r="Q37" s="126"/>
      <c r="R37" s="126"/>
      <c r="S37" s="126"/>
      <c r="T37" s="126"/>
      <c r="U37" s="126"/>
      <c r="V37" s="126"/>
      <c r="W37" s="126"/>
      <c r="X37" s="126"/>
      <c r="Y37" s="205"/>
      <c r="Z37" s="126"/>
      <c r="AA37" s="126"/>
    </row>
    <row r="38" spans="5:27" ht="24.95" customHeight="1">
      <c r="E38" s="126"/>
      <c r="F38" s="126"/>
      <c r="G38" s="126"/>
      <c r="H38" s="126"/>
      <c r="Q38" s="126"/>
      <c r="R38" s="126"/>
      <c r="S38" s="126"/>
      <c r="T38" s="126"/>
      <c r="U38" s="126"/>
      <c r="V38" s="126"/>
      <c r="W38" s="126"/>
      <c r="X38" s="126"/>
      <c r="Y38" s="205"/>
      <c r="Z38" s="126"/>
      <c r="AA38" s="126"/>
    </row>
    <row r="39" spans="5:27" ht="24.95" customHeight="1">
      <c r="E39" s="126"/>
      <c r="F39" s="126"/>
      <c r="G39" s="126"/>
      <c r="H39" s="126"/>
      <c r="Q39" s="126"/>
      <c r="R39" s="126"/>
      <c r="S39" s="126"/>
      <c r="T39" s="126"/>
      <c r="U39" s="126"/>
      <c r="V39" s="126"/>
      <c r="W39" s="126"/>
      <c r="X39" s="126"/>
      <c r="Y39" s="205"/>
      <c r="Z39" s="126"/>
      <c r="AA39" s="126"/>
    </row>
    <row r="40" spans="5:27" ht="24.95" customHeight="1">
      <c r="E40" s="126"/>
      <c r="F40" s="126"/>
      <c r="G40" s="126"/>
      <c r="H40" s="126"/>
      <c r="Q40" s="126"/>
      <c r="R40" s="126"/>
      <c r="S40" s="126"/>
      <c r="T40" s="126"/>
      <c r="U40" s="126"/>
      <c r="V40" s="126"/>
      <c r="W40" s="126"/>
      <c r="X40" s="126"/>
      <c r="Y40" s="205"/>
      <c r="Z40" s="126"/>
      <c r="AA40" s="126"/>
    </row>
    <row r="41" spans="5:27" ht="24.95" customHeight="1">
      <c r="E41" s="126"/>
      <c r="F41" s="126"/>
      <c r="G41" s="126"/>
      <c r="H41" s="126"/>
      <c r="Q41" s="126"/>
      <c r="R41" s="126"/>
      <c r="S41" s="126"/>
      <c r="T41" s="126"/>
      <c r="U41" s="126"/>
      <c r="V41" s="126"/>
      <c r="W41" s="126"/>
      <c r="X41" s="126"/>
      <c r="Y41" s="205"/>
      <c r="Z41" s="126"/>
      <c r="AA41" s="126"/>
    </row>
    <row r="42" spans="5:27" ht="24.95" customHeight="1">
      <c r="E42" s="126"/>
      <c r="F42" s="126"/>
      <c r="G42" s="126"/>
      <c r="H42" s="126"/>
      <c r="Q42" s="126"/>
      <c r="R42" s="126"/>
      <c r="S42" s="126"/>
      <c r="T42" s="126"/>
      <c r="U42" s="126"/>
      <c r="V42" s="126"/>
      <c r="W42" s="126"/>
      <c r="X42" s="126"/>
      <c r="Y42" s="205"/>
      <c r="Z42" s="126"/>
      <c r="AA42" s="126"/>
    </row>
    <row r="43" spans="5:27" ht="24.95" customHeight="1">
      <c r="E43" s="126"/>
      <c r="F43" s="126"/>
      <c r="G43" s="126"/>
      <c r="H43" s="126"/>
      <c r="Q43" s="126"/>
      <c r="R43" s="126"/>
      <c r="S43" s="126"/>
      <c r="T43" s="126"/>
      <c r="U43" s="126"/>
      <c r="V43" s="126"/>
      <c r="W43" s="126"/>
      <c r="X43" s="126"/>
      <c r="Y43" s="205"/>
      <c r="Z43" s="126"/>
      <c r="AA43" s="126"/>
    </row>
    <row r="44" spans="5:27" ht="24.95" customHeight="1">
      <c r="E44" s="126"/>
      <c r="F44" s="126"/>
      <c r="G44" s="126"/>
      <c r="H44" s="126"/>
      <c r="Q44" s="126"/>
      <c r="R44" s="126"/>
      <c r="S44" s="126"/>
      <c r="T44" s="126"/>
      <c r="U44" s="126"/>
      <c r="V44" s="126"/>
      <c r="W44" s="126"/>
      <c r="X44" s="126"/>
      <c r="Y44" s="205"/>
      <c r="Z44" s="126"/>
      <c r="AA44" s="126"/>
    </row>
    <row r="45" spans="5:27" ht="24.95" customHeight="1">
      <c r="E45" s="126"/>
      <c r="F45" s="126"/>
      <c r="G45" s="126"/>
      <c r="H45" s="126"/>
      <c r="Q45" s="126"/>
      <c r="R45" s="126"/>
      <c r="S45" s="126"/>
      <c r="T45" s="126"/>
      <c r="U45" s="126"/>
      <c r="V45" s="126"/>
      <c r="W45" s="126"/>
      <c r="X45" s="126"/>
      <c r="Y45" s="205"/>
      <c r="Z45" s="126"/>
      <c r="AA45" s="126"/>
    </row>
    <row r="46" spans="5:27" ht="24.95" customHeight="1">
      <c r="E46" s="126"/>
      <c r="F46" s="126"/>
      <c r="G46" s="126"/>
      <c r="H46" s="126"/>
      <c r="Q46" s="126"/>
      <c r="R46" s="126"/>
      <c r="S46" s="126"/>
      <c r="T46" s="126"/>
      <c r="U46" s="126"/>
      <c r="V46" s="126"/>
      <c r="W46" s="126"/>
      <c r="X46" s="126"/>
      <c r="Y46" s="205"/>
      <c r="Z46" s="126"/>
      <c r="AA46" s="126"/>
    </row>
    <row r="47" spans="5:27" ht="24.95" customHeight="1">
      <c r="E47" s="126"/>
      <c r="F47" s="126"/>
      <c r="G47" s="126"/>
      <c r="H47" s="126"/>
      <c r="Q47" s="126"/>
      <c r="R47" s="126"/>
      <c r="S47" s="126"/>
      <c r="T47" s="126"/>
      <c r="U47" s="126"/>
      <c r="V47" s="126"/>
      <c r="W47" s="126"/>
      <c r="X47" s="126"/>
      <c r="Y47" s="205"/>
      <c r="Z47" s="126"/>
      <c r="AA47" s="126"/>
    </row>
    <row r="48" spans="5:27" ht="24.95" customHeight="1">
      <c r="E48" s="126"/>
      <c r="F48" s="126"/>
      <c r="G48" s="126"/>
      <c r="H48" s="126"/>
      <c r="Q48" s="126"/>
      <c r="R48" s="126"/>
      <c r="S48" s="126"/>
      <c r="T48" s="126"/>
      <c r="U48" s="126"/>
      <c r="V48" s="126"/>
      <c r="W48" s="126"/>
      <c r="X48" s="126"/>
      <c r="Y48" s="205"/>
      <c r="Z48" s="126"/>
      <c r="AA48" s="126"/>
    </row>
    <row r="49" spans="1:34" ht="24.95" customHeight="1">
      <c r="E49" s="126"/>
      <c r="F49" s="126"/>
      <c r="G49" s="126"/>
      <c r="H49" s="126"/>
      <c r="Q49" s="126"/>
      <c r="R49" s="126"/>
      <c r="S49" s="126"/>
      <c r="T49" s="126"/>
      <c r="U49" s="126"/>
      <c r="V49" s="126"/>
      <c r="W49" s="126"/>
      <c r="X49" s="126"/>
      <c r="Y49" s="205"/>
      <c r="Z49" s="126"/>
      <c r="AA49" s="126"/>
    </row>
    <row r="50" spans="1:34" ht="24.95" customHeight="1">
      <c r="E50" s="126"/>
      <c r="F50" s="126"/>
      <c r="G50" s="126"/>
      <c r="H50" s="126"/>
      <c r="Q50" s="126"/>
      <c r="R50" s="126"/>
      <c r="S50" s="126"/>
      <c r="T50" s="126"/>
      <c r="U50" s="126"/>
      <c r="V50" s="126"/>
      <c r="W50" s="126"/>
      <c r="X50" s="126"/>
      <c r="Y50" s="205"/>
      <c r="Z50" s="126"/>
      <c r="AA50" s="126"/>
    </row>
    <row r="51" spans="1:34" ht="24.95" customHeight="1">
      <c r="E51" s="126"/>
      <c r="F51" s="126"/>
      <c r="G51" s="126"/>
      <c r="H51" s="126"/>
      <c r="Q51" s="126"/>
      <c r="R51" s="126"/>
      <c r="S51" s="126"/>
      <c r="T51" s="126"/>
      <c r="U51" s="126"/>
      <c r="V51" s="126"/>
      <c r="W51" s="126"/>
      <c r="X51" s="126"/>
      <c r="Y51" s="205"/>
      <c r="Z51" s="126"/>
      <c r="AA51" s="126"/>
    </row>
    <row r="52" spans="1:34" ht="24.95" customHeight="1">
      <c r="E52" s="126"/>
      <c r="F52" s="126"/>
      <c r="G52" s="126"/>
      <c r="H52" s="126"/>
      <c r="Q52" s="126"/>
      <c r="R52" s="126"/>
      <c r="S52" s="126"/>
      <c r="T52" s="126"/>
      <c r="U52" s="126"/>
      <c r="V52" s="126"/>
      <c r="W52" s="126"/>
      <c r="X52" s="126"/>
      <c r="Y52" s="205"/>
      <c r="Z52" s="126"/>
      <c r="AA52" s="126"/>
    </row>
    <row r="53" spans="1:34" ht="24.95" customHeight="1">
      <c r="E53" s="126"/>
      <c r="F53" s="126"/>
      <c r="G53" s="126"/>
      <c r="H53" s="126"/>
      <c r="Q53" s="126"/>
      <c r="R53" s="126"/>
      <c r="S53" s="126"/>
      <c r="T53" s="126"/>
      <c r="U53" s="126"/>
      <c r="V53" s="126"/>
      <c r="W53" s="126"/>
      <c r="X53" s="126"/>
      <c r="Y53" s="205"/>
      <c r="Z53" s="126"/>
      <c r="AA53" s="126"/>
    </row>
    <row r="54" spans="1:34" ht="24.95" customHeight="1">
      <c r="E54" s="126"/>
      <c r="F54" s="126"/>
      <c r="G54" s="126"/>
      <c r="H54" s="126"/>
      <c r="Q54" s="126"/>
      <c r="R54" s="126"/>
      <c r="S54" s="126"/>
      <c r="T54" s="126"/>
      <c r="U54" s="126"/>
      <c r="V54" s="126"/>
      <c r="W54" s="126"/>
      <c r="X54" s="126"/>
      <c r="Y54" s="205"/>
      <c r="Z54" s="126"/>
      <c r="AA54" s="126"/>
    </row>
    <row r="55" spans="1:34" ht="24.95" customHeight="1">
      <c r="E55" s="126"/>
      <c r="F55" s="126"/>
      <c r="G55" s="126"/>
      <c r="H55" s="126"/>
      <c r="Q55" s="126"/>
      <c r="R55" s="126"/>
      <c r="S55" s="126"/>
      <c r="T55" s="126"/>
      <c r="U55" s="126"/>
      <c r="V55" s="126"/>
      <c r="W55" s="126"/>
      <c r="X55" s="126"/>
      <c r="Y55" s="205"/>
      <c r="Z55" s="126"/>
      <c r="AA55" s="126"/>
    </row>
    <row r="56" spans="1:34" ht="24.95" customHeight="1">
      <c r="E56" s="126"/>
      <c r="F56" s="126"/>
      <c r="G56" s="126"/>
      <c r="H56" s="126"/>
      <c r="Q56" s="126"/>
      <c r="R56" s="126"/>
      <c r="S56" s="126"/>
      <c r="T56" s="126"/>
      <c r="U56" s="126"/>
      <c r="V56" s="126"/>
      <c r="W56" s="126"/>
      <c r="X56" s="126"/>
      <c r="Y56" s="205"/>
      <c r="Z56" s="126"/>
      <c r="AA56" s="126"/>
    </row>
    <row r="57" spans="1:34" ht="24.95" customHeight="1">
      <c r="E57" s="126"/>
      <c r="F57" s="126"/>
      <c r="G57" s="126"/>
      <c r="H57" s="126"/>
      <c r="Q57" s="126"/>
      <c r="R57" s="126"/>
      <c r="S57" s="126"/>
      <c r="T57" s="126"/>
      <c r="U57" s="126"/>
      <c r="V57" s="126"/>
      <c r="W57" s="126"/>
      <c r="X57" s="126"/>
      <c r="Y57" s="205"/>
      <c r="Z57" s="126"/>
      <c r="AA57" s="126"/>
    </row>
    <row r="58" spans="1:34" ht="24.95" customHeight="1">
      <c r="D58" s="158"/>
      <c r="E58" s="126"/>
      <c r="F58" s="126"/>
      <c r="G58" s="126"/>
      <c r="H58" s="126"/>
      <c r="Q58" s="126"/>
      <c r="R58" s="126"/>
      <c r="S58" s="126"/>
      <c r="T58" s="126"/>
      <c r="U58" s="126"/>
      <c r="V58" s="126"/>
      <c r="W58" s="126"/>
      <c r="X58" s="126"/>
      <c r="Y58" s="205"/>
      <c r="Z58" s="126"/>
      <c r="AA58" s="126"/>
    </row>
    <row r="59" spans="1:34" ht="24.95" customHeight="1">
      <c r="E59" s="126"/>
      <c r="F59" s="126"/>
      <c r="G59" s="126"/>
      <c r="H59" s="126"/>
      <c r="Q59" s="126"/>
      <c r="R59" s="126"/>
      <c r="S59" s="126"/>
      <c r="T59" s="126"/>
      <c r="U59" s="126"/>
      <c r="V59" s="126"/>
      <c r="W59" s="126"/>
      <c r="X59" s="126"/>
      <c r="Y59" s="205"/>
      <c r="Z59" s="126"/>
      <c r="AA59" s="126"/>
    </row>
    <row r="60" spans="1:34" ht="24.95" customHeight="1">
      <c r="E60" s="126"/>
      <c r="F60" s="126"/>
      <c r="G60" s="126"/>
      <c r="H60" s="126"/>
      <c r="Q60" s="126"/>
      <c r="R60" s="126"/>
      <c r="S60" s="126"/>
      <c r="T60" s="126"/>
      <c r="U60" s="126"/>
      <c r="V60" s="126"/>
      <c r="W60" s="126"/>
      <c r="X60" s="126"/>
      <c r="Y60" s="205"/>
      <c r="Z60" s="126"/>
      <c r="AA60" s="126"/>
    </row>
    <row r="61" spans="1:34" ht="24.95" customHeight="1">
      <c r="E61" s="126"/>
      <c r="F61" s="126"/>
      <c r="G61" s="126"/>
      <c r="H61" s="126"/>
      <c r="Q61" s="126"/>
      <c r="R61" s="126"/>
      <c r="S61" s="126"/>
      <c r="T61" s="126"/>
      <c r="U61" s="126"/>
      <c r="V61" s="126"/>
      <c r="W61" s="126"/>
      <c r="X61" s="126"/>
      <c r="Y61" s="205"/>
      <c r="Z61" s="126"/>
      <c r="AA61" s="126"/>
      <c r="AB61" s="158"/>
      <c r="AC61" s="158"/>
    </row>
    <row r="62" spans="1:34" ht="24.95" customHeight="1">
      <c r="E62" s="126"/>
      <c r="F62" s="126"/>
      <c r="G62" s="126"/>
      <c r="H62" s="126"/>
      <c r="Q62" s="126"/>
      <c r="R62" s="126"/>
      <c r="S62" s="126"/>
      <c r="T62" s="126"/>
      <c r="U62" s="126"/>
      <c r="V62" s="126"/>
      <c r="W62" s="126"/>
      <c r="X62" s="126"/>
      <c r="Y62" s="205"/>
      <c r="Z62" s="126"/>
      <c r="AA62" s="126"/>
    </row>
    <row r="63" spans="1:34" ht="24.95" customHeight="1">
      <c r="E63" s="126"/>
      <c r="F63" s="126"/>
      <c r="G63" s="126"/>
      <c r="H63" s="126"/>
      <c r="Q63" s="126"/>
      <c r="R63" s="126"/>
      <c r="S63" s="126"/>
      <c r="T63" s="126"/>
      <c r="U63" s="126"/>
      <c r="V63" s="126"/>
      <c r="W63" s="126"/>
      <c r="X63" s="126"/>
      <c r="Y63" s="205"/>
      <c r="Z63" s="126"/>
      <c r="AA63" s="126"/>
    </row>
    <row r="64" spans="1:34" ht="24.95" customHeight="1">
      <c r="A64" s="159"/>
      <c r="B64" s="158"/>
      <c r="C64" s="158"/>
      <c r="E64" s="126"/>
      <c r="F64" s="126"/>
      <c r="G64" s="126"/>
      <c r="H64" s="126"/>
      <c r="I64" s="158"/>
      <c r="J64" s="158"/>
      <c r="K64" s="158"/>
      <c r="L64" s="158"/>
      <c r="M64" s="158"/>
      <c r="N64" s="158"/>
      <c r="O64" s="158"/>
      <c r="P64" s="158"/>
      <c r="Q64" s="126"/>
      <c r="R64" s="126"/>
      <c r="S64" s="126"/>
      <c r="T64" s="126"/>
      <c r="U64" s="126"/>
      <c r="V64" s="126"/>
      <c r="W64" s="126"/>
      <c r="X64" s="126"/>
      <c r="Y64" s="205"/>
      <c r="Z64" s="126"/>
      <c r="AA64" s="126"/>
      <c r="AD64" s="158"/>
      <c r="AE64" s="158"/>
      <c r="AF64" s="158"/>
      <c r="AG64" s="158"/>
      <c r="AH64" s="158"/>
    </row>
    <row r="65" spans="5:27" ht="24.95" customHeight="1">
      <c r="E65" s="126"/>
      <c r="F65" s="126"/>
      <c r="G65" s="126"/>
      <c r="H65" s="126"/>
      <c r="Q65" s="126"/>
      <c r="R65" s="126"/>
      <c r="S65" s="126"/>
      <c r="T65" s="126"/>
      <c r="U65" s="126"/>
      <c r="V65" s="126"/>
      <c r="W65" s="126"/>
      <c r="X65" s="126"/>
      <c r="Y65" s="205"/>
      <c r="Z65" s="126"/>
      <c r="AA65" s="126"/>
    </row>
    <row r="66" spans="5:27" ht="24.95" customHeight="1">
      <c r="E66" s="126"/>
      <c r="F66" s="126"/>
      <c r="G66" s="126"/>
      <c r="H66" s="126"/>
      <c r="Q66" s="126"/>
      <c r="R66" s="126"/>
      <c r="S66" s="126"/>
      <c r="T66" s="126"/>
      <c r="U66" s="126"/>
      <c r="V66" s="126"/>
      <c r="W66" s="126"/>
      <c r="X66" s="126"/>
      <c r="Y66" s="205"/>
      <c r="Z66" s="126"/>
      <c r="AA66" s="126"/>
    </row>
    <row r="67" spans="5:27" ht="24.95" customHeight="1">
      <c r="E67" s="126"/>
      <c r="F67" s="126"/>
      <c r="G67" s="126"/>
      <c r="H67" s="126"/>
      <c r="Q67" s="126"/>
      <c r="R67" s="126"/>
      <c r="S67" s="126"/>
      <c r="T67" s="126"/>
      <c r="U67" s="126"/>
      <c r="V67" s="126"/>
      <c r="W67" s="126"/>
      <c r="X67" s="126"/>
      <c r="Y67" s="205"/>
      <c r="Z67" s="126"/>
      <c r="AA67" s="126"/>
    </row>
    <row r="68" spans="5:27" ht="24.95" customHeight="1">
      <c r="E68" s="126"/>
      <c r="F68" s="126"/>
      <c r="G68" s="126"/>
      <c r="H68" s="126"/>
      <c r="Q68" s="126"/>
      <c r="R68" s="126"/>
      <c r="S68" s="126"/>
      <c r="T68" s="126"/>
      <c r="U68" s="126"/>
      <c r="V68" s="126"/>
      <c r="W68" s="126"/>
      <c r="X68" s="126"/>
      <c r="Y68" s="205"/>
      <c r="Z68" s="126"/>
      <c r="AA68" s="126"/>
    </row>
    <row r="69" spans="5:27" ht="24.95" customHeight="1">
      <c r="E69" s="126"/>
      <c r="F69" s="126"/>
      <c r="G69" s="126"/>
      <c r="H69" s="126"/>
      <c r="Q69" s="126"/>
      <c r="R69" s="126"/>
      <c r="S69" s="126"/>
      <c r="T69" s="126"/>
      <c r="U69" s="126"/>
      <c r="V69" s="126"/>
      <c r="W69" s="126"/>
      <c r="X69" s="126"/>
      <c r="Y69" s="205"/>
      <c r="Z69" s="126"/>
      <c r="AA69" s="126"/>
    </row>
    <row r="70" spans="5:27" ht="24.95" customHeight="1">
      <c r="E70" s="126"/>
      <c r="F70" s="126"/>
      <c r="G70" s="126"/>
      <c r="H70" s="126"/>
      <c r="Q70" s="126"/>
      <c r="R70" s="126"/>
      <c r="S70" s="126"/>
      <c r="T70" s="126"/>
      <c r="U70" s="126"/>
      <c r="V70" s="126"/>
      <c r="W70" s="126"/>
      <c r="X70" s="126"/>
      <c r="Y70" s="205"/>
      <c r="Z70" s="126"/>
      <c r="AA70" s="126"/>
    </row>
    <row r="71" spans="5:27" ht="24.95" customHeight="1">
      <c r="E71" s="126"/>
      <c r="F71" s="126"/>
      <c r="G71" s="126"/>
      <c r="H71" s="126"/>
      <c r="Q71" s="126"/>
      <c r="R71" s="126"/>
      <c r="S71" s="126"/>
      <c r="T71" s="126"/>
      <c r="U71" s="126"/>
      <c r="V71" s="126"/>
      <c r="W71" s="126"/>
      <c r="X71" s="126"/>
      <c r="Y71" s="205"/>
      <c r="Z71" s="126"/>
      <c r="AA71" s="126"/>
    </row>
    <row r="72" spans="5:27" ht="24.95" customHeight="1">
      <c r="E72" s="126"/>
      <c r="F72" s="126"/>
      <c r="G72" s="126"/>
      <c r="H72" s="126"/>
      <c r="Q72" s="126"/>
      <c r="R72" s="126"/>
      <c r="S72" s="126"/>
      <c r="T72" s="126"/>
      <c r="U72" s="126"/>
      <c r="V72" s="126"/>
      <c r="W72" s="126"/>
      <c r="X72" s="126"/>
      <c r="Y72" s="205"/>
      <c r="Z72" s="126"/>
      <c r="AA72" s="126"/>
    </row>
    <row r="73" spans="5:27" ht="24.95" customHeight="1">
      <c r="E73" s="126"/>
      <c r="F73" s="126"/>
      <c r="G73" s="126"/>
      <c r="H73" s="126"/>
      <c r="Q73" s="126"/>
      <c r="R73" s="126"/>
      <c r="S73" s="126"/>
      <c r="T73" s="126"/>
      <c r="U73" s="126"/>
      <c r="V73" s="126"/>
      <c r="W73" s="126"/>
      <c r="X73" s="126"/>
      <c r="Y73" s="205"/>
      <c r="Z73" s="126"/>
      <c r="AA73" s="126"/>
    </row>
    <row r="74" spans="5:27" ht="24.95" customHeight="1">
      <c r="E74" s="126"/>
      <c r="F74" s="126"/>
      <c r="G74" s="126"/>
      <c r="H74" s="126"/>
      <c r="Q74" s="126"/>
      <c r="R74" s="126"/>
      <c r="S74" s="126"/>
      <c r="T74" s="126"/>
      <c r="U74" s="126"/>
      <c r="V74" s="126"/>
      <c r="W74" s="126"/>
      <c r="X74" s="126"/>
      <c r="Y74" s="205"/>
      <c r="Z74" s="126"/>
      <c r="AA74" s="126"/>
    </row>
    <row r="75" spans="5:27" ht="24.95" customHeight="1">
      <c r="E75" s="126"/>
      <c r="F75" s="126"/>
      <c r="G75" s="126"/>
      <c r="H75" s="126"/>
      <c r="Q75" s="126"/>
      <c r="R75" s="126"/>
      <c r="S75" s="126"/>
      <c r="T75" s="126"/>
      <c r="U75" s="126"/>
      <c r="V75" s="126"/>
      <c r="W75" s="126"/>
      <c r="X75" s="126"/>
      <c r="Y75" s="205"/>
      <c r="Z75" s="126"/>
      <c r="AA75" s="126"/>
    </row>
    <row r="76" spans="5:27" ht="24.95" customHeight="1">
      <c r="E76" s="126"/>
      <c r="F76" s="126"/>
      <c r="G76" s="126"/>
      <c r="H76" s="126"/>
      <c r="Q76" s="126"/>
      <c r="R76" s="126"/>
      <c r="S76" s="126"/>
      <c r="T76" s="126"/>
      <c r="U76" s="126"/>
      <c r="V76" s="126"/>
      <c r="W76" s="126"/>
      <c r="X76" s="126"/>
      <c r="Y76" s="205"/>
      <c r="Z76" s="126"/>
      <c r="AA76" s="126"/>
    </row>
    <row r="77" spans="5:27" ht="24.95" customHeight="1">
      <c r="E77" s="126"/>
      <c r="F77" s="126"/>
      <c r="G77" s="126"/>
      <c r="H77" s="126"/>
      <c r="Q77" s="126"/>
      <c r="R77" s="126"/>
      <c r="S77" s="126"/>
      <c r="T77" s="126"/>
      <c r="U77" s="126"/>
      <c r="V77" s="126"/>
      <c r="W77" s="126"/>
      <c r="X77" s="126"/>
      <c r="Y77" s="205"/>
      <c r="Z77" s="126"/>
      <c r="AA77" s="126"/>
    </row>
    <row r="78" spans="5:27" ht="24.95" customHeight="1">
      <c r="E78" s="126"/>
      <c r="F78" s="126"/>
      <c r="G78" s="126"/>
      <c r="H78" s="126"/>
      <c r="Q78" s="126"/>
      <c r="R78" s="126"/>
      <c r="S78" s="126"/>
      <c r="T78" s="126"/>
      <c r="U78" s="126"/>
      <c r="V78" s="126"/>
      <c r="W78" s="126"/>
      <c r="X78" s="126"/>
      <c r="Y78" s="205"/>
      <c r="Z78" s="126"/>
      <c r="AA78" s="126"/>
    </row>
    <row r="79" spans="5:27" ht="24.95" customHeight="1">
      <c r="E79" s="126"/>
      <c r="F79" s="126"/>
      <c r="G79" s="126"/>
      <c r="H79" s="126"/>
      <c r="Q79" s="126"/>
      <c r="R79" s="126"/>
      <c r="S79" s="126"/>
      <c r="T79" s="126"/>
      <c r="U79" s="126"/>
      <c r="V79" s="126"/>
      <c r="W79" s="126"/>
      <c r="X79" s="126"/>
      <c r="Y79" s="205"/>
      <c r="Z79" s="126"/>
      <c r="AA79" s="126"/>
    </row>
    <row r="80" spans="5:27" ht="24.95" customHeight="1">
      <c r="E80" s="126"/>
      <c r="F80" s="126"/>
      <c r="G80" s="126"/>
      <c r="H80" s="126"/>
      <c r="Q80" s="126"/>
      <c r="R80" s="126"/>
      <c r="S80" s="126"/>
      <c r="T80" s="126"/>
      <c r="U80" s="126"/>
      <c r="V80" s="126"/>
      <c r="W80" s="126"/>
      <c r="X80" s="126"/>
      <c r="Y80" s="205"/>
      <c r="Z80" s="126"/>
      <c r="AA80" s="126"/>
    </row>
    <row r="81" spans="5:27" ht="24.95" customHeight="1">
      <c r="E81" s="126"/>
      <c r="F81" s="126"/>
      <c r="G81" s="126"/>
      <c r="H81" s="126"/>
      <c r="Q81" s="126"/>
      <c r="R81" s="126"/>
      <c r="S81" s="126"/>
      <c r="T81" s="126"/>
      <c r="U81" s="126"/>
      <c r="V81" s="126"/>
      <c r="W81" s="126"/>
      <c r="X81" s="126"/>
      <c r="Y81" s="205"/>
      <c r="Z81" s="126"/>
      <c r="AA81" s="126"/>
    </row>
    <row r="82" spans="5:27" ht="24.95" customHeight="1">
      <c r="E82" s="126"/>
      <c r="F82" s="126"/>
      <c r="G82" s="126"/>
      <c r="H82" s="126"/>
      <c r="Q82" s="126"/>
      <c r="R82" s="126"/>
      <c r="S82" s="126"/>
      <c r="T82" s="126"/>
      <c r="U82" s="126"/>
      <c r="V82" s="126"/>
      <c r="W82" s="126"/>
      <c r="X82" s="126"/>
      <c r="Y82" s="205"/>
      <c r="Z82" s="126"/>
      <c r="AA82" s="126"/>
    </row>
    <row r="83" spans="5:27" ht="24.95" customHeight="1">
      <c r="E83" s="126"/>
      <c r="F83" s="126"/>
      <c r="G83" s="126"/>
      <c r="H83" s="126"/>
    </row>
    <row r="84" spans="5:27" ht="24.95" customHeight="1">
      <c r="E84" s="126"/>
      <c r="F84" s="126"/>
      <c r="G84" s="126"/>
      <c r="H84" s="126"/>
    </row>
    <row r="85" spans="5:27">
      <c r="E85" s="126"/>
      <c r="F85" s="126"/>
      <c r="G85" s="126"/>
      <c r="H85" s="126"/>
    </row>
    <row r="86" spans="5:27">
      <c r="E86" s="126"/>
      <c r="F86" s="126"/>
      <c r="G86" s="126"/>
      <c r="H86" s="126"/>
    </row>
    <row r="87" spans="5:27">
      <c r="E87" s="126"/>
      <c r="F87" s="126"/>
      <c r="G87" s="126"/>
      <c r="H87" s="126"/>
    </row>
    <row r="88" spans="5:27">
      <c r="E88" s="126"/>
      <c r="F88" s="126"/>
      <c r="G88" s="126"/>
      <c r="H88" s="126"/>
    </row>
    <row r="89" spans="5:27">
      <c r="E89" s="126"/>
      <c r="F89" s="126"/>
      <c r="G89" s="126"/>
      <c r="H89" s="126"/>
    </row>
    <row r="90" spans="5:27">
      <c r="E90" s="126"/>
      <c r="F90" s="126"/>
      <c r="G90" s="126"/>
      <c r="H90" s="126"/>
    </row>
    <row r="91" spans="5:27">
      <c r="E91" s="126"/>
      <c r="F91" s="126"/>
      <c r="G91" s="126"/>
      <c r="H91" s="126"/>
    </row>
    <row r="92" spans="5:27">
      <c r="E92" s="126"/>
      <c r="F92" s="126"/>
      <c r="G92" s="126"/>
      <c r="H92" s="126"/>
    </row>
    <row r="93" spans="5:27">
      <c r="E93" s="126"/>
      <c r="F93" s="126"/>
      <c r="G93" s="126"/>
      <c r="H93" s="126"/>
    </row>
    <row r="94" spans="5:27">
      <c r="E94" s="126"/>
      <c r="F94" s="126"/>
      <c r="G94" s="126"/>
      <c r="H94" s="126"/>
    </row>
    <row r="95" spans="5:27">
      <c r="E95" s="126"/>
      <c r="F95" s="126"/>
      <c r="G95" s="126"/>
      <c r="H95" s="126"/>
    </row>
    <row r="96" spans="5:27">
      <c r="E96" s="126"/>
      <c r="F96" s="126"/>
      <c r="G96" s="126"/>
      <c r="H96" s="126"/>
    </row>
    <row r="97" spans="5:8">
      <c r="E97" s="126"/>
      <c r="F97" s="126"/>
      <c r="G97" s="126"/>
      <c r="H97" s="126"/>
    </row>
    <row r="98" spans="5:8">
      <c r="E98" s="126"/>
      <c r="F98" s="126"/>
      <c r="G98" s="126"/>
      <c r="H98" s="126"/>
    </row>
  </sheetData>
  <sheetProtection formatCells="0" formatColumns="0" formatRows="0" insertColumns="0" insertRows="0" insertHyperlinks="0" deleteColumns="0" deleteRows="0" sort="0"/>
  <mergeCells count="25">
    <mergeCell ref="Y4:Y5"/>
    <mergeCell ref="Y9:Y10"/>
    <mergeCell ref="Y11:Y12"/>
    <mergeCell ref="Y6:Y7"/>
    <mergeCell ref="X4:X8"/>
    <mergeCell ref="X9:X12"/>
    <mergeCell ref="J1:N1"/>
    <mergeCell ref="A1:I1"/>
    <mergeCell ref="G3:H3"/>
    <mergeCell ref="J3:N3"/>
    <mergeCell ref="D3:E3"/>
    <mergeCell ref="B3:C3"/>
    <mergeCell ref="J10:K11"/>
    <mergeCell ref="K14:K15"/>
    <mergeCell ref="L14:L15"/>
    <mergeCell ref="G10:H10"/>
    <mergeCell ref="G11:H11"/>
    <mergeCell ref="D5:E5"/>
    <mergeCell ref="F5:H5"/>
    <mergeCell ref="B19:D19"/>
    <mergeCell ref="C14:D14"/>
    <mergeCell ref="A16:C16"/>
    <mergeCell ref="A17:C17"/>
    <mergeCell ref="A10:F10"/>
    <mergeCell ref="A11:F11"/>
  </mergeCells>
  <conditionalFormatting sqref="W12 W7:W8">
    <cfRule type="cellIs" dxfId="829" priority="237" operator="equal">
      <formula>4</formula>
    </cfRule>
  </conditionalFormatting>
  <conditionalFormatting sqref="W9">
    <cfRule type="cellIs" dxfId="828" priority="6" operator="equal">
      <formula>4</formula>
    </cfRule>
    <cfRule type="cellIs" dxfId="827" priority="9" operator="equal">
      <formula>5</formula>
    </cfRule>
  </conditionalFormatting>
  <conditionalFormatting sqref="W10">
    <cfRule type="cellIs" dxfId="826" priority="5" operator="equal">
      <formula>5</formula>
    </cfRule>
    <cfRule type="cellIs" dxfId="825" priority="8" operator="equal">
      <formula>6</formula>
    </cfRule>
  </conditionalFormatting>
  <conditionalFormatting sqref="W11">
    <cfRule type="cellIs" dxfId="824" priority="4" operator="equal">
      <formula>6</formula>
    </cfRule>
    <cfRule type="cellIs" dxfId="823" priority="7" operator="equal">
      <formula>7</formula>
    </cfRule>
  </conditionalFormatting>
  <conditionalFormatting sqref="W8">
    <cfRule type="cellIs" dxfId="822" priority="2" stopIfTrue="1" operator="equal">
      <formula>5</formula>
    </cfRule>
  </conditionalFormatting>
  <dataValidations count="3">
    <dataValidation type="list" allowBlank="1" showInputMessage="1" showErrorMessage="1" sqref="D5">
      <formula1>Catégorie</formula1>
    </dataValidation>
    <dataValidation type="list" allowBlank="1" showInputMessage="1" showErrorMessage="1" sqref="F5:H5">
      <formula1>INDIRECT($D$5)</formula1>
    </dataValidation>
    <dataValidation type="list" allowBlank="1" showInputMessage="1" showErrorMessage="1" sqref="J3:N3">
      <formula1>INDIRECT($G$3)</formula1>
    </dataValidation>
  </dataValidations>
  <pageMargins left="0.19685039370078741" right="0.23622047244094491" top="0.23622047244094491" bottom="0.49" header="0.11811023622047245" footer="0.23622047244094491"/>
  <pageSetup paperSize="9" orientation="landscape" horizontalDpi="4294967292" verticalDpi="0" r:id="rId1"/>
  <headerFooter>
    <oddFooter>&amp;F&amp;RPage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32"/>
  <sheetViews>
    <sheetView topLeftCell="P1" zoomScale="70" zoomScaleNormal="70" workbookViewId="0">
      <selection activeCell="AE26" sqref="AE26"/>
    </sheetView>
  </sheetViews>
  <sheetFormatPr baseColWidth="10" defaultRowHeight="15"/>
  <cols>
    <col min="1" max="1" width="6.140625" customWidth="1"/>
    <col min="2" max="2" width="8.5703125" customWidth="1"/>
    <col min="3" max="3" width="8.140625" customWidth="1"/>
    <col min="4" max="4" width="4.7109375" customWidth="1"/>
    <col min="5" max="5" width="9.140625" customWidth="1"/>
    <col min="6" max="6" width="8.42578125" customWidth="1"/>
    <col min="7" max="7" width="3.85546875" customWidth="1"/>
    <col min="8" max="8" width="4.140625" customWidth="1"/>
    <col min="9" max="9" width="8" customWidth="1"/>
    <col min="10" max="10" width="4.42578125" customWidth="1"/>
    <col min="11" max="11" width="5.85546875" customWidth="1"/>
    <col min="12" max="12" width="9.140625" customWidth="1"/>
    <col min="13" max="13" width="5.140625" customWidth="1"/>
    <col min="14" max="14" width="7.140625" customWidth="1"/>
    <col min="15" max="15" width="6.85546875" customWidth="1"/>
    <col min="16" max="16" width="17.42578125" customWidth="1"/>
    <col min="17" max="17" width="21.5703125" customWidth="1"/>
    <col min="18" max="18" width="11.28515625" customWidth="1"/>
    <col min="19" max="19" width="6.7109375" customWidth="1"/>
    <col min="20" max="20" width="6.5703125" customWidth="1"/>
    <col min="21" max="21" width="7.5703125" customWidth="1"/>
    <col min="22" max="22" width="9.140625" customWidth="1"/>
    <col min="23" max="23" width="8.28515625" customWidth="1"/>
    <col min="24" max="24" width="6" customWidth="1"/>
    <col min="25" max="25" width="24.140625" customWidth="1"/>
    <col min="26" max="26" width="9.5703125" customWidth="1"/>
    <col min="27" max="27" width="8.42578125" customWidth="1"/>
    <col min="29" max="29" width="9.140625" customWidth="1"/>
    <col min="30" max="30" width="3.42578125" customWidth="1"/>
    <col min="31" max="31" width="19.5703125" customWidth="1"/>
    <col min="32" max="32" width="11.28515625" customWidth="1"/>
    <col min="33" max="33" width="5.7109375" customWidth="1"/>
    <col min="34" max="34" width="5.140625" customWidth="1"/>
    <col min="35" max="35" width="6.28515625" customWidth="1"/>
    <col min="36" max="36" width="9.140625" customWidth="1"/>
    <col min="37" max="37" width="10" customWidth="1"/>
    <col min="38" max="38" width="8" customWidth="1"/>
    <col min="39" max="39" width="2.140625" customWidth="1"/>
    <col min="40" max="40" width="23" customWidth="1"/>
    <col min="41" max="41" width="7.28515625" customWidth="1"/>
    <col min="44" max="44" width="4.7109375" customWidth="1"/>
    <col min="45" max="45" width="20" customWidth="1"/>
    <col min="46" max="46" width="8" customWidth="1"/>
    <col min="47" max="48" width="6.7109375" customWidth="1"/>
    <col min="49" max="49" width="5.7109375" customWidth="1"/>
    <col min="50" max="50" width="24.28515625" customWidth="1"/>
    <col min="51" max="51" width="5.85546875" customWidth="1"/>
    <col min="52" max="53" width="9" customWidth="1"/>
    <col min="54" max="54" width="8.7109375" customWidth="1"/>
    <col min="55" max="55" width="9.42578125" customWidth="1"/>
    <col min="56" max="56" width="8.7109375" customWidth="1"/>
    <col min="57" max="57" width="10.85546875" style="311" customWidth="1"/>
    <col min="58" max="58" width="9.42578125" customWidth="1"/>
    <col min="59" max="59" width="8.5703125" customWidth="1"/>
    <col min="60" max="60" width="8.42578125" customWidth="1"/>
    <col min="61" max="61" width="8.5703125" customWidth="1"/>
    <col min="62" max="62" width="10.42578125" customWidth="1"/>
    <col min="63" max="63" width="11.28515625" customWidth="1"/>
    <col min="64" max="64" width="10.140625" customWidth="1"/>
    <col min="65" max="65" width="5.7109375" customWidth="1"/>
    <col min="66" max="66" width="8.5703125" customWidth="1"/>
    <col min="67" max="67" width="9" customWidth="1"/>
    <col min="68" max="68" width="8.42578125" customWidth="1"/>
    <col min="69" max="69" width="9.140625" customWidth="1"/>
    <col min="70" max="70" width="8.5703125" customWidth="1"/>
  </cols>
  <sheetData>
    <row r="1" spans="1:70" ht="28.5" customHeight="1" thickBot="1">
      <c r="A1" s="938" t="s">
        <v>72</v>
      </c>
      <c r="B1" s="939"/>
      <c r="C1" s="939"/>
      <c r="D1" s="939"/>
      <c r="E1" s="939"/>
      <c r="F1" s="939"/>
      <c r="G1" s="939"/>
      <c r="H1" s="939"/>
      <c r="I1" s="940"/>
      <c r="J1" s="413"/>
      <c r="K1" s="414"/>
      <c r="L1" s="414"/>
      <c r="M1" s="415"/>
      <c r="N1" s="135"/>
      <c r="O1" s="136"/>
      <c r="P1" s="42"/>
      <c r="Q1" s="137"/>
      <c r="R1" s="42"/>
      <c r="S1" s="42"/>
      <c r="T1" s="138"/>
      <c r="V1" s="302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4"/>
      <c r="AJ1" s="305" t="s">
        <v>95</v>
      </c>
      <c r="AK1" s="306"/>
      <c r="AL1" s="306"/>
      <c r="AM1" s="306"/>
      <c r="AN1" s="307"/>
      <c r="AO1" s="58"/>
    </row>
    <row r="2" spans="1:70" ht="19.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140"/>
      <c r="P2" s="42"/>
      <c r="Q2" s="42"/>
      <c r="R2" s="42"/>
      <c r="S2" s="42"/>
      <c r="T2" s="143"/>
      <c r="V2" s="58"/>
      <c r="W2" s="58"/>
      <c r="X2" s="58"/>
      <c r="Y2" s="58"/>
      <c r="Z2" s="58"/>
      <c r="AA2" s="269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270"/>
      <c r="AN2" s="58"/>
      <c r="AO2" s="58"/>
    </row>
    <row r="3" spans="1:70" ht="28.5" thickBot="1">
      <c r="A3" s="142" t="s">
        <v>80</v>
      </c>
      <c r="B3" s="947">
        <f ca="1">TODAY()</f>
        <v>44239</v>
      </c>
      <c r="C3" s="948"/>
      <c r="D3" s="945">
        <f ca="1">YEAR(NOW())</f>
        <v>2021</v>
      </c>
      <c r="E3" s="946"/>
      <c r="F3" s="81"/>
      <c r="G3" s="941" t="s">
        <v>145</v>
      </c>
      <c r="H3" s="941"/>
      <c r="I3" s="81"/>
      <c r="J3" s="942" t="s">
        <v>141</v>
      </c>
      <c r="K3" s="943"/>
      <c r="L3" s="943"/>
      <c r="M3" s="944"/>
      <c r="N3" s="42"/>
      <c r="O3" s="140"/>
      <c r="P3" s="42"/>
      <c r="Q3" s="42"/>
      <c r="R3" s="42"/>
      <c r="S3" s="42"/>
      <c r="T3" s="143"/>
      <c r="V3" s="269"/>
      <c r="W3" s="147" t="s">
        <v>80</v>
      </c>
      <c r="X3" s="147"/>
      <c r="Y3" s="271">
        <f ca="1">TODAY()</f>
        <v>44239</v>
      </c>
      <c r="Z3" s="945">
        <f ca="1">YEAR(NOW())</f>
        <v>2021</v>
      </c>
      <c r="AA3" s="946"/>
      <c r="AB3" s="272"/>
      <c r="AC3" s="308" t="s">
        <v>96</v>
      </c>
      <c r="AD3" s="309"/>
      <c r="AE3" s="310"/>
      <c r="AF3" s="149"/>
      <c r="AG3" s="149"/>
      <c r="AH3" s="149"/>
      <c r="AI3" s="81"/>
      <c r="AJ3" s="308" t="s">
        <v>97</v>
      </c>
      <c r="AK3" s="309"/>
      <c r="AL3" s="309"/>
      <c r="AM3" s="309"/>
      <c r="AN3" s="310"/>
      <c r="AO3" s="58"/>
    </row>
    <row r="4" spans="1:70" ht="19.5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140"/>
      <c r="P4" s="42"/>
      <c r="Q4" s="42"/>
      <c r="R4" s="42"/>
      <c r="S4" s="42"/>
      <c r="T4" s="143"/>
      <c r="V4" s="58"/>
      <c r="W4" s="58"/>
      <c r="X4" s="58"/>
      <c r="Y4" s="58"/>
      <c r="Z4" s="58"/>
      <c r="AA4" s="269"/>
      <c r="AB4" s="58"/>
      <c r="AC4" s="58"/>
      <c r="AD4" s="58"/>
      <c r="AE4" s="58"/>
      <c r="AF4" s="58"/>
      <c r="AG4" s="58"/>
      <c r="AH4" s="58"/>
      <c r="AI4" s="58"/>
      <c r="AJ4" s="270"/>
      <c r="AK4" s="58"/>
      <c r="AL4" s="58"/>
    </row>
    <row r="5" spans="1:70" ht="27" thickBot="1">
      <c r="A5" s="147"/>
      <c r="B5" s="148" t="s">
        <v>21</v>
      </c>
      <c r="C5" s="148"/>
      <c r="D5" s="148"/>
      <c r="E5" s="918" t="s">
        <v>123</v>
      </c>
      <c r="F5" s="919"/>
      <c r="G5" s="918" t="s">
        <v>93</v>
      </c>
      <c r="H5" s="920"/>
      <c r="I5" s="920"/>
      <c r="J5" s="919"/>
      <c r="K5" s="151"/>
      <c r="L5" s="151"/>
      <c r="M5" s="151"/>
      <c r="N5" s="42"/>
      <c r="O5" s="140"/>
      <c r="P5" s="42"/>
      <c r="Q5" s="42"/>
      <c r="R5" s="42"/>
      <c r="S5" s="42"/>
      <c r="T5" s="143"/>
      <c r="AK5" s="1049" t="s">
        <v>106</v>
      </c>
      <c r="AL5" s="1050"/>
      <c r="AM5" s="1051"/>
      <c r="AO5" s="270"/>
      <c r="AP5" s="270"/>
      <c r="AZ5" s="448">
        <f>+AA6</f>
        <v>64</v>
      </c>
    </row>
    <row r="6" spans="1:70" ht="24" customHeight="1" thickBo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40"/>
      <c r="P6" s="42"/>
      <c r="Q6" s="42"/>
      <c r="R6" s="42"/>
      <c r="S6" s="42"/>
      <c r="T6" s="143"/>
      <c r="U6" s="967" t="s">
        <v>22</v>
      </c>
      <c r="V6" s="968"/>
      <c r="W6" s="968"/>
      <c r="X6" s="968"/>
      <c r="Y6" s="969"/>
      <c r="Z6" s="273" t="str">
        <f>+G10</f>
        <v>6</v>
      </c>
      <c r="AA6" s="982">
        <f>+J10</f>
        <v>64</v>
      </c>
      <c r="AE6" s="311"/>
      <c r="AG6" s="410"/>
      <c r="AK6" s="930">
        <f>+K14</f>
        <v>2</v>
      </c>
      <c r="AL6" s="1039" t="s">
        <v>64</v>
      </c>
      <c r="AM6" s="1040"/>
      <c r="AO6" s="270"/>
      <c r="AP6" s="270"/>
      <c r="AZ6" s="447"/>
      <c r="BA6" s="334"/>
      <c r="BB6" s="334"/>
      <c r="BC6" s="334"/>
      <c r="BD6" s="334"/>
      <c r="BE6" s="382"/>
      <c r="BF6" s="334"/>
      <c r="BG6" s="334"/>
      <c r="BH6" s="334"/>
    </row>
    <row r="7" spans="1:70" ht="24" customHeight="1" thickBot="1">
      <c r="A7" s="42"/>
      <c r="B7" s="42"/>
      <c r="C7" s="152"/>
      <c r="D7" s="148"/>
      <c r="E7" s="148"/>
      <c r="F7" s="148"/>
      <c r="G7" s="148"/>
      <c r="H7" s="160" t="s">
        <v>83</v>
      </c>
      <c r="I7" s="42"/>
      <c r="J7" s="42"/>
      <c r="K7" s="42"/>
      <c r="L7" s="42"/>
      <c r="M7" s="118"/>
      <c r="N7" s="42"/>
      <c r="O7" s="140"/>
      <c r="P7" s="42"/>
      <c r="Q7" s="42"/>
      <c r="R7" s="42"/>
      <c r="S7" s="42"/>
      <c r="T7" s="143"/>
      <c r="U7" s="967" t="s">
        <v>55</v>
      </c>
      <c r="V7" s="968"/>
      <c r="W7" s="968"/>
      <c r="X7" s="968"/>
      <c r="Y7" s="969"/>
      <c r="Z7" s="274" t="str">
        <f>+G11</f>
        <v>4</v>
      </c>
      <c r="AA7" s="983"/>
      <c r="AK7" s="931"/>
      <c r="AL7" s="1041"/>
      <c r="AM7" s="1042"/>
      <c r="AO7" s="270"/>
      <c r="AP7" s="270"/>
      <c r="AZ7" s="334"/>
      <c r="BA7" s="334"/>
      <c r="BB7" s="334"/>
      <c r="BC7" s="334"/>
      <c r="BD7" s="334"/>
      <c r="BE7" s="382"/>
      <c r="BF7" s="334"/>
      <c r="BG7" s="334"/>
      <c r="BH7" s="334"/>
    </row>
    <row r="8" spans="1:70" ht="24" thickBot="1">
      <c r="A8" s="42"/>
      <c r="B8" s="148"/>
      <c r="C8" s="148"/>
      <c r="D8" s="148"/>
      <c r="E8" s="126"/>
      <c r="F8" s="126"/>
      <c r="G8" s="148"/>
      <c r="H8" s="153"/>
      <c r="I8" s="42"/>
      <c r="J8" s="139"/>
      <c r="K8" s="42"/>
      <c r="L8" s="42"/>
      <c r="M8" s="42"/>
      <c r="N8" s="42"/>
      <c r="O8" s="140"/>
      <c r="P8" s="42"/>
      <c r="Q8" s="42"/>
      <c r="R8" s="42"/>
      <c r="S8" s="42"/>
      <c r="T8" s="143"/>
      <c r="V8" s="58"/>
      <c r="W8" s="58"/>
      <c r="X8" s="58"/>
      <c r="Y8" s="58"/>
      <c r="Z8" s="58"/>
      <c r="AA8" s="269"/>
      <c r="AB8" s="58"/>
      <c r="AC8" s="58"/>
      <c r="AD8" s="58"/>
      <c r="AE8" s="58"/>
      <c r="AF8" s="58"/>
      <c r="AG8" s="58"/>
      <c r="AH8" s="58"/>
      <c r="AI8" s="58"/>
      <c r="AJ8" s="270"/>
      <c r="AK8" s="58"/>
      <c r="AL8" s="58"/>
      <c r="AW8" s="334"/>
      <c r="BA8" s="334"/>
    </row>
    <row r="9" spans="1:70" ht="20.100000000000001" customHeight="1" thickBot="1">
      <c r="A9" s="42"/>
      <c r="B9" s="126"/>
      <c r="C9" s="126"/>
      <c r="D9" s="126"/>
      <c r="E9" s="126"/>
      <c r="F9" s="126"/>
      <c r="G9" s="42"/>
      <c r="H9" s="42"/>
      <c r="I9" s="42"/>
      <c r="J9" s="958"/>
      <c r="K9" s="958"/>
      <c r="L9" s="42"/>
      <c r="M9" s="42"/>
      <c r="N9" s="42"/>
      <c r="O9" s="140"/>
      <c r="P9" s="42"/>
      <c r="Q9" s="42"/>
      <c r="R9" s="42"/>
      <c r="S9" s="42"/>
      <c r="T9" s="143"/>
      <c r="V9" s="1028" t="s">
        <v>47</v>
      </c>
      <c r="W9" s="1029"/>
      <c r="X9" s="1029"/>
      <c r="Y9" s="1029"/>
      <c r="Z9" s="1030"/>
      <c r="AA9" s="58"/>
      <c r="AB9" s="1046" t="s">
        <v>48</v>
      </c>
      <c r="AC9" s="1047"/>
      <c r="AD9" s="1047"/>
      <c r="AE9" s="1047"/>
      <c r="AF9" s="1048"/>
      <c r="AJ9" s="58"/>
      <c r="AK9" s="1031" t="s">
        <v>140</v>
      </c>
      <c r="AL9" s="1032"/>
      <c r="AM9" s="1032"/>
      <c r="AN9" s="1032"/>
      <c r="AO9" s="1033"/>
      <c r="AQ9" s="1043" t="s">
        <v>139</v>
      </c>
      <c r="AR9" s="1044"/>
      <c r="AS9" s="1044"/>
      <c r="AT9" s="1044"/>
      <c r="AU9" s="1045"/>
      <c r="AW9" s="1027" t="s">
        <v>56</v>
      </c>
      <c r="AX9" s="1027"/>
      <c r="AZ9" s="1024" t="s">
        <v>137</v>
      </c>
      <c r="BA9" s="1025"/>
      <c r="BB9" s="1025"/>
      <c r="BC9" s="1025"/>
      <c r="BD9" s="1026"/>
      <c r="BE9" s="381"/>
      <c r="BF9" s="1024" t="s">
        <v>102</v>
      </c>
      <c r="BG9" s="1025"/>
      <c r="BH9" s="1025"/>
      <c r="BI9" s="1025"/>
      <c r="BJ9" s="1026"/>
      <c r="BL9" s="1023" t="s">
        <v>42</v>
      </c>
      <c r="BM9" s="1023"/>
      <c r="BN9" s="1023"/>
      <c r="BO9" s="1023"/>
      <c r="BP9" s="1023"/>
      <c r="BQ9" s="1023"/>
      <c r="BR9" s="1023"/>
    </row>
    <row r="10" spans="1:70" ht="20.100000000000001" customHeight="1" thickBot="1">
      <c r="A10" s="967" t="s">
        <v>22</v>
      </c>
      <c r="B10" s="968"/>
      <c r="C10" s="968"/>
      <c r="D10" s="968"/>
      <c r="E10" s="968"/>
      <c r="F10" s="969"/>
      <c r="G10" s="934" t="str">
        <f>LEFT(J10,1)</f>
        <v>6</v>
      </c>
      <c r="H10" s="935"/>
      <c r="I10" s="42"/>
      <c r="J10" s="965">
        <v>64</v>
      </c>
      <c r="K10" s="966"/>
      <c r="L10" s="42"/>
      <c r="M10" s="42"/>
      <c r="N10" s="21"/>
      <c r="O10" s="22"/>
      <c r="P10" s="22"/>
      <c r="Q10" s="22"/>
      <c r="R10" s="23" t="s">
        <v>52</v>
      </c>
      <c r="S10" s="22"/>
      <c r="T10" s="143"/>
      <c r="V10" s="275" t="s">
        <v>98</v>
      </c>
      <c r="W10" s="275" t="s">
        <v>64</v>
      </c>
      <c r="X10" s="275"/>
      <c r="Y10" s="276" t="s">
        <v>99</v>
      </c>
      <c r="Z10" s="276" t="s">
        <v>100</v>
      </c>
      <c r="AA10" s="279"/>
      <c r="AB10" s="277" t="s">
        <v>98</v>
      </c>
      <c r="AC10" s="277" t="s">
        <v>64</v>
      </c>
      <c r="AD10" s="277"/>
      <c r="AE10" s="278" t="s">
        <v>99</v>
      </c>
      <c r="AF10" s="278" t="s">
        <v>100</v>
      </c>
      <c r="AG10" s="346"/>
      <c r="AH10" s="346"/>
      <c r="AI10" s="346"/>
      <c r="AJ10" s="58"/>
      <c r="AK10" s="277" t="s">
        <v>98</v>
      </c>
      <c r="AL10" s="277" t="s">
        <v>64</v>
      </c>
      <c r="AM10" s="277"/>
      <c r="AN10" s="278" t="s">
        <v>99</v>
      </c>
      <c r="AO10" s="278" t="s">
        <v>100</v>
      </c>
      <c r="AP10" s="420"/>
      <c r="AQ10" s="420"/>
      <c r="AR10" s="420"/>
      <c r="AS10" s="420"/>
      <c r="AT10" s="420"/>
      <c r="AU10" s="420"/>
      <c r="AZ10" s="343"/>
      <c r="BA10" s="343"/>
      <c r="BB10" s="343"/>
      <c r="BC10" s="344"/>
      <c r="BD10" s="343"/>
      <c r="BE10" s="381"/>
      <c r="BH10" s="311" t="s">
        <v>138</v>
      </c>
      <c r="BI10" s="334"/>
      <c r="BP10" s="341" t="str">
        <f>+G11</f>
        <v>4</v>
      </c>
    </row>
    <row r="11" spans="1:70" ht="20.100000000000001" customHeight="1" thickTop="1" thickBot="1">
      <c r="A11" s="967" t="s">
        <v>55</v>
      </c>
      <c r="B11" s="968"/>
      <c r="C11" s="968"/>
      <c r="D11" s="968"/>
      <c r="E11" s="968"/>
      <c r="F11" s="969"/>
      <c r="G11" s="936" t="str">
        <f>RIGHT(J10,1)</f>
        <v>4</v>
      </c>
      <c r="H11" s="937"/>
      <c r="I11" s="42"/>
      <c r="J11" s="966"/>
      <c r="K11" s="966"/>
      <c r="L11" s="42"/>
      <c r="M11" s="126"/>
      <c r="N11" s="24"/>
      <c r="O11" s="82" t="s">
        <v>50</v>
      </c>
      <c r="P11" s="25" t="s">
        <v>53</v>
      </c>
      <c r="Q11" s="26" t="s">
        <v>54</v>
      </c>
      <c r="R11" s="27" t="s">
        <v>74</v>
      </c>
      <c r="S11" s="28"/>
      <c r="T11" s="422">
        <v>1</v>
      </c>
      <c r="U11" s="959" t="str">
        <f>CONCATENATE(E16,E17)</f>
        <v>32</v>
      </c>
      <c r="V11" s="979">
        <v>1</v>
      </c>
      <c r="W11" s="976">
        <v>1</v>
      </c>
      <c r="X11" s="280" t="s">
        <v>14</v>
      </c>
      <c r="Y11" s="85" t="str">
        <f>IF(ISNA(MATCH($T11,$R$12:$R$18,0)),"",INDEX($P$12:$P$18,MATCH($T11,$R$12:$R$18,0)))</f>
        <v>A</v>
      </c>
      <c r="Z11" s="281">
        <v>1</v>
      </c>
      <c r="AA11" s="955" t="str">
        <f>+U11</f>
        <v>32</v>
      </c>
      <c r="AB11" s="979">
        <v>1</v>
      </c>
      <c r="AC11" s="976">
        <v>4</v>
      </c>
      <c r="AD11" s="283"/>
      <c r="AE11" s="284" t="str">
        <f>IF(J10+J9=31,IF(Z11=Z12,"résultat",IF(Z11&gt;Z12,Y11,Y12)),IF(AA11+AA12=32,IF(Z11=Z12,"résultat",IF(Z11&gt;Z12,Y11,Y12)),IF(AA11+AA12=33,IF(Z11=Z12,"résultat",IF(Z11&gt;Z12,Y11,Y12)),IF(AA11+AA12=41,IF(Z11=Z12,"résultat",IF(Z11&gt;Z12,Y11,Y12)),IF(AA11+AA12=42,IF(Z11=Z12,"résultat",IF(Z11&gt;Z12,Y11,Y12)),IF(AA11+AA12=43,IF(Z11=Z12,"résultat",IF(Z11&gt;Z12,Y11,Y12)),IF(J9+J10=44,IF(Z11=Z12,"résultat",IF(Z11&gt;Z12,Y11,Y12)),IF(OR(AND(AA12+AA11&gt;50,AA12+AA11&lt;55)),Y15," "))))))))</f>
        <v>B</v>
      </c>
      <c r="AF11" s="281">
        <v>1</v>
      </c>
      <c r="AJ11" s="450"/>
      <c r="AK11" s="979">
        <v>1</v>
      </c>
      <c r="AL11" s="1036">
        <v>1</v>
      </c>
      <c r="AM11" s="416"/>
      <c r="AN11" s="417" t="str">
        <f>IF(AZ5+AZ6=31,IF(AF11&lt;AF12,AE11,AE12),IF(AZ5+AZ6=32," ",IF(AZ5+AZ6=33," ",IF(AZ5+AZ6=41," ",IF(AJ13+AJ10=42," ",IF(AZ5+AZ6=43," ",IF(AZ5+AZ6=44," ",IF(AZ5+AZ6=54," ",IF(AZ5+AZ6=51,IF(AF11=AF12,"résultat",IF(AF11&gt;AF12,AE11,AE12)),IF(AZ5+AZ6=52,IF(AF11=AF12,"résultat",IF(AF11&gt;AF12,AE11,AE12)),IF(AZ5+AZ6=53,IF(AF11=AF12,"résultat",IF(AF11&gt;AF12,AE11,AE12)),IF(AZ5+AZ6=61," ",IF(AZ5+AZ6=62," ",IF(AZ5+AZ6=63," ",IF(AZ5+AZ6=64," ")))))))))))))))</f>
        <v xml:space="preserve"> </v>
      </c>
      <c r="AO11" s="418"/>
      <c r="AQ11" s="419"/>
      <c r="AR11" s="419"/>
      <c r="AS11" s="323"/>
      <c r="AT11" s="419"/>
      <c r="AU11" s="419"/>
      <c r="AV11" s="325"/>
      <c r="AW11" s="331"/>
      <c r="AX11" s="332"/>
      <c r="AZ11" s="343" t="s">
        <v>103</v>
      </c>
      <c r="BA11" s="343"/>
      <c r="BB11" s="346" t="s">
        <v>99</v>
      </c>
      <c r="BC11" s="346"/>
      <c r="BD11" s="346" t="s">
        <v>100</v>
      </c>
    </row>
    <row r="12" spans="1:70" ht="20.100000000000001" customHeight="1" thickTop="1" thickBot="1">
      <c r="A12" s="42"/>
      <c r="B12" s="42"/>
      <c r="C12" s="42"/>
      <c r="D12" s="126"/>
      <c r="E12" s="42"/>
      <c r="F12" s="42"/>
      <c r="G12" s="42"/>
      <c r="H12" s="42"/>
      <c r="I12" s="42"/>
      <c r="J12" s="42"/>
      <c r="K12" s="42"/>
      <c r="L12" s="42"/>
      <c r="M12" s="42"/>
      <c r="N12" s="34">
        <v>1</v>
      </c>
      <c r="O12" s="29"/>
      <c r="P12" s="184" t="s">
        <v>14</v>
      </c>
      <c r="Q12" s="83"/>
      <c r="R12" s="30">
        <v>1</v>
      </c>
      <c r="S12" s="42"/>
      <c r="T12" s="423">
        <v>2</v>
      </c>
      <c r="U12" s="960"/>
      <c r="V12" s="980"/>
      <c r="W12" s="977"/>
      <c r="X12" s="285" t="s">
        <v>15</v>
      </c>
      <c r="Y12" s="88" t="str">
        <f>IF(ISNA(MATCH($T12,$R$12:$R$18,0)),"",INDEX($P$12:$P$18,MATCH($T12,$R$12:$R$18,0)))</f>
        <v>B</v>
      </c>
      <c r="Z12" s="287">
        <v>2</v>
      </c>
      <c r="AA12" s="956"/>
      <c r="AB12" s="980"/>
      <c r="AC12" s="977"/>
      <c r="AD12" s="288"/>
      <c r="AE12" s="385" t="str">
        <f>IF(J10+J9=31,IF(Z13&gt;Z14,Y13,Y14),IF(AA11+AA10=32,IF(Z13&gt;Z14,Y13,Y14),IF(J9+J10=33,IF(Z13&gt;Z14,Y13,Y14),IF(AA11+AA10=0," ",IF(J9+J10=41,IF(Z13&gt;Z14,Y13,Y14),IF(J9+J10=42,IF(Z13&gt;Z14,Y13,Y14),IF(J9+J10=43,IF(Z13&gt;Z14,Y13,Y14),IF(J9+J10=44,IF(Z13&gt;Z14,Y13,Y14),IF(G10+G9=5,IF((AG13=2),Y13,IF((AH13=2),Y14,IF((AG14=2),Y11,IF((AH14=2),Y12," ")))))))))))))</f>
        <v>C</v>
      </c>
      <c r="AF12" s="287">
        <v>0</v>
      </c>
      <c r="AJ12" s="451"/>
      <c r="AK12" s="1034"/>
      <c r="AL12" s="1037"/>
      <c r="AM12" s="326"/>
      <c r="AN12" s="454" t="str">
        <f>IF(AZ5+AZ6=31,IF(AF13&gt;AF14,AE13,AE14),IF(AZ5+AZ6=32," ",IF(AZ5+AZ6=33," ",IF(AZ5+AZ6=41," ",IF(AZ5+AZ6=42," ",IF(AZ5+AZ6=43," ",IF(AZ5+AZ6=44," ",IF(AZ5+AZ6=51,AE15,IF(AZ5+AZ6=52,AE15,IF(AZ5+AZ6=53,AE15,IF(AZ5+AZ6=54," ",IF(AZ5+AZ6=61," ",IF(AZ5+AZ6=62," ",IF(AZ5+AZ6=63," ",IF(AZ5+AZ6=64," ")))))))))))))))</f>
        <v xml:space="preserve"> </v>
      </c>
      <c r="AO12" s="388"/>
      <c r="AP12" s="991" t="str">
        <f>+U11</f>
        <v>32</v>
      </c>
      <c r="AQ12" s="992">
        <v>2</v>
      </c>
      <c r="AR12" s="390"/>
      <c r="AS12" s="434" t="str">
        <f>IF(AZ5+AZ6=31,IF(AF11=AF12,"résultat",IF(AF11&gt;AF12,AE11,AE12)),IF(AZ5+AZ6=32,IF(AF11=AF12,"résultat",IF(AF11&lt;AF12,AE11,AE12)),IF(AZ5+AZ6=33,IF(AF11=AF12,"résultat",IF(AF11&lt;AF12,AE11,AE12)),IF(AZ5+AZ6=41,IF(AF11=AF12,"résultat",IF(AF11&lt;AF12,AE11,AE12)),IF(AZ5+AZ6=42,IF(AF11=AF12,"résultat",IF(AF11&lt;AF12,AE11,AE12)),IF(AZ5+AZ6=43," ",IF(AZ5+AZ6=44,IF(AF11=AF12,"résultat",IF(AF11&lt;AF12,AE11,AE12)),IF(AZ5+AZ6=51,IF(AO11=AO12,"résultat",IF(AO11&lt;AO12,AN11,AN12)),IF(AZ5+AZ6=52,IF(AO11=AO12,"résultat",IF(AO11&lt;AO12,AN11,AN12)),IF(AZ5+AZ6=53,IF(AO11=AO12,"résultat",IF(AO11&lt;AO12,AN11,AN12)),IF(AZ5+AZ6=54," ",IF(AZ5+AZ6=61,IF(AF11=AF12,"résultat",IF(AF11&lt;AF12,AE11,AE12)),IF(AZ5+AZ6=62,IF(AF11=AF12,"résultat",IF(AF11&lt;AF12,AE11,AE12)),IF(AZ5+AZ6=63,IF(AF11=AF12,"résultat",IF(AF11&lt;AF12,AE11,AE12)),IF(AZ5+AZ6=64,IF(AF11=AF12,"résultat",IF(AF11&lt;AF12,AE11,AE12)))))))))))))))))</f>
        <v>C</v>
      </c>
      <c r="AT12" s="436">
        <v>2</v>
      </c>
      <c r="AU12" s="325"/>
      <c r="AV12" s="394">
        <v>1</v>
      </c>
      <c r="AW12" s="1002" t="str">
        <f>+U11</f>
        <v>32</v>
      </c>
      <c r="AX12" s="333" t="str">
        <f>IF(AZ5+AZ6=31,IF(AF11=AF12,"résultat",IF(AT12&gt;AT13,AS12,AS13)),IF(AZ5+AZ6=32,IF(AF11=AF12,"résultat",IF(AF11&gt;AF12,AE11,AE12)),IF(AZ5+AZ6=33,IF(AF11=AF12,"résultat",IF(AF11&gt;AF12,AE11,AE12)),IF(AZ5+AZ6=41,IF(AF11=AF12,"résultat",IF(AF11&gt;AF12,AE11,AE12)),IF(AZ5+AZ6=42,IF(AF11=AF12,"résultat",IF(AF11&gt;AF12,AE11,AE12)),IF(AZ5+AZ6=43,IF(AF11=AF12,"résultat",IF(AF11&gt;AF12,AE11,AE12)),IF(AZ5+AZ6=44,IF(AF11=AF12,"résultat",IF(AF11&gt;AF12,AE11,AE12)),IF(AZ5+AZ6=51," ",IF(AZ5+AZ6=0,IF(G10=G9,"résultat",IF(AO11&gt;AO12,AN11,AN12)),IF(AZ5+AZ6=52,IF(AO11=AO12,"résultat",IF(AO11&gt;AO12,AN11,AN12)),IF(AZ5+AZ6=53,IF(AO11=AO12,"résultat",IF(AO11&gt;AO12,AN11,AN12)),IF(AZ5+AZ6=54," ",IF(AZ5+AZ6=61,IF(AF11=AF12,"résultat",IF(AF11&gt;AF12,AE11,AE12)),IF(AZ5+AZ6=62,IF(AF11=AF12,"résultat",IF(AF11&gt;AF12,AE11,AE12)),IF(AZ5+AZ6=63,IF(AF11=AF12,"résultat",IF(AF11&gt;AF12,AE11,AE12)),IF(AZ5+AZ6=64,IF(AF11=AF12,"résultat",IF(AF11&gt;AF12,AE11,AE12))))))))))))))))))</f>
        <v>B</v>
      </c>
      <c r="AY12" s="334"/>
      <c r="AZ12" s="989">
        <v>1</v>
      </c>
      <c r="BA12" s="996" t="b">
        <f>IF(AZ5+AZ6=31," ",IF(AZ5+AZ6=32," ",IF(AZ5+AZ6=33," ",IF(AZ5+AZ6=41," ",IF(AZ5+AZ6=42," ",IF(AZ5+AZ6=43," ",IF(AZ5+AZ6=44,AX12,IF(AZ5+AZ6=51," ",IF(AZ5+AZ6=52," ",IF(AZ5+AZ6=53," ",IF(AW12+AW10=54,IF(AF11=AF12,"résultat",IF(AF11&gt;AF12,AE11,AE12)),IF(AZ5+AZ6=61,AX12,IF(AZ5+AZ6=62,AX12,IF(AZ5+AZ6=63,AX12))))))))))))))</f>
        <v>0</v>
      </c>
      <c r="BB12" s="997"/>
      <c r="BC12" s="998"/>
      <c r="BD12" s="347">
        <v>1</v>
      </c>
      <c r="BE12" s="381" t="b">
        <f>IF(BD12=BD13,"résultat",IF(BD12&gt;BD13,BA12,BA13))</f>
        <v>0</v>
      </c>
      <c r="BI12" s="334"/>
    </row>
    <row r="13" spans="1:70" ht="20.100000000000001" customHeight="1" thickBo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35">
        <v>2</v>
      </c>
      <c r="O13" s="31"/>
      <c r="P13" s="185" t="s">
        <v>15</v>
      </c>
      <c r="Q13" s="86"/>
      <c r="R13" s="32">
        <v>2</v>
      </c>
      <c r="S13" s="42"/>
      <c r="T13" s="423">
        <v>3</v>
      </c>
      <c r="U13" s="960"/>
      <c r="V13" s="980"/>
      <c r="W13" s="978">
        <v>3</v>
      </c>
      <c r="X13" s="289" t="s">
        <v>49</v>
      </c>
      <c r="Y13" s="89" t="str">
        <f>IF(ISNA(MATCH($T13,$R$12:$R$18,0)),"",INDEX($P$12:$P$18,MATCH($T13,$R$12:$R$18,0)))</f>
        <v>C</v>
      </c>
      <c r="Z13" s="290">
        <v>1</v>
      </c>
      <c r="AA13" s="956"/>
      <c r="AB13" s="980"/>
      <c r="AC13" s="978">
        <v>5</v>
      </c>
      <c r="AD13" s="291"/>
      <c r="AE13" s="292" t="str">
        <f>IF(AA11+AA10=0," ",IF(Z11=Z12,"résultat",IF(Z11&lt;Z12,Y11,Y12)))</f>
        <v>A</v>
      </c>
      <c r="AF13" s="290">
        <v>1</v>
      </c>
      <c r="AG13" s="366">
        <f>IF($Z$11&gt;$Z$12,1)+IF($Z$13&gt;$Z$14,1)</f>
        <v>1</v>
      </c>
      <c r="AH13" s="357">
        <f>IF($Z$12&gt;$Z$11,1)+IF($Z$14&gt;$Z$13,1)</f>
        <v>1</v>
      </c>
      <c r="AI13" s="384"/>
      <c r="AJ13" s="451" t="str">
        <f>+U11</f>
        <v>32</v>
      </c>
      <c r="AK13" s="1034"/>
      <c r="AL13" s="1038">
        <v>2</v>
      </c>
      <c r="AM13" s="324"/>
      <c r="AN13" s="389" t="str">
        <f>IF(AZ5+AZ6=31," ",IF(AZ5+AZ6=32," ",IF(AZ5+AZ6=33," ",IF(AZ5+AZ6=41," ",IF(AZ5+AZ6=42," ",IF(AZ5+AZ6=43," ",IF(AZ5+AZ6=44," ",IF(AZ5+AZ6=51,IF(AF11=AF12,"résultat",IF(AF11&lt;AF12,AE11,AE12)),IF(AZ5+AZ6=52,IF(AF11=AF12,"résultat",IF(AF11&lt;AF12,AE11,AE12)),IF(AZ5+AZ6=53,IF(AF11=AF12,"résultat",IF(AF11&lt;AF12,AE11,AE12)),IF(AZ5+AZ6=54," ",IF(AZ5+AZ6=61," ",IF(AZ5+AZ6=62," ",IF(AZ5+AZ6=63," ",IF(AZ5+AZ6=64," ")))))))))))))))</f>
        <v xml:space="preserve"> </v>
      </c>
      <c r="AO13" s="387"/>
      <c r="AP13" s="991"/>
      <c r="AQ13" s="993"/>
      <c r="AR13" s="391"/>
      <c r="AS13" s="435" t="str">
        <f>IF(AZ5+AZ6=31,IF(AO11=AO12,"résultat",IF(AO11&gt;AO12,AN11,AN12)),IF(AZ5+AZ6=32,IF(AF13=AF14,"résultat",IF(AF13&gt;AF14,AE13,AE14)),IF(AZ5+AZ6=33,IF(AF13=AF14,"résultat",IF(AF13&gt;AF14,AE13,AE14)),IF(AZ5+AZ6=41,IF(AF13=AF14,"résultat",IF(AF13&gt;AF14,AE13,AE14)),IF(AZ5+AZ6=42,IF(AF13=AF14,"résultat",IF(AF13&gt;AF14,AE13,AE14)),IF(AZ5+AZ6=43," ",IF(AZ5+AZ6=44,IF(AF13=AF14,"résultat",IF(AF13&gt;AF14,AE13,AE14)),IF(AZ5+AZ6=51,IF(AO13=AO14,"résultat",IF(AO13&gt;AO14,AN13,AN14)),IF(AZ5+AZ6=52,IF(AO13=AO14,"résultat",IF(AO13&gt;AO14,AN13,AN14)),IF(AZ5+AZ6=53,IF(AO13=AO14,"résultat",IF(AO13&gt;AO14,AN13,AN14)),IF(AZ5+AZ6=54," ",IF(AZ5+AZ6=61,IF(AF13=AF14,"résultat",IF(AF13&gt;AF14,AE13,AE14)),IF(AZ5+AZ6=62,IF(AF13=AF14,"résultat",IF(AF13&gt;AF14,AE13,AE14)),IF(AZ5+AZ6=63,IF(AF13=AF14,"résultat",IF(AF13&gt;AF14,AE13,AE14)),IF(AZ5+AZ6=64,IF(AF13=AF14,"résultat",IF(AF13&gt;AF14,AE13,AE14)))))))))))))))))</f>
        <v>A</v>
      </c>
      <c r="AT13" s="437">
        <v>0</v>
      </c>
      <c r="AU13" s="325"/>
      <c r="AV13" s="336">
        <v>2</v>
      </c>
      <c r="AW13" s="994"/>
      <c r="AX13" s="445" t="str">
        <f>IF(AZ5+AZ6=31,IF(AT12=AT13,"résultat",IF(AT12&lt;AT13,AS12,AS13)),IF(AZ5+AZ6=32,IF(AT12=AT13,"résultat",IF(AT12&gt;AT13,AS12,AS13)),IF(AZ5+AZ6=33,IF(AT12=AT13,"résultat",IF(AT12&gt;AT13,AS12,AS13)),IF(AZ5+AZ6=41,IF(AT12=AT13,"résultat",IF(AT12&lt;AT13,AS12,AS13)),IF(AZ5+AZ6=42,IF(AT12=AT13,"résultat",IF(AT12&gt;AT13,AS12,AS13)),IF(AZ5+AZ6=43,IF(AF11=AF12,"résultat",IF(AF11&lt;AF12,AE11,AE12)),IF(AZ5+AZ6=44,IF(AT12=AT13,"résultat",IF(AT12&gt;AT13,AS12,AS13)),IF(AZ5+AZ6=51," ",IF(AZ5+AZ6=52,IF(AT12=AT13,"résultat",IF(AT12&gt;AT13,AS12,AS13)),IF(AZ5+AZ6=53,IF(AT12=AT13,"résultat",IF(AT12&gt;AT13,AS12,AS13)),IF(AZ5+AZ6=54," ",IF(AZ5+AZ6=61,IF(AT12=AT13,"résultat",IF(AT12&gt;AT13,AS12,AS13)),IF(AZ5+AZ6=62,IF(AT12=AT13,"résultat",IF(AT12&gt;AT13,AS12,AS13)),IF(AZ5+AZ6=63,IF(AT12=AT13,"résultat",IF(AT12&gt;AT13,AS12,AS13)),IF(AZ5+AZ6=64,IF(AT12=AT13,"résultat",IF(AT12&gt;AT13,AS12,AS13)))))))))))))))))</f>
        <v>C</v>
      </c>
      <c r="AY13" s="334"/>
      <c r="AZ13" s="990"/>
      <c r="BA13" s="999" t="b">
        <f>IF(AW12+AW11=31," ",IF(AZ5+AZ6=32," ",IF(AW12+AW11=33," ",IF(AZ5+AZ6=41," ",IF(AZ5+AZ6=42," ",IF(AZ5+AZ6=43," ",IF(AZ5+AZ6=44,AX14,IF(AZ5+AZ6=51," ",IF(AZ5+AZ6=52," ",IF(AZ5+AZ6=53," ",IF(AW12+AW11=54,IF(AF13=AF14,"résultat",IF(AF13&lt;AF14,AE13,AE14)),IF(AZ5+AZ6=61,AX18,IF(AZ5+AZ6=62,AX18,IF(AZ5+AZ6=63,AX18))))))))))))))</f>
        <v>0</v>
      </c>
      <c r="BB13" s="1000"/>
      <c r="BC13" s="1001"/>
      <c r="BD13" s="348">
        <v>2</v>
      </c>
      <c r="BE13" s="381" t="b">
        <f>IF(BD12=BD13,"résultat",IF(BD12&lt;BD13,BA12,BA13))</f>
        <v>0</v>
      </c>
      <c r="BF13" s="343" t="s">
        <v>103</v>
      </c>
      <c r="BG13" s="343"/>
      <c r="BH13" s="346" t="s">
        <v>99</v>
      </c>
      <c r="BI13" s="346"/>
      <c r="BJ13" s="346" t="s">
        <v>100</v>
      </c>
    </row>
    <row r="14" spans="1:70" ht="20.100000000000001" customHeight="1" thickBot="1">
      <c r="A14" s="139"/>
      <c r="B14" s="139"/>
      <c r="C14" s="922" t="s">
        <v>66</v>
      </c>
      <c r="D14" s="923"/>
      <c r="E14" s="206" t="s">
        <v>38</v>
      </c>
      <c r="F14" s="207" t="s">
        <v>39</v>
      </c>
      <c r="G14" s="126"/>
      <c r="H14" s="126"/>
      <c r="I14" s="126"/>
      <c r="J14" s="126"/>
      <c r="K14" s="930">
        <f>IF(D16=3,1,IF(D16=4,2,IF(D16=5,2,IF(D16=6,2,IF(D16=7,3,"0")))))</f>
        <v>2</v>
      </c>
      <c r="L14" s="932" t="s">
        <v>64</v>
      </c>
      <c r="M14" s="126"/>
      <c r="N14" s="35">
        <v>3</v>
      </c>
      <c r="O14" s="31"/>
      <c r="P14" s="185" t="s">
        <v>49</v>
      </c>
      <c r="Q14" s="86"/>
      <c r="R14" s="32">
        <v>3</v>
      </c>
      <c r="S14" s="42"/>
      <c r="T14" s="424">
        <f>IF(OR(AND(J$10&gt;39,J10&lt;60),AND(J10&gt;69,J10&lt;80)),4,0)</f>
        <v>0</v>
      </c>
      <c r="U14" s="960"/>
      <c r="V14" s="980"/>
      <c r="W14" s="977"/>
      <c r="X14" s="293" t="s">
        <v>40</v>
      </c>
      <c r="Y14" s="91" t="str">
        <f>IF(ISNA(MATCH($T14,$R$12:$R$18,0)),"OFFICE",INDEX($P$12:$P$18,MATCH($T14,$R$12:$R$18,0)))</f>
        <v>OFFICE</v>
      </c>
      <c r="Z14" s="294">
        <v>0</v>
      </c>
      <c r="AA14" s="956"/>
      <c r="AB14" s="980"/>
      <c r="AC14" s="977"/>
      <c r="AD14" s="373"/>
      <c r="AE14" s="371" t="str">
        <f>IF($Z$13=$Z$14,"résultat",IF($Z$13&lt;$Z$14,$Y$13,$Y$14))</f>
        <v>OFFICE</v>
      </c>
      <c r="AF14" s="368">
        <v>0</v>
      </c>
      <c r="AG14" s="367">
        <f>IF($Z$11&gt;$Z$12,1)+IF($Z$14&gt;$Z$13,1)</f>
        <v>0</v>
      </c>
      <c r="AH14" s="358">
        <f>IF($Z$12&gt;$Z$11,1)+IF($Z$13&gt;$Z$14,1)</f>
        <v>2</v>
      </c>
      <c r="AI14" s="384"/>
      <c r="AJ14" s="451"/>
      <c r="AK14" s="1034"/>
      <c r="AL14" s="1037"/>
      <c r="AM14" s="326"/>
      <c r="AN14" s="393" t="str">
        <f>IF(AZ5+AZ6=31," ",IF(AZ5+AZ6=32," ",IF(AJ13+AJ10=33," ",IF(AZ5+AZ6=41," ",IF(AZ5+AZ6=42," ",IF(AZ5+AZ6=43," ",IF(AZ5+AZ6=44," ",IF(AZ5+AZ6=0,IF(AF13=AF14,"résultat",IF(AF13&gt;AF14,AE13,AE14)),IF(AZ5+AZ6=54," ",IF(AZ5+AZ6=61," ",IF(AZ5+AZ6=62," ",IF(AZ5+AZ6=63," ",IF(AZ5+AZ6=63," ",IF(AZ5+AZ6=64," "))))))))))))))</f>
        <v xml:space="preserve"> </v>
      </c>
      <c r="AO14" s="348"/>
      <c r="AQ14" s="329"/>
      <c r="AR14" s="329"/>
      <c r="AS14" s="330"/>
      <c r="AT14" s="325"/>
      <c r="AU14" s="325"/>
      <c r="AV14" s="394">
        <v>3</v>
      </c>
      <c r="AW14" s="443"/>
      <c r="AX14" s="395" t="str">
        <f>IF(OR(AND(AZ5+AZ6=31))," ",IF(OR(AND(AZ5+AZ6=32))," ",IF(AJ13+AJ10=33,IF(AT12=AT13,"résultat",IF(AT12&lt;AT13,AS12,AS13)),IF(AJ13+AJ10=41,IF(AF13=AF14,"résultat",IF(AF13&lt;AF14,AE13,AE14)),IF(AZ5+AZ6=42,IF(AT12=AT13,"résultat",IF(AT12&lt;AT13,AS12,AS13)),IF(AZ5+AZ6=43,IF(AF13=AF14,"résultat",IF(AF13&gt;AF14,AE13,AE14)),IF(AZ5+AZ6=44,IF(AT12=AT13,"résultat",IF(AT12&lt;AT13,AS12,AS13)),IF(AZ5+AZ6=51," ",IF(AZ5+AZ6=52," ",IF(AZ5+AZ6=53,IF(AT12=AT13,"résultat",IF(AT12&lt;AT13,AS12,AS13)),IF(AZ5+AZ6=61,IF(AT12=AT13,"résultat",IF(AT12&lt;AT13,AS12,AS13)),IF(AZ5+AZ6=62,IF(AT12=AT13,"résultat",IF(AT12&lt;AT13,AS12,AS13)),IF(AZ5+AZ6=63,IF(AT12=AT13,"résultat",IF(AT12&lt;AT13,AS12,AS13)),IF(AZ5+AZ6=64,IF(AT12=AT13,"résultat",IF(AT12&lt;AT13,AS12,AS13))))))))))))))))</f>
        <v>A</v>
      </c>
      <c r="AY14" s="334"/>
      <c r="AZ14" s="349"/>
      <c r="BA14" s="349"/>
      <c r="BB14" s="349"/>
      <c r="BC14" s="350"/>
      <c r="BD14" s="349"/>
      <c r="BE14" s="345"/>
      <c r="BF14" s="989">
        <v>2</v>
      </c>
      <c r="BG14" s="1014" t="b">
        <f>IF(AZ5+AZ6=31,AX12,IF(AZ5+AZ6=32,AX12,IF(AZ5+AZ6=33,AX12,IF(AZ5+AZ6=41,AX12,IF(AZ5+AZ6=42,AX12,IF(AZ5+AZ6=43,AX12,IF(AZ5+AZ6=44,BE12,IF(AZ5+AZ6=51,IF(AT12=AT13,"résultat",IF(AT12&gt;AT13,AS12,AS13)),IF(AZ5+AZ6=52,AX12,IF(AZ5+AZ6=53,AX12,IF(AZ5+AZ6=54,BE12,IF(AZ5+AZ6=61,BE12,IF(AZ5+AZ6=62,BE12,IF(AZ5+AZ6=63,BE12))))))))))))))</f>
        <v>0</v>
      </c>
      <c r="BH14" s="1015"/>
      <c r="BI14" s="1016"/>
      <c r="BJ14" s="347">
        <v>1</v>
      </c>
      <c r="BK14" s="381" t="b">
        <f>IF(BJ14=BJ15,"résultat",IF(BJ14&gt;BJ15,BG14,BG15))</f>
        <v>0</v>
      </c>
      <c r="BL14" s="1012" t="s">
        <v>104</v>
      </c>
      <c r="BM14" s="1013"/>
      <c r="BN14" s="1013"/>
      <c r="BO14" s="1013"/>
      <c r="BP14" s="1013"/>
      <c r="BQ14" s="1013"/>
      <c r="BR14" s="1013"/>
    </row>
    <row r="15" spans="1:70" ht="20.100000000000001" customHeight="1" thickBot="1">
      <c r="A15" s="42"/>
      <c r="B15" s="42"/>
      <c r="C15" s="42"/>
      <c r="D15" s="42"/>
      <c r="E15" s="208"/>
      <c r="F15" s="209"/>
      <c r="G15" s="126"/>
      <c r="H15" s="126"/>
      <c r="I15" s="126"/>
      <c r="J15" s="126"/>
      <c r="K15" s="931"/>
      <c r="L15" s="933"/>
      <c r="M15" s="126"/>
      <c r="N15" s="36">
        <v>4</v>
      </c>
      <c r="O15" s="31"/>
      <c r="P15" s="31" t="s">
        <v>40</v>
      </c>
      <c r="Q15" s="86"/>
      <c r="R15" s="32">
        <v>4</v>
      </c>
      <c r="S15" s="90"/>
      <c r="T15" s="425">
        <f>IF(OR(AND($J$10&gt;39,$J$10&lt;50)),0,IF(OR(AND($J$10&gt;0,$J$10&lt;0),IF($J$10&gt;0,$J$10&lt;0)),4,IF(OR(AND($J$10&gt;49,$J$10&lt;60),AND($J$10&gt;0,$J$10&lt;0),IF($J$10&gt;0,$J$10&lt;0)),5,0)))</f>
        <v>0</v>
      </c>
      <c r="U15" s="961"/>
      <c r="V15" s="981"/>
      <c r="W15" s="295" t="s">
        <v>101</v>
      </c>
      <c r="X15" s="296" t="s">
        <v>41</v>
      </c>
      <c r="Y15" s="444" t="str">
        <f>IF(T15+S15=0," ",IF(ISNA(MATCH($T15,$R$12:$R$18,0))," ",INDEX($P$12:$P$18,MATCH($T15,$R$12:$R$18,0))))</f>
        <v xml:space="preserve"> </v>
      </c>
      <c r="Z15" s="297"/>
      <c r="AA15" s="957"/>
      <c r="AB15" s="981"/>
      <c r="AC15" s="299" t="s">
        <v>101</v>
      </c>
      <c r="AD15" s="432" t="s">
        <v>41</v>
      </c>
      <c r="AE15" s="449" t="str">
        <f>IF(T15+S15=0," ",IF($U$11+$U$10=41," ",IF($U$11+$U$10=42," ",IF($U$11+$U$10=43," ",IF(G10+G9=5,IF(($AG$13=2),$Y$11,IF(($AH$13=2),$Y$12,IF(($AG$14=2),$Y$14,IF(($AH$14=2),$Y$13,0)))))))))</f>
        <v xml:space="preserve"> </v>
      </c>
      <c r="AF15" s="433"/>
      <c r="AJ15" s="452"/>
      <c r="AK15" s="1035"/>
      <c r="AL15" s="372"/>
      <c r="AM15" s="372"/>
      <c r="AN15" s="372"/>
      <c r="AO15" s="372"/>
      <c r="AP15" s="277"/>
      <c r="AQ15" s="277"/>
      <c r="AR15" s="277"/>
      <c r="AS15" s="327"/>
      <c r="AT15" s="277"/>
      <c r="AU15" s="277"/>
      <c r="AV15" s="277"/>
      <c r="AW15" s="277"/>
      <c r="AX15" s="277"/>
      <c r="AY15" s="339"/>
      <c r="AZ15" s="349"/>
      <c r="BA15" s="349"/>
      <c r="BB15" s="349"/>
      <c r="BC15" s="350"/>
      <c r="BD15" s="349"/>
      <c r="BE15" s="345"/>
      <c r="BF15" s="990"/>
      <c r="BG15" s="1017" t="b">
        <f>IF(AZ5+AZ6=31,AX13,IF(AZ5+AZ6=32,AX13,IF(AZ5+AZ6=33,AX13,IF(AZ5+AZ6=41,AX13,IF(AZ5+AZ6=42,AX13,IF(AZ5+AZ6=43,AX13,IF(AZ5+AZ6=44,BE17,IF(AZ5+AZ6=51,IF(AO11=AO12,"résultat",IF(AO11&gt;AO12,AN11,AN12)),IF(AZ5+AZ6=52,AX13,IF(AZ5+AZ6=53,AX13,IF(AZ5+AZ6=54,BE17,IF(AZ5+AZ6=61,BE17,IF(AZ5+AZ6=62,BE17,IF(AZ5+AZ6=63,BE17))))))))))))))</f>
        <v>0</v>
      </c>
      <c r="BH15" s="1018"/>
      <c r="BI15" s="1019"/>
      <c r="BJ15" s="348">
        <v>2</v>
      </c>
      <c r="BK15" s="381" t="b">
        <f>IF(BJ14=BJ15,"résultat",IF(BJ14&lt;BJ15,BG14,BG15))</f>
        <v>0</v>
      </c>
    </row>
    <row r="16" spans="1:70" ht="20.100000000000001" customHeight="1" thickTop="1" thickBot="1">
      <c r="A16" s="922" t="s">
        <v>61</v>
      </c>
      <c r="B16" s="924"/>
      <c r="C16" s="923"/>
      <c r="D16" s="196">
        <f>SUM(E16+F16)</f>
        <v>6</v>
      </c>
      <c r="E16" s="266" t="str">
        <f>IF(OR(AND(J10&gt;30,J10&lt;34),IF(J10&gt;60,J10&lt;65)),"3",IF(OR(AND(J10&gt;40,J10&lt;45),AND(J10&gt;70,J10&lt;76)),"4",IF(OR(AND(J10&gt;50,J10&lt;55)),"5","0")))</f>
        <v>3</v>
      </c>
      <c r="F16" s="267" t="str">
        <f>IF(OR(AND(J10&gt;60,J10&lt;65),AND(J10&gt;70,J10&lt;76)),"3","0")</f>
        <v>3</v>
      </c>
      <c r="G16" s="126"/>
      <c r="H16" s="126"/>
      <c r="I16" s="126"/>
      <c r="J16" s="210"/>
      <c r="K16" s="126"/>
      <c r="L16" s="126"/>
      <c r="M16" s="126"/>
      <c r="N16" s="35">
        <v>5</v>
      </c>
      <c r="O16" s="31"/>
      <c r="P16" s="31" t="s">
        <v>41</v>
      </c>
      <c r="Q16" s="86"/>
      <c r="R16" s="32">
        <v>5</v>
      </c>
      <c r="S16" s="90"/>
      <c r="T16" s="426">
        <f>IF(OR(AND($J$10&gt;59,$J$10&lt;70),AND($J$10&gt;0,$J$10&lt;0),IF($J$10&gt;0,$J$10&lt;0)),4,IF(OR(AND($J$10&gt;69,$J$10&lt;80),AND($J$10&gt;0,$J$10&lt;0),IF($J$10&gt;0,$J$10&lt;0)),5,0))</f>
        <v>4</v>
      </c>
      <c r="U16" s="962" t="str">
        <f>CONCATENATE(F16,F17)</f>
        <v>32</v>
      </c>
      <c r="V16" s="979">
        <v>2</v>
      </c>
      <c r="W16" s="976">
        <v>5</v>
      </c>
      <c r="X16" s="84" t="s">
        <v>14</v>
      </c>
      <c r="Y16" s="85" t="str">
        <f>IF(T16+S16=0," ",IF(ISNA(MATCH($T16,$R$12:$R$18,0)),"",INDEX($P$12:$P$18,MATCH($T16,$R$12:$R$18,0))))</f>
        <v>D</v>
      </c>
      <c r="Z16" s="281">
        <v>3</v>
      </c>
      <c r="AA16" s="955" t="str">
        <f>+U16</f>
        <v>32</v>
      </c>
      <c r="AB16" s="979">
        <v>2</v>
      </c>
      <c r="AC16" s="976">
        <v>6</v>
      </c>
      <c r="AD16" s="430"/>
      <c r="AE16" s="318" t="str">
        <f>IF(Z16=Z17,"résultat",IF(Z16&gt;Z17,Y16,Y17))</f>
        <v>E</v>
      </c>
      <c r="AF16" s="431">
        <v>1</v>
      </c>
      <c r="AG16" s="356"/>
      <c r="AH16" s="356"/>
      <c r="AI16" s="356"/>
      <c r="AJ16" s="356"/>
      <c r="AK16" s="356"/>
      <c r="AL16" s="356"/>
      <c r="AM16" s="356"/>
      <c r="AN16" s="356"/>
      <c r="AO16" s="356"/>
      <c r="AQ16" s="322"/>
      <c r="AR16" s="322"/>
      <c r="AS16" s="328"/>
      <c r="AT16" s="322"/>
      <c r="AU16" s="322"/>
      <c r="AV16" s="338"/>
      <c r="AY16" s="334"/>
      <c r="AZ16" s="349"/>
      <c r="BA16" s="349"/>
      <c r="BB16" s="349"/>
      <c r="BC16" s="350"/>
      <c r="BD16" s="349"/>
      <c r="BE16" s="345"/>
      <c r="BI16" s="334"/>
      <c r="BK16" s="345"/>
      <c r="BL16" s="141"/>
      <c r="BM16" s="141"/>
      <c r="BN16" s="141"/>
    </row>
    <row r="17" spans="1:72" ht="20.100000000000001" customHeight="1" thickBot="1">
      <c r="A17" s="922" t="s">
        <v>73</v>
      </c>
      <c r="B17" s="924"/>
      <c r="C17" s="923"/>
      <c r="D17" s="197">
        <f>SUM(E17+F17)</f>
        <v>4</v>
      </c>
      <c r="E17" s="268" t="str">
        <f>IF(OR(AND(J10&gt;30,J10&lt;32),AND(J10&gt;40,J10&lt;42),AND(J10&gt;50,J10&lt;52)),"1",IF(OR(AND(J10&gt;31,J10&lt;33),AND(J10&gt;41,J10&lt;43),AND(J10&gt;70,J10&lt;75),AND(J10&gt;60,J10&lt;65),AND(J10&gt;50,J10&lt;53)),"2",IF(OR(AND(J10&gt;32,J10&lt;34),AND(J10&gt;42,J10&lt;44),AND(J10&gt;52,J10&lt;54),AND(J10&gt;74,J10&lt;76)),"3",IF(OR(AND(J10&gt;43,J10&lt;45),AND(J10&gt;53,J10&lt;55)),4,"0"))))</f>
        <v>2</v>
      </c>
      <c r="F17" s="267" t="str">
        <f>IF(OR(J10=0,AND(J10&gt;0,J10&lt;0)),"1",IF(OR(AND(J10&gt;60,J10&lt;65),AND(J10&gt;70,J10&lt;76),AND(J10&gt;0,J10&lt;0)),"2","0"))</f>
        <v>2</v>
      </c>
      <c r="G17" s="126"/>
      <c r="H17" s="126"/>
      <c r="I17" s="126"/>
      <c r="J17" s="211"/>
      <c r="K17" s="126"/>
      <c r="L17" s="126"/>
      <c r="M17" s="126"/>
      <c r="N17" s="36">
        <v>6</v>
      </c>
      <c r="O17" s="31"/>
      <c r="P17" s="31" t="s">
        <v>87</v>
      </c>
      <c r="Q17" s="86"/>
      <c r="R17" s="32">
        <v>6</v>
      </c>
      <c r="S17" s="90"/>
      <c r="T17" s="427">
        <f>IF(OR(AND($J$10&gt;59,$J$10&lt;70),AND($J$10&gt;0,$AC$10&lt;0),IF($J$10&gt;0,$J$10&lt;0)),5,IF(OR(AND($J$10&gt;69,$J$10&lt;80),AND($J$10&gt;0,$J$10&lt;0),IF($J$10&gt;0,$J$10&lt;0)),6,0))</f>
        <v>5</v>
      </c>
      <c r="U17" s="963"/>
      <c r="V17" s="980"/>
      <c r="W17" s="977"/>
      <c r="X17" s="87" t="s">
        <v>15</v>
      </c>
      <c r="Y17" s="91" t="str">
        <f>IF(T17+S17=0," ",IF(ISNA(MATCH($T17,$R$12:$R$18,0)),"",INDEX($P$12:$P$18,MATCH($T17,$R$12:$R$18,0))))</f>
        <v>E</v>
      </c>
      <c r="Z17" s="287">
        <v>4</v>
      </c>
      <c r="AA17" s="956"/>
      <c r="AB17" s="980"/>
      <c r="AC17" s="977"/>
      <c r="AD17" s="317"/>
      <c r="AE17" s="318" t="str">
        <f>IF(Z18=Z19,"résultat",IF(Z18&gt;Z19,Y18,Y19))</f>
        <v>F</v>
      </c>
      <c r="AF17" s="287">
        <v>0</v>
      </c>
      <c r="AG17" s="356"/>
      <c r="AH17" s="356"/>
      <c r="AI17" s="356"/>
      <c r="AJ17" s="356"/>
      <c r="AK17" s="356"/>
      <c r="AL17" s="356"/>
      <c r="AM17" s="356"/>
      <c r="AN17" s="356"/>
      <c r="AO17" s="356"/>
      <c r="AQ17" s="992">
        <v>4</v>
      </c>
      <c r="AR17" s="324"/>
      <c r="AS17" s="392" t="str">
        <f>IF(AZ5+AZ6=32,IF(AF16=AF17,"résultat",IF(AF16&gt;AF17,AE16,AE17)),IF(AZ5+AZ6=33," ",IF(AZ5+AZ6=41," ",IF(AZ5+AZ6=42," ",IF(AZ5+AZ6=43," ",IF(AZ5+AZ6=44," ",IF(AZ5+AZ6=51," ",IF(AZ5+AZ6=52," ",IF(AZ5+AZ6=53," ",IF(AZ5+AZ6=54," ",IF(AZ5+AZ6=61,IF(AF16=AF17,"résultat",IF(AF16&lt;AF17,AE16,AE17)),IF(AZ5+AZ6=62,IF(AF16=AF17,"résultat",IF(AF16&lt;AF17,AE16,AE17)),IF(AZ5+AZ6=63,IF(AF16=AF17,"résultat",IF(AF16&lt;AF17,AE16,AE17)),IF(AZ5+AZ6=64,IF(AF16=AF17,"résultat",IF(AF16&lt;AF17,AE16,AE17))))))))))))))))</f>
        <v>F</v>
      </c>
      <c r="AT17" s="436">
        <v>1</v>
      </c>
      <c r="AU17" s="325"/>
      <c r="AV17" s="340">
        <v>1</v>
      </c>
      <c r="AW17" s="994" t="str">
        <f>+U16</f>
        <v>32</v>
      </c>
      <c r="AX17" s="333" t="str">
        <f>IF(AZ5+AZ6=32,IF(AT17=AT18,"résultat",IF(AT17&gt;AT18,AS17,AS18)),IF(AZ5+AZ6=33," ",IF(AZ5+AZ6=42," ",IF(AZ5+AZ6=43," ",IF(AZ5+AZ6=4,IF(AT17=AT18,"résultat",IF(AT17&gt;AT18,AS17,AS18)),IF(AZ5+AZ6=44,IF(AF13=AF14,"résultat",IF(AF13&lt;AF14,AE13,AE14)),IF(AZ5+AZ6=52," ",IF(AZ5+AZ6=53," ",IF(AZ5+AZ6=61,IF(AF15=AF16,"résultat",IF(AF15&gt;AF16,AE15,AE16)),IF(AZ5+AZ6=62,IF(AF15=AF16,"résultat",IF(AF15&gt;AF16,AE15,AE16)),IF(AZ5+AZ6=63,IF(AF15=AF16,"résultat",IF(AF15&gt;AF16,AE15,AE16)),IF(AZ5+AZ6=64,IF(AF15=AF16,"résultat",IF(AF15&gt;AF16,AE15,AE16))))))))))))))</f>
        <v>E</v>
      </c>
      <c r="AY17" s="334"/>
      <c r="AZ17" s="989">
        <v>3</v>
      </c>
      <c r="BA17" s="996" t="b">
        <f>IF(AZ5+AZ6=31," ",IF(AZ5+AZ6=32," ",IF(AZ5+AZ6=33," ",IF(AZ5+AZ6=41," ",IF(AZ5+AZ6=42," ",IF(AZ5+AZ6=43," ",IF(AZ5+AZ6=44,AX13,IF(AZ5+AZ6=52," ",IF(AZ5+AZ6=53," ",IF(AZ5+AZ6=54,IF(AF11=AF12,"résultat",IF(AF11&lt;AF12,AE11,AE12)),IF(AZ5+AZ6=61,AX13,IF(AZ5+AZ6=62,AX13,IF(AZ5+AZ6=63,AX13)))))))))))))</f>
        <v>0</v>
      </c>
      <c r="BB17" s="997"/>
      <c r="BC17" s="998"/>
      <c r="BD17" s="347">
        <v>2</v>
      </c>
      <c r="BE17" s="381" t="b">
        <f>IF(BD17=BD18,"résultat",IF(BD17&gt;BD18,BA17,BA18))</f>
        <v>0</v>
      </c>
      <c r="BI17" s="334"/>
      <c r="BK17" s="345"/>
      <c r="BL17" s="352">
        <v>1</v>
      </c>
      <c r="BM17" s="353"/>
      <c r="BN17" s="1020" t="b">
        <f>IF(AZ5+AZ6=31,AX12,IF(AZ5+AZ6=32,BK14,IF(AZ5+AZ6=33,BK14,IF(AW12+AW11=41,BK14,IF(AZ5+AZ6=42,BK14,IF(AZ5+AZ6=43,BK14,IF(AZ5+AZ6=44,BK14,IF(AZ5+AZ6=51,BK14,IF(AZ5+AZ6=52,BK14,IF(AZ5+AZ6=53,BK14,IF(AZ5+AZ6=54,BK14,IF(AZ5+AZ6=61,BK14,IF(AZ5+AZ6=62,BK14,IF(AZ5+AZ6=63,BK14))))))))))))))</f>
        <v>0</v>
      </c>
      <c r="BO17" s="1021"/>
      <c r="BP17" s="1021"/>
      <c r="BQ17" s="1021"/>
      <c r="BR17" s="1022"/>
    </row>
    <row r="18" spans="1:72" ht="20.25" customHeight="1" thickBot="1">
      <c r="A18" s="110"/>
      <c r="B18" s="110"/>
      <c r="C18" s="155"/>
      <c r="D18" s="156"/>
      <c r="E18" s="139"/>
      <c r="F18" s="42"/>
      <c r="G18" s="42"/>
      <c r="H18" s="157"/>
      <c r="I18" s="157"/>
      <c r="J18" s="210"/>
      <c r="K18" s="157"/>
      <c r="L18" s="157"/>
      <c r="M18" s="157"/>
      <c r="N18" s="189">
        <v>7</v>
      </c>
      <c r="O18" s="190"/>
      <c r="P18" s="190" t="s">
        <v>88</v>
      </c>
      <c r="Q18" s="191"/>
      <c r="R18" s="192"/>
      <c r="S18" s="90"/>
      <c r="T18" s="428">
        <f>IF(OR(AND($J$10&gt;59,$J$10&lt;70),AND($J$10&gt;0,$J$10&lt;0),IF($J$10&gt;0,$J$10&lt;0)),6,IF(OR(AND($J$10&gt;69,$J$10&lt;80),AND($J$10&gt;0,$J$10&lt;0),IF($J$10&gt;0,$J$10&lt;0)),7,0))</f>
        <v>6</v>
      </c>
      <c r="U18" s="963"/>
      <c r="V18" s="980"/>
      <c r="W18" s="986"/>
      <c r="X18" s="84" t="str">
        <f>IF(AH39=2,"","C")</f>
        <v>C</v>
      </c>
      <c r="Y18" s="85" t="str">
        <f>IF(T18+S18=0," ",IF(ISNA(MATCH($T18,$R$12:$R$18,0)),"",INDEX($P$12:$P$18,MATCH($T18,$R$12:$R$18,0))))</f>
        <v>F</v>
      </c>
      <c r="Z18" s="290">
        <v>1</v>
      </c>
      <c r="AA18" s="956"/>
      <c r="AB18" s="980"/>
      <c r="AC18" s="978">
        <v>7</v>
      </c>
      <c r="AD18" s="319"/>
      <c r="AE18" s="315" t="str">
        <f>IF(Z16=Z17,"résultat",IF(Z16&lt;Z17,Y16,Y17))</f>
        <v>D</v>
      </c>
      <c r="AF18" s="290">
        <v>1</v>
      </c>
      <c r="AG18" s="356"/>
      <c r="AH18" s="356"/>
      <c r="AI18" s="356"/>
      <c r="AJ18" s="356"/>
      <c r="AK18" s="356"/>
      <c r="AL18" s="356"/>
      <c r="AM18" s="356"/>
      <c r="AN18" s="356"/>
      <c r="AO18" s="356"/>
      <c r="AQ18" s="993"/>
      <c r="AR18" s="326"/>
      <c r="AS18" s="393" t="str">
        <f>IF(AZ5+AZ6=32,IF(AF18=AF19,"résultat",IF(AF18&gt;AF19,AE18,AE19)),IF(AZ5+AZ6=33," ",IF(AZ5+AZ6=53," ",IF(AZ5+AZ6=61,IF(AF18=AF19,"résultat",IF(AF18&gt;AF19,AE18,AE19)),IF(AZ5+AZ6=62,IF(AF18=AF19,"résultat",IF(AF18&gt;AF19,AE18,AE19)),IF(AZ5+AZ6=63,IF(AF18=AF19,"résultat",IF(AF18&gt;AF19,AE18,AE19)),IF(AZ5+AZ6=64,IF(AF18=AF19,"résultat",IF(AF18&gt;AF19,AE18,AE19)))))))))</f>
        <v>D</v>
      </c>
      <c r="AT18" s="437">
        <v>2</v>
      </c>
      <c r="AU18" s="325"/>
      <c r="AV18" s="335">
        <v>2</v>
      </c>
      <c r="AW18" s="994"/>
      <c r="AX18" s="337" t="str">
        <f>IF(AZ5+AZ6=32,IF(AT17=AT18,"résultat",IF(AT17&lt;AT18,AS17,AS18)),IF(AZ5+AZ6=33," ",IF(AZ5+AZ6=41," ",IF(AZ5+AZ6=42," ",IF(AZ5+AZ6=43," ",IF(AZ5+AZ6=44," ",IF(AZ5+AZ6=51," ",IF(AZ5+AZ6=3,IF(AT17=AT18,"résultat",IF(AT17&lt;AT18,AS17,AS18)),IF(AZ5+AZ6=52," ",IF(AZ5+AZ6=53," ",IF(AZ5+AZ6=54," ",IF(AZ5+AZ6=61,IF(AT17=AT18,"résultat",IF(AT17&gt;AT18,AS17,AS18)),IF(AZ5+AZ6=62,IF(AT17=AT18,"résultat",IF(AT17&gt;AT18,AS17,AS18)),IF(AZ5+AZ6=63,IF(AT17=AT18,"résultat",IF(AT17&gt;AT18,AS17,AS18)),IF(AZ5+AZ6=64,IF(AT17=AT18,"résultat",IF(AT17&gt;AT18,AS17,AS18)))))))))))))))))</f>
        <v>D</v>
      </c>
      <c r="AY18" s="334"/>
      <c r="AZ18" s="990"/>
      <c r="BA18" s="999" t="b">
        <f>IF(AZ5+AZ6=31," ",IF(AZ5+AZ6=32," ",IF(AZ5+AZ6=33," ",IF(AZ5+AZ6=41," ",IF(AZ5+AZ6=42," ",IF(AZ5+AZ6=43," ",IF(AZ5+AZ6=44,AX17,IF(AZ5+AZ6=52," ",IF(AZ5+AZ6=53," ",IF(AZ5+AZ6=54,IF(AF13=AF14,"résultat",IF(AF13&gt;AF14,AE13,AE14)),IF(AZ5+AZ6=61,AX17,IF(AZ5+AZ6=62,AX17,IF(AZ5+AZ6=63,AX17)))))))))))))</f>
        <v>0</v>
      </c>
      <c r="BB18" s="1000"/>
      <c r="BC18" s="1001"/>
      <c r="BD18" s="348">
        <v>3</v>
      </c>
      <c r="BE18" s="381" t="b">
        <f>IF(BD17=BD18,"résultat",IF(BD17&lt;BD18,BA17,BA18))</f>
        <v>0</v>
      </c>
      <c r="BF18" s="311"/>
      <c r="BG18" s="382"/>
      <c r="BH18" s="311"/>
      <c r="BI18" s="311"/>
      <c r="BJ18" s="311"/>
      <c r="BK18" s="351"/>
      <c r="BL18" s="354">
        <v>2</v>
      </c>
      <c r="BM18" s="353"/>
      <c r="BN18" s="1003" t="b">
        <f>IF(AZ5+AZ6=31," ",IF(AZ5+AZ6=32,BK15,IF(AZ5+AZ6=33,BK15,IF(AZ5+AZ6=41," ",IF(AZ5+AZ6=42,BK15,IF(OR(AND(AZ5+AZ6=43)),BK15,IF(AZ5+AZ6=44,BK15,IF(AZ5+AZ6=51," ",IF(AZ5+AZ6=52,BK15,IF(AZ5+AZ6=53,BK15,IF(AZ5+AZ6=54,BK15,IF(AZ5+AZ6=61," ",IF(AZ5+AZ6=62,BK15,IF(AZ5+AZ6=63,BK15))))))))))))))</f>
        <v>0</v>
      </c>
      <c r="BO18" s="1004"/>
      <c r="BP18" s="1004"/>
      <c r="BQ18" s="1004"/>
      <c r="BR18" s="1005"/>
    </row>
    <row r="19" spans="1:72" ht="20.100000000000001" customHeight="1" thickBot="1">
      <c r="A19" s="42"/>
      <c r="B19" s="921" t="s">
        <v>84</v>
      </c>
      <c r="C19" s="921"/>
      <c r="D19" s="921"/>
      <c r="E19" s="42"/>
      <c r="F19" s="42"/>
      <c r="G19" s="42"/>
      <c r="H19" s="42"/>
      <c r="I19" s="42"/>
      <c r="J19" s="42"/>
      <c r="K19" s="42"/>
      <c r="L19" s="42"/>
      <c r="M19" s="42"/>
      <c r="N19" s="126"/>
      <c r="O19" s="126"/>
      <c r="P19" s="126"/>
      <c r="Q19" s="126"/>
      <c r="R19" s="126"/>
      <c r="S19" s="90"/>
      <c r="T19" s="429">
        <v>0</v>
      </c>
      <c r="U19" s="964"/>
      <c r="V19" s="981"/>
      <c r="W19" s="987"/>
      <c r="X19" s="411" t="s">
        <v>40</v>
      </c>
      <c r="Y19" s="412" t="str">
        <f>IF(T19+T18=6,"OFFICE",IF(ISNA(MATCH($T19,0,0)),"OFFICE",INDEX($P$12:$P$18,MATCH($T19,0,0))))</f>
        <v>OFFICE</v>
      </c>
      <c r="Z19" s="313">
        <v>0</v>
      </c>
      <c r="AA19" s="957"/>
      <c r="AB19" s="981"/>
      <c r="AC19" s="995"/>
      <c r="AD19" s="320"/>
      <c r="AE19" s="321" t="str">
        <f>IF(Z18=Z19,"résultat",IF(Z18&lt;Z19,Y18,Y19))</f>
        <v>OFFICE</v>
      </c>
      <c r="AF19" s="313">
        <v>0</v>
      </c>
      <c r="AJ19" s="277"/>
      <c r="AK19" s="277"/>
      <c r="AL19" s="277"/>
      <c r="AM19" s="277"/>
      <c r="AN19" s="277"/>
      <c r="AO19" s="277"/>
      <c r="AP19" s="277"/>
      <c r="AQ19" s="277"/>
      <c r="AR19" s="277"/>
      <c r="AS19" s="327"/>
      <c r="AT19" s="277"/>
      <c r="AU19" s="277"/>
      <c r="AV19" s="277"/>
      <c r="AW19" s="277"/>
      <c r="AX19" s="277"/>
      <c r="AY19" s="277"/>
      <c r="AZ19" s="379"/>
      <c r="BA19" s="380"/>
      <c r="BB19" s="379"/>
      <c r="BC19" s="381"/>
      <c r="BD19" s="311"/>
      <c r="BL19" s="355">
        <v>3</v>
      </c>
      <c r="BM19" s="353"/>
      <c r="BN19" s="1003" t="b">
        <f>IF(AZ5+AZ6=33,AX14,IF(AZ5+AZ6=43,AX14,IF(AZ5+AZ6=53,AX14,IF(AZ5+AZ6=54,BK23,IF(AZ5+AZ6=63,BK23)))))</f>
        <v>0</v>
      </c>
      <c r="BO19" s="1004"/>
      <c r="BP19" s="1004"/>
      <c r="BQ19" s="1004"/>
      <c r="BR19" s="1005"/>
    </row>
    <row r="20" spans="1:72" ht="21.75" thickBo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204"/>
      <c r="Q20" s="126"/>
      <c r="R20" s="126"/>
      <c r="S20" s="90"/>
      <c r="T20" s="126"/>
      <c r="AV20" s="334"/>
      <c r="AX20" s="342"/>
      <c r="BA20" s="334"/>
      <c r="BE20" s="351"/>
      <c r="BL20" s="378">
        <v>4</v>
      </c>
      <c r="BM20" s="383"/>
      <c r="BN20" s="1003" t="str">
        <f>IF(OR(AND(BP10&gt;3,BP10&lt;9)),IF(BJ23&lt;BJ24,BG23,BG24),IF(OR(AND(AZ5+AZ6=54)),BK24," "))</f>
        <v xml:space="preserve"> </v>
      </c>
      <c r="BO20" s="1004"/>
      <c r="BP20" s="1004"/>
      <c r="BQ20" s="1004"/>
      <c r="BR20" s="1005"/>
    </row>
    <row r="21" spans="1:72" ht="43.5" customHeight="1" thickBot="1">
      <c r="A21" s="988" t="s">
        <v>85</v>
      </c>
      <c r="B21" s="988"/>
      <c r="C21" s="988"/>
      <c r="D21" s="988"/>
      <c r="E21" s="988"/>
      <c r="F21" s="988"/>
      <c r="G21" s="988"/>
      <c r="H21" s="988"/>
      <c r="I21" s="988"/>
      <c r="J21" s="988"/>
      <c r="K21" s="988"/>
      <c r="L21" s="988"/>
      <c r="M21" s="988"/>
      <c r="N21" s="988"/>
      <c r="O21" s="988"/>
      <c r="P21" s="988"/>
      <c r="Q21" s="988"/>
      <c r="R21" s="988"/>
      <c r="S21" s="988"/>
      <c r="T21" s="988"/>
      <c r="U21" s="988"/>
      <c r="V21" s="988"/>
      <c r="W21" s="988"/>
      <c r="X21" s="988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396"/>
      <c r="AN21" s="396"/>
      <c r="AO21" s="396"/>
      <c r="AP21" s="396"/>
      <c r="BA21" s="334"/>
      <c r="BD21" s="342"/>
      <c r="BF21" s="1009" t="s">
        <v>105</v>
      </c>
      <c r="BG21" s="1010"/>
      <c r="BH21" s="1010"/>
      <c r="BI21" s="1010"/>
      <c r="BJ21" s="1011"/>
      <c r="BK21" s="351"/>
      <c r="BL21" s="421">
        <v>5</v>
      </c>
      <c r="BM21" s="353"/>
      <c r="BN21" s="1006" t="str">
        <f>IF(OR(AND(BP10&gt;4,BP10&lt;9)),IF(AC31&gt;AC32,Z35,Z36)," ")</f>
        <v xml:space="preserve"> </v>
      </c>
      <c r="BO21" s="1007"/>
      <c r="BP21" s="1007"/>
      <c r="BQ21" s="1007"/>
      <c r="BR21" s="1008"/>
    </row>
    <row r="22" spans="1:72" s="311" customFormat="1" ht="61.5" customHeight="1" thickBot="1">
      <c r="A22" s="988" t="s">
        <v>86</v>
      </c>
      <c r="B22" s="988"/>
      <c r="C22" s="988"/>
      <c r="D22" s="988"/>
      <c r="E22" s="988"/>
      <c r="F22" s="988"/>
      <c r="G22" s="988"/>
      <c r="H22" s="988"/>
      <c r="I22" s="988"/>
      <c r="J22" s="988"/>
      <c r="K22" s="988"/>
      <c r="L22" s="988"/>
      <c r="M22" s="988"/>
      <c r="N22" s="988"/>
      <c r="O22" s="988"/>
      <c r="P22" s="988"/>
      <c r="Q22" s="988"/>
      <c r="R22" s="988"/>
      <c r="S22" s="988"/>
      <c r="T22" s="988"/>
      <c r="U22" s="988"/>
      <c r="V22" s="988"/>
      <c r="W22" s="988"/>
      <c r="X22" s="988"/>
      <c r="Y22" s="126"/>
      <c r="Z22" s="126"/>
      <c r="AA22" s="90"/>
      <c r="AB22" s="126"/>
      <c r="AC22" s="984" t="s">
        <v>121</v>
      </c>
      <c r="AD22" s="985"/>
      <c r="AE22" s="985"/>
      <c r="AF22" s="985"/>
      <c r="AG22" s="985"/>
      <c r="AH22" s="985"/>
      <c r="AI22" s="985"/>
      <c r="AJ22" s="985"/>
      <c r="AK22" s="985"/>
      <c r="AL22" s="985"/>
      <c r="AM22" s="985"/>
      <c r="AN22" s="985"/>
      <c r="AO22" s="985"/>
      <c r="AP22" s="985"/>
      <c r="AQ22" s="985"/>
      <c r="AR22" s="985"/>
      <c r="AS22" s="985"/>
      <c r="AT22" s="985"/>
      <c r="AU22" s="985"/>
      <c r="AV22" s="985"/>
      <c r="AW22" s="985"/>
      <c r="AX22" s="985"/>
      <c r="AY22" s="985"/>
      <c r="AZ22" s="379"/>
      <c r="BA22" s="379"/>
      <c r="BB22"/>
      <c r="BC22" s="376"/>
      <c r="BD22" s="376"/>
      <c r="BE22" s="380"/>
      <c r="BF22" s="375"/>
      <c r="BH22"/>
      <c r="BI22"/>
      <c r="BJ22"/>
      <c r="BK22" s="334"/>
      <c r="BL22"/>
      <c r="BM22"/>
      <c r="BN22"/>
      <c r="BO22"/>
      <c r="BP22"/>
      <c r="BQ22"/>
      <c r="BR22"/>
      <c r="BS22"/>
      <c r="BT22"/>
    </row>
    <row r="23" spans="1:72" ht="23.25">
      <c r="A23" s="194" t="s">
        <v>81</v>
      </c>
      <c r="B23" s="194"/>
      <c r="C23" s="194"/>
      <c r="D23" s="194"/>
      <c r="E23" s="194"/>
      <c r="F23" s="194"/>
      <c r="G23" s="42"/>
      <c r="H23" s="42"/>
      <c r="I23" s="42"/>
      <c r="J23" s="42"/>
      <c r="K23" s="42"/>
      <c r="L23" s="42"/>
      <c r="M23" s="42"/>
      <c r="N23" s="126"/>
      <c r="O23" s="126"/>
      <c r="P23" s="126"/>
      <c r="Q23" s="126"/>
      <c r="R23" s="126"/>
      <c r="S23" s="90"/>
      <c r="T23" s="126"/>
      <c r="U23" s="375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80"/>
      <c r="BF23" s="989">
        <v>5</v>
      </c>
      <c r="BG23" s="970" t="b">
        <f>IF(BD12=BD13,"Perdant 1/2 Finale A",IF(AND(BP10+BP11&gt;2,BP10+BP11&lt;9),BE13))</f>
        <v>0</v>
      </c>
      <c r="BH23" s="971"/>
      <c r="BI23" s="972"/>
      <c r="BJ23" s="347">
        <v>1</v>
      </c>
      <c r="BK23" s="381" t="b">
        <f>IF(BJ23=BJ24,"résultat",IF(BJ23&gt;BJ24,BG23,BG24))</f>
        <v>0</v>
      </c>
    </row>
    <row r="24" spans="1:72" ht="27" thickBot="1">
      <c r="A24" s="194" t="s">
        <v>82</v>
      </c>
      <c r="B24" s="194"/>
      <c r="C24" s="194"/>
      <c r="D24" s="194"/>
      <c r="E24" s="194"/>
      <c r="F24" s="194"/>
      <c r="G24" s="42"/>
      <c r="H24" s="42"/>
      <c r="I24" s="42"/>
      <c r="J24" s="42"/>
      <c r="K24" s="42"/>
      <c r="L24" s="42"/>
      <c r="M24" s="42"/>
      <c r="N24" s="126"/>
      <c r="O24" s="126"/>
      <c r="P24" s="126"/>
      <c r="Q24" s="126"/>
      <c r="R24" s="126"/>
      <c r="S24" s="90"/>
      <c r="T24" s="126"/>
      <c r="U24" s="349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 t="s">
        <v>16</v>
      </c>
      <c r="AM24" s="350"/>
      <c r="AN24" s="453"/>
      <c r="AO24" s="350"/>
      <c r="AP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80"/>
      <c r="BF24" s="990"/>
      <c r="BG24" s="973" t="b">
        <f>IF(BD17=BD18,"Perdant 1/2 Finale B",IF(AND(BP10+BP11&gt;2,BP10+BP11&lt;9),BE18))</f>
        <v>0</v>
      </c>
      <c r="BH24" s="974"/>
      <c r="BI24" s="975"/>
      <c r="BJ24" s="348">
        <v>2</v>
      </c>
      <c r="BK24" s="381" t="b">
        <f>IF(BJ23=BJ24,"résultat",IF(BJ23&lt;BJ24,BG23,BG24))</f>
        <v>0</v>
      </c>
      <c r="BS24" s="351"/>
    </row>
    <row r="25" spans="1:72" s="374" customFormat="1" ht="34.5" customHeight="1">
      <c r="A25" s="148" t="s">
        <v>78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26"/>
      <c r="O25" s="126"/>
      <c r="P25" s="126"/>
      <c r="Q25" s="126"/>
      <c r="R25" s="126"/>
      <c r="S25" s="90"/>
      <c r="T25" s="126"/>
      <c r="U25" s="349"/>
      <c r="V25" s="350"/>
      <c r="W25" s="350"/>
      <c r="X25" s="350"/>
      <c r="Y25" s="349"/>
      <c r="Z25" s="349"/>
      <c r="AA25" s="377"/>
      <c r="AB25"/>
      <c r="AC25"/>
      <c r="AD25"/>
      <c r="AE25"/>
      <c r="AF25"/>
      <c r="AG25"/>
      <c r="AH25"/>
      <c r="AI25"/>
      <c r="AJ25"/>
      <c r="AK25"/>
      <c r="AL25"/>
      <c r="AM25"/>
      <c r="AN25"/>
      <c r="BE25" s="311"/>
      <c r="BL25"/>
      <c r="BM25"/>
      <c r="BN25"/>
      <c r="BO25"/>
      <c r="BP25"/>
      <c r="BQ25"/>
      <c r="BR25"/>
    </row>
    <row r="26" spans="1:72" s="438" customFormat="1" ht="37.5" customHeight="1">
      <c r="B26" s="442"/>
      <c r="N26" s="94"/>
      <c r="O26" s="94"/>
      <c r="P26" s="94"/>
      <c r="Q26" s="94"/>
      <c r="R26" s="94"/>
      <c r="S26" s="439"/>
      <c r="T26" s="94"/>
      <c r="U26" s="440"/>
      <c r="Z26" s="441"/>
      <c r="BE26" s="446"/>
    </row>
    <row r="27" spans="1:72" ht="18.75">
      <c r="N27" s="126"/>
      <c r="O27" s="126"/>
      <c r="P27" s="126"/>
      <c r="Q27" s="126"/>
      <c r="R27" s="126"/>
      <c r="S27" s="126"/>
      <c r="T27" s="126"/>
      <c r="Z27" s="342"/>
      <c r="AF27" s="351"/>
      <c r="BL27" s="374"/>
      <c r="BM27" s="374"/>
      <c r="BN27" s="374"/>
      <c r="BO27" s="374"/>
      <c r="BP27" s="374"/>
      <c r="BQ27" s="374"/>
      <c r="BR27" s="374"/>
    </row>
    <row r="28" spans="1:72" ht="18.75">
      <c r="N28" s="42"/>
      <c r="O28" s="42"/>
      <c r="P28" s="42"/>
      <c r="Q28" s="42"/>
      <c r="R28" s="42"/>
      <c r="S28" s="42"/>
      <c r="T28" s="42"/>
      <c r="Z28" s="342"/>
      <c r="AF28" s="351"/>
    </row>
    <row r="29" spans="1:72">
      <c r="N29" s="42"/>
      <c r="O29" s="42"/>
      <c r="P29" s="42"/>
      <c r="Q29" s="42"/>
      <c r="R29" s="42"/>
      <c r="S29" s="42"/>
      <c r="T29" s="42"/>
    </row>
    <row r="30" spans="1:72">
      <c r="N30" s="42"/>
      <c r="O30" s="42"/>
      <c r="P30" s="42"/>
      <c r="Q30" s="42"/>
      <c r="R30" s="42"/>
      <c r="S30" s="42"/>
      <c r="T30" s="42"/>
    </row>
    <row r="31" spans="1:72">
      <c r="N31" s="42"/>
      <c r="O31" s="42"/>
      <c r="P31" s="42"/>
      <c r="Q31" s="42"/>
      <c r="R31" s="42"/>
      <c r="S31" s="42"/>
      <c r="T31" s="42"/>
    </row>
    <row r="32" spans="1:72">
      <c r="N32" s="42"/>
      <c r="O32" s="42"/>
      <c r="P32" s="42"/>
      <c r="Q32" s="42"/>
      <c r="R32" s="42"/>
      <c r="S32" s="42"/>
      <c r="T32" s="42"/>
    </row>
  </sheetData>
  <mergeCells count="80">
    <mergeCell ref="A21:X21"/>
    <mergeCell ref="A1:I1"/>
    <mergeCell ref="J3:M3"/>
    <mergeCell ref="AL6:AM7"/>
    <mergeCell ref="AQ9:AU9"/>
    <mergeCell ref="Z3:AA3"/>
    <mergeCell ref="AB9:AF9"/>
    <mergeCell ref="B3:C3"/>
    <mergeCell ref="D3:E3"/>
    <mergeCell ref="G3:H3"/>
    <mergeCell ref="AK5:AM5"/>
    <mergeCell ref="E5:F5"/>
    <mergeCell ref="G5:J5"/>
    <mergeCell ref="A16:C16"/>
    <mergeCell ref="A17:C17"/>
    <mergeCell ref="A10:F10"/>
    <mergeCell ref="AW9:AX9"/>
    <mergeCell ref="V9:Z9"/>
    <mergeCell ref="AK9:AO9"/>
    <mergeCell ref="AK11:AK15"/>
    <mergeCell ref="AL11:AL12"/>
    <mergeCell ref="AL13:AL14"/>
    <mergeCell ref="V11:V15"/>
    <mergeCell ref="W11:W12"/>
    <mergeCell ref="W13:W14"/>
    <mergeCell ref="AA11:AA15"/>
    <mergeCell ref="BL9:BR9"/>
    <mergeCell ref="AZ9:BD9"/>
    <mergeCell ref="BF9:BJ9"/>
    <mergeCell ref="AZ12:AZ13"/>
    <mergeCell ref="BA12:BC12"/>
    <mergeCell ref="BA13:BC13"/>
    <mergeCell ref="BL14:BR14"/>
    <mergeCell ref="BF14:BF15"/>
    <mergeCell ref="BG14:BI14"/>
    <mergeCell ref="BG15:BI15"/>
    <mergeCell ref="BN17:BR17"/>
    <mergeCell ref="BN18:BR18"/>
    <mergeCell ref="BN19:BR19"/>
    <mergeCell ref="BN20:BR20"/>
    <mergeCell ref="BN21:BR21"/>
    <mergeCell ref="BF21:BJ21"/>
    <mergeCell ref="BF23:BF24"/>
    <mergeCell ref="AP12:AP13"/>
    <mergeCell ref="AB16:AB19"/>
    <mergeCell ref="AQ12:AQ13"/>
    <mergeCell ref="AC16:AC17"/>
    <mergeCell ref="AW17:AW18"/>
    <mergeCell ref="AQ17:AQ18"/>
    <mergeCell ref="AC18:AC19"/>
    <mergeCell ref="AZ17:AZ18"/>
    <mergeCell ref="BA17:BC17"/>
    <mergeCell ref="BA18:BC18"/>
    <mergeCell ref="AW12:AW13"/>
    <mergeCell ref="BG23:BI23"/>
    <mergeCell ref="BG24:BI24"/>
    <mergeCell ref="AC11:AC12"/>
    <mergeCell ref="AC13:AC14"/>
    <mergeCell ref="U6:Y6"/>
    <mergeCell ref="U7:Y7"/>
    <mergeCell ref="AB11:AB15"/>
    <mergeCell ref="W16:W17"/>
    <mergeCell ref="AA6:AA7"/>
    <mergeCell ref="AC22:AY22"/>
    <mergeCell ref="W18:W19"/>
    <mergeCell ref="V16:V19"/>
    <mergeCell ref="A22:X22"/>
    <mergeCell ref="B19:D19"/>
    <mergeCell ref="AK6:AK7"/>
    <mergeCell ref="C14:D14"/>
    <mergeCell ref="G10:H10"/>
    <mergeCell ref="J10:K11"/>
    <mergeCell ref="A11:F11"/>
    <mergeCell ref="G11:H11"/>
    <mergeCell ref="K14:K15"/>
    <mergeCell ref="AA16:AA19"/>
    <mergeCell ref="J9:K9"/>
    <mergeCell ref="U11:U15"/>
    <mergeCell ref="U16:U19"/>
    <mergeCell ref="L14:L15"/>
  </mergeCells>
  <conditionalFormatting sqref="AS12:AS14 AE11:AE19 AN11:AN14 AS17:AS18">
    <cfRule type="containsText" dxfId="821" priority="113" operator="containsText" text="résultat">
      <formula>NOT(ISERROR(SEARCH("résultat",AE11)))</formula>
    </cfRule>
    <cfRule type="containsText" dxfId="820" priority="114" operator="containsText" text="OFFICE">
      <formula>NOT(ISERROR(SEARCH("OFFICE",AE11)))</formula>
    </cfRule>
  </conditionalFormatting>
  <conditionalFormatting sqref="Z13:Z14">
    <cfRule type="iconSet" priority="112">
      <iconSet iconSet="3Signs">
        <cfvo type="percent" val="0"/>
        <cfvo type="percent" val="12"/>
        <cfvo type="percent" val="13" gte="0"/>
      </iconSet>
    </cfRule>
  </conditionalFormatting>
  <conditionalFormatting sqref="Z11:Z12">
    <cfRule type="iconSet" priority="111">
      <iconSet iconSet="3Signs">
        <cfvo type="percent" val="0"/>
        <cfvo type="percent" val="12"/>
        <cfvo type="percent" val="13" gte="0"/>
      </iconSet>
    </cfRule>
  </conditionalFormatting>
  <conditionalFormatting sqref="AF11:AF12">
    <cfRule type="iconSet" priority="101">
      <iconSet iconSet="3Signs">
        <cfvo type="percent" val="0"/>
        <cfvo type="percent" val="12"/>
        <cfvo type="percent" val="13" gte="0"/>
      </iconSet>
    </cfRule>
  </conditionalFormatting>
  <conditionalFormatting sqref="AF13:AF14">
    <cfRule type="iconSet" priority="100">
      <iconSet iconSet="3Signs">
        <cfvo type="percent" val="0"/>
        <cfvo type="percent" val="12"/>
        <cfvo type="percent" val="13" gte="0"/>
      </iconSet>
    </cfRule>
  </conditionalFormatting>
  <conditionalFormatting sqref="Z16:Z17">
    <cfRule type="iconSet" priority="97">
      <iconSet iconSet="3Signs">
        <cfvo type="percent" val="0"/>
        <cfvo type="percent" val="12"/>
        <cfvo type="percent" val="13" gte="0"/>
      </iconSet>
    </cfRule>
  </conditionalFormatting>
  <conditionalFormatting sqref="Z18:Z19">
    <cfRule type="iconSet" priority="96">
      <iconSet iconSet="3Signs">
        <cfvo type="percent" val="0"/>
        <cfvo type="percent" val="12"/>
        <cfvo type="percent" val="13" gte="0"/>
      </iconSet>
    </cfRule>
  </conditionalFormatting>
  <conditionalFormatting sqref="AF16:AF17">
    <cfRule type="iconSet" priority="93">
      <iconSet iconSet="3Signs">
        <cfvo type="percent" val="0"/>
        <cfvo type="percent" val="12"/>
        <cfvo type="percent" val="13" gte="0"/>
      </iconSet>
    </cfRule>
  </conditionalFormatting>
  <conditionalFormatting sqref="AF18:AF19">
    <cfRule type="iconSet" priority="92">
      <iconSet iconSet="3Signs">
        <cfvo type="percent" val="0"/>
        <cfvo type="percent" val="12"/>
        <cfvo type="percent" val="13" gte="0"/>
      </iconSet>
    </cfRule>
  </conditionalFormatting>
  <conditionalFormatting sqref="AS12:AS14 AN11:AN14 AS17:AS18">
    <cfRule type="containsText" dxfId="819" priority="89" operator="containsText" text="résultat">
      <formula>NOT(ISERROR(SEARCH("résultat",AN11)))</formula>
    </cfRule>
  </conditionalFormatting>
  <conditionalFormatting sqref="AX12:AX14">
    <cfRule type="expression" dxfId="818" priority="88" stopIfTrue="1">
      <formula>(OR(AX1048567="1",AX1048567="2",AX1048567="3"))</formula>
    </cfRule>
  </conditionalFormatting>
  <conditionalFormatting sqref="AX13:AX14">
    <cfRule type="expression" dxfId="817" priority="87">
      <formula>(OR(AX1048567="2",AX1048567="3"))</formula>
    </cfRule>
  </conditionalFormatting>
  <conditionalFormatting sqref="AX17">
    <cfRule type="expression" dxfId="816" priority="84" stopIfTrue="1">
      <formula>(OR(#REF!="1",#REF!="2",#REF!="3"))</formula>
    </cfRule>
  </conditionalFormatting>
  <conditionalFormatting sqref="AX18">
    <cfRule type="expression" dxfId="815" priority="83">
      <formula>(OR(#REF!="2",#REF!="3"))</formula>
    </cfRule>
  </conditionalFormatting>
  <conditionalFormatting sqref="AX17">
    <cfRule type="expression" dxfId="814" priority="80" stopIfTrue="1">
      <formula>(OR(AW1="1",AW1="2",AW1="3"))</formula>
    </cfRule>
  </conditionalFormatting>
  <conditionalFormatting sqref="AX18">
    <cfRule type="expression" dxfId="813" priority="79">
      <formula>(OR(AW1="2",AW1="3"))</formula>
    </cfRule>
  </conditionalFormatting>
  <conditionalFormatting sqref="AX17">
    <cfRule type="expression" dxfId="812" priority="76" stopIfTrue="1">
      <formula>(OR(AW1="1",AW1="2",AW1="3"))</formula>
    </cfRule>
  </conditionalFormatting>
  <conditionalFormatting sqref="AX18">
    <cfRule type="expression" dxfId="811" priority="75">
      <formula>(OR(AW1="2",AW1="3"))</formula>
    </cfRule>
  </conditionalFormatting>
  <conditionalFormatting sqref="AX17">
    <cfRule type="expression" dxfId="810" priority="115" stopIfTrue="1">
      <formula>(OR(AX1048571="1",AX1048571="2",AX1048571="3"))</formula>
    </cfRule>
  </conditionalFormatting>
  <conditionalFormatting sqref="AX18">
    <cfRule type="expression" dxfId="809" priority="116">
      <formula>(OR(AX1048571="2",AX1048571="3"))</formula>
    </cfRule>
  </conditionalFormatting>
  <conditionalFormatting sqref="BD12:BD13">
    <cfRule type="duplicateValues" dxfId="808" priority="71"/>
    <cfRule type="iconSet" priority="72">
      <iconSet>
        <cfvo type="percent" val="0"/>
        <cfvo type="percent" val="12"/>
        <cfvo type="percent" val="13"/>
      </iconSet>
    </cfRule>
  </conditionalFormatting>
  <conditionalFormatting sqref="BD17:BD18">
    <cfRule type="duplicateValues" dxfId="807" priority="69"/>
    <cfRule type="iconSet" priority="70">
      <iconSet>
        <cfvo type="percent" val="0"/>
        <cfvo type="percent" val="12"/>
        <cfvo type="percent" val="13"/>
      </iconSet>
    </cfRule>
  </conditionalFormatting>
  <conditionalFormatting sqref="BJ14:BJ15">
    <cfRule type="duplicateValues" dxfId="806" priority="67"/>
    <cfRule type="iconSet" priority="68">
      <iconSet>
        <cfvo type="percent" val="0"/>
        <cfvo type="percent" val="12"/>
        <cfvo type="percent" val="13"/>
      </iconSet>
    </cfRule>
  </conditionalFormatting>
  <conditionalFormatting sqref="BJ23:BJ24">
    <cfRule type="duplicateValues" dxfId="805" priority="65"/>
    <cfRule type="iconSet" priority="66">
      <iconSet>
        <cfvo type="percent" val="0"/>
        <cfvo type="percent" val="12"/>
        <cfvo type="percent" val="13"/>
      </iconSet>
    </cfRule>
  </conditionalFormatting>
  <conditionalFormatting sqref="BN17">
    <cfRule type="expression" dxfId="804" priority="64">
      <formula>(OR($BP$10+$BP$11=9,$BP$10+$BP$11=8,$BP$10+$BP$11=7,$BP$10+$BP$11=6,$BP$10+$BP$11=5,$BP$10+$BP$11=4,$BP$10+$BP$11=3,$BP$10+$BP$11=2,$BP$10+$BP$11=1))</formula>
    </cfRule>
  </conditionalFormatting>
  <conditionalFormatting sqref="BN18">
    <cfRule type="expression" dxfId="803" priority="63">
      <formula>(OR($BP$10+$BP$11=9,$BP$10+$BP$11=8,$BP$10+$BP$11=7,$BP$10+$BP$11=6,$BP$10+$BP$11=5,$BP$10+$BP$11=4,$BP$10+$BP$11=3,$BP$10+$BP$11=2))</formula>
    </cfRule>
  </conditionalFormatting>
  <conditionalFormatting sqref="BN20">
    <cfRule type="expression" dxfId="802" priority="62">
      <formula>(OR($BP$10+$BP$11=9,$BP$10+$BP$11=8,$BP$10+$BP$11=7,$BP$10+$BP$11=6,$BP$10+$BP$11=5,$BP$10+$BP$11=4))</formula>
    </cfRule>
  </conditionalFormatting>
  <conditionalFormatting sqref="BN21">
    <cfRule type="expression" dxfId="801" priority="61">
      <formula>(OR(XEM6=9,XEM6=8,XEM6=7,XEM6=6,XEM6=5))</formula>
    </cfRule>
  </conditionalFormatting>
  <conditionalFormatting sqref="BN19">
    <cfRule type="expression" dxfId="800" priority="58">
      <formula>-(OR($BP$10+$BP$11=9,$BP$10+$BP$11=8,$BP$10+$BP$11=7,$BP$10+$BP$11=6,$BP$10+$BP$11=5,$BP$10+$BP$11=4,$BP$10+$BP$11=3))</formula>
    </cfRule>
  </conditionalFormatting>
  <conditionalFormatting sqref="BL18">
    <cfRule type="expression" dxfId="799" priority="57">
      <formula>(OR(#REF!=9,#REF!=8,#REF!=7,#REF!=6,#REF!=5,#REF!=4,#REF!=3,#REF!=2))</formula>
    </cfRule>
  </conditionalFormatting>
  <conditionalFormatting sqref="BL19">
    <cfRule type="expression" dxfId="798" priority="56">
      <formula>(OR(#REF!=9,#REF!=8,#REF!=7,#REF!=6,#REF!=5,#REF!=4,#REF!=3))</formula>
    </cfRule>
  </conditionalFormatting>
  <conditionalFormatting sqref="BL20">
    <cfRule type="expression" dxfId="797" priority="55">
      <formula>(OR(#REF!=9,#REF!=8,#REF!=7,#REF!=6,#REF!=5,#REF!=4))</formula>
    </cfRule>
  </conditionalFormatting>
  <conditionalFormatting sqref="BL21">
    <cfRule type="expression" dxfId="796" priority="54">
      <formula>(OR(#REF!=9,#REF!=8,#REF!=7,#REF!=6,#REF!=5))</formula>
    </cfRule>
  </conditionalFormatting>
  <conditionalFormatting sqref="BL17">
    <cfRule type="expression" dxfId="795" priority="49">
      <formula>(OR(BP10=9,BP10=8,BP10=7,BP10=6,BP10=5,BP10=4,BP10=3,BP10=2,BP10=1))</formula>
    </cfRule>
  </conditionalFormatting>
  <conditionalFormatting sqref="BL18">
    <cfRule type="expression" dxfId="794" priority="48">
      <formula>(OR(#REF!=9,#REF!=8,#REF!=7,#REF!=6,#REF!=5,#REF!=4,#REF!=3,#REF!=2))</formula>
    </cfRule>
  </conditionalFormatting>
  <conditionalFormatting sqref="BL19">
    <cfRule type="expression" dxfId="793" priority="47">
      <formula>(OR(#REF!=9,#REF!=8,#REF!=7,#REF!=6,#REF!=5,#REF!=4,#REF!=3))</formula>
    </cfRule>
  </conditionalFormatting>
  <conditionalFormatting sqref="BL20">
    <cfRule type="expression" dxfId="792" priority="46">
      <formula>(OR(#REF!=9,#REF!=8,#REF!=7,#REF!=6,#REF!=5,#REF!=4))</formula>
    </cfRule>
  </conditionalFormatting>
  <conditionalFormatting sqref="BL21">
    <cfRule type="expression" dxfId="791" priority="45">
      <formula>(OR(#REF!=9,#REF!=8,#REF!=7,#REF!=6,#REF!=5))</formula>
    </cfRule>
  </conditionalFormatting>
  <conditionalFormatting sqref="BD12:BD13">
    <cfRule type="duplicateValues" dxfId="790" priority="42"/>
  </conditionalFormatting>
  <conditionalFormatting sqref="BD12:BD13">
    <cfRule type="duplicateValues" dxfId="789" priority="40"/>
    <cfRule type="iconSet" priority="41">
      <iconSet iconSet="3Signs">
        <cfvo type="percent" val="0"/>
        <cfvo type="percent" val="12"/>
        <cfvo type="percent" val="13" gte="0"/>
      </iconSet>
    </cfRule>
  </conditionalFormatting>
  <conditionalFormatting sqref="BD17:BD18">
    <cfRule type="duplicateValues" dxfId="788" priority="39"/>
  </conditionalFormatting>
  <conditionalFormatting sqref="BD17:BD18">
    <cfRule type="duplicateValues" dxfId="787" priority="37"/>
    <cfRule type="iconSet" priority="38">
      <iconSet iconSet="3Signs">
        <cfvo type="percent" val="0"/>
        <cfvo type="percent" val="12"/>
        <cfvo type="percent" val="13" gte="0"/>
      </iconSet>
    </cfRule>
  </conditionalFormatting>
  <conditionalFormatting sqref="BJ14:BJ15">
    <cfRule type="duplicateValues" dxfId="786" priority="36"/>
  </conditionalFormatting>
  <conditionalFormatting sqref="BJ14:BJ15">
    <cfRule type="duplicateValues" dxfId="785" priority="34"/>
    <cfRule type="iconSet" priority="35">
      <iconSet iconSet="3Signs">
        <cfvo type="percent" val="0"/>
        <cfvo type="percent" val="12"/>
        <cfvo type="percent" val="13" gte="0"/>
      </iconSet>
    </cfRule>
  </conditionalFormatting>
  <conditionalFormatting sqref="BJ23:BJ24">
    <cfRule type="duplicateValues" dxfId="784" priority="33"/>
  </conditionalFormatting>
  <conditionalFormatting sqref="BJ23:BJ24">
    <cfRule type="duplicateValues" dxfId="783" priority="31"/>
    <cfRule type="iconSet" priority="32">
      <iconSet iconSet="3Signs">
        <cfvo type="percent" val="0"/>
        <cfvo type="percent" val="12"/>
        <cfvo type="percent" val="13" gte="0"/>
      </iconSet>
    </cfRule>
  </conditionalFormatting>
  <conditionalFormatting sqref="AF18:AF19 AG18:AO18">
    <cfRule type="iconSet" priority="154">
      <iconSet iconSet="3Signs">
        <cfvo type="percent" val="0"/>
        <cfvo type="percent" val="12"/>
        <cfvo type="percent" val="13" gte="0"/>
      </iconSet>
    </cfRule>
  </conditionalFormatting>
  <conditionalFormatting sqref="AF16:AO17">
    <cfRule type="iconSet" priority="157">
      <iconSet iconSet="3Signs">
        <cfvo type="percent" val="0"/>
        <cfvo type="percent" val="12"/>
        <cfvo type="percent" val="13" gte="0"/>
      </iconSet>
    </cfRule>
  </conditionalFormatting>
  <conditionalFormatting sqref="AO11:AO12">
    <cfRule type="iconSet" priority="23">
      <iconSet iconSet="3Signs">
        <cfvo type="percent" val="0"/>
        <cfvo type="percent" val="12"/>
        <cfvo type="percent" val="13" gte="0"/>
      </iconSet>
    </cfRule>
  </conditionalFormatting>
  <conditionalFormatting sqref="AO13:AO14">
    <cfRule type="iconSet" priority="22">
      <iconSet iconSet="3Signs">
        <cfvo type="percent" val="0"/>
        <cfvo type="percent" val="12"/>
        <cfvo type="percent" val="13" gte="0"/>
      </iconSet>
    </cfRule>
  </conditionalFormatting>
  <conditionalFormatting sqref="T19 T14:T15">
    <cfRule type="cellIs" dxfId="782" priority="20" operator="equal">
      <formula>4</formula>
    </cfRule>
  </conditionalFormatting>
  <conditionalFormatting sqref="T16">
    <cfRule type="cellIs" dxfId="781" priority="18" operator="equal">
      <formula>4</formula>
    </cfRule>
    <cfRule type="cellIs" dxfId="780" priority="19" operator="equal">
      <formula>5</formula>
    </cfRule>
  </conditionalFormatting>
  <conditionalFormatting sqref="T17">
    <cfRule type="cellIs" dxfId="779" priority="16" operator="equal">
      <formula>5</formula>
    </cfRule>
    <cfRule type="cellIs" dxfId="778" priority="17" operator="equal">
      <formula>6</formula>
    </cfRule>
  </conditionalFormatting>
  <conditionalFormatting sqref="T18">
    <cfRule type="cellIs" dxfId="777" priority="14" operator="equal">
      <formula>6</formula>
    </cfRule>
    <cfRule type="cellIs" dxfId="776" priority="15" operator="equal">
      <formula>7</formula>
    </cfRule>
  </conditionalFormatting>
  <conditionalFormatting sqref="T15">
    <cfRule type="cellIs" dxfId="775" priority="13" stopIfTrue="1" operator="equal">
      <formula>5</formula>
    </cfRule>
  </conditionalFormatting>
  <conditionalFormatting sqref="Y11:Y19">
    <cfRule type="containsText" dxfId="774" priority="12" operator="containsText" text="OFFICE">
      <formula>NOT(ISERROR(SEARCH("OFFICE",Y11)))</formula>
    </cfRule>
  </conditionalFormatting>
  <conditionalFormatting sqref="AT12:AT13">
    <cfRule type="iconSet" priority="11">
      <iconSet iconSet="3Signs">
        <cfvo type="percent" val="0"/>
        <cfvo type="percent" val="12"/>
        <cfvo type="percent" val="13" gte="0"/>
      </iconSet>
    </cfRule>
  </conditionalFormatting>
  <conditionalFormatting sqref="BN18:BR18">
    <cfRule type="expression" dxfId="773" priority="10">
      <formula>OR($BP$10=2)</formula>
    </cfRule>
  </conditionalFormatting>
  <conditionalFormatting sqref="AE11">
    <cfRule type="expression" dxfId="772" priority="227">
      <formula>OR($AA$11=51)</formula>
    </cfRule>
  </conditionalFormatting>
  <conditionalFormatting sqref="AE15">
    <cfRule type="expression" dxfId="771" priority="3">
      <formula>OR($G$10+$G$9=5)</formula>
    </cfRule>
  </conditionalFormatting>
  <conditionalFormatting sqref="Y15">
    <cfRule type="expression" dxfId="770" priority="2">
      <formula>OR($G$10+$G$9=5)</formula>
    </cfRule>
  </conditionalFormatting>
  <conditionalFormatting sqref="AT17:AT18">
    <cfRule type="iconSet" priority="1">
      <iconSet iconSet="3Signs">
        <cfvo type="percent" val="0"/>
        <cfvo type="percent" val="12"/>
        <cfvo type="percent" val="13" gte="0"/>
      </iconSet>
    </cfRule>
  </conditionalFormatting>
  <dataValidations count="3">
    <dataValidation type="list" allowBlank="1" showInputMessage="1" showErrorMessage="1" sqref="E5">
      <formula1>Catégorie</formula1>
    </dataValidation>
    <dataValidation type="list" allowBlank="1" showInputMessage="1" showErrorMessage="1" sqref="G5:J5">
      <formula1>INDIRECT($E$5)</formula1>
    </dataValidation>
    <dataValidation type="list" allowBlank="1" showInputMessage="1" showErrorMessage="1" sqref="J3:M3">
      <formula1>INDIRECT($G$3)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30"/>
  <sheetViews>
    <sheetView topLeftCell="Q1" zoomScale="80" zoomScaleNormal="80" zoomScaleSheetLayoutView="70" workbookViewId="0">
      <selection activeCell="S8" sqref="S8"/>
    </sheetView>
  </sheetViews>
  <sheetFormatPr baseColWidth="10" defaultRowHeight="15"/>
  <cols>
    <col min="1" max="1" width="7.85546875" customWidth="1"/>
    <col min="2" max="2" width="8.140625" customWidth="1"/>
    <col min="3" max="3" width="8.28515625" customWidth="1"/>
    <col min="4" max="4" width="8.140625" customWidth="1"/>
    <col min="5" max="5" width="8.28515625" customWidth="1"/>
    <col min="6" max="6" width="7.7109375" customWidth="1"/>
    <col min="7" max="7" width="3.7109375" customWidth="1"/>
    <col min="8" max="8" width="4.140625" customWidth="1"/>
    <col min="9" max="9" width="8.140625" customWidth="1"/>
    <col min="10" max="10" width="4.7109375" customWidth="1"/>
    <col min="11" max="11" width="8.5703125" customWidth="1"/>
    <col min="12" max="12" width="6.85546875" customWidth="1"/>
    <col min="13" max="13" width="8.7109375" customWidth="1"/>
    <col min="14" max="14" width="7.140625" customWidth="1"/>
    <col min="15" max="15" width="9.28515625" customWidth="1"/>
    <col min="16" max="16" width="32.42578125" customWidth="1"/>
    <col min="17" max="17" width="2.85546875" customWidth="1"/>
    <col min="18" max="18" width="5" customWidth="1"/>
    <col min="19" max="19" width="5.42578125" customWidth="1"/>
    <col min="20" max="20" width="27.28515625" customWidth="1"/>
    <col min="21" max="21" width="22.42578125" customWidth="1"/>
    <col min="22" max="22" width="10.5703125" customWidth="1"/>
    <col min="23" max="23" width="4.140625" customWidth="1"/>
    <col min="24" max="24" width="5.42578125" customWidth="1"/>
    <col min="25" max="25" width="9" hidden="1" customWidth="1"/>
    <col min="26" max="26" width="8.5703125" customWidth="1"/>
    <col min="27" max="27" width="7" customWidth="1"/>
    <col min="28" max="28" width="6.7109375" customWidth="1"/>
    <col min="29" max="29" width="25.5703125" customWidth="1"/>
    <col min="30" max="30" width="8.28515625" customWidth="1"/>
    <col min="31" max="31" width="4" customWidth="1"/>
    <col min="32" max="32" width="2.7109375" customWidth="1"/>
    <col min="33" max="33" width="7.7109375" customWidth="1"/>
    <col min="34" max="34" width="10" customWidth="1"/>
    <col min="35" max="35" width="7.28515625" customWidth="1"/>
    <col min="36" max="36" width="3.7109375" customWidth="1"/>
    <col min="37" max="37" width="27.7109375" customWidth="1"/>
    <col min="38" max="38" width="9.28515625" customWidth="1"/>
    <col min="39" max="39" width="7.5703125" customWidth="1"/>
    <col min="40" max="40" width="6.7109375" customWidth="1"/>
    <col min="41" max="41" width="7.5703125" customWidth="1"/>
    <col min="42" max="42" width="6.140625" customWidth="1"/>
    <col min="43" max="43" width="4.42578125" customWidth="1"/>
    <col min="44" max="44" width="28" customWidth="1"/>
    <col min="45" max="45" width="8.7109375" customWidth="1"/>
    <col min="46" max="46" width="4.28515625" customWidth="1"/>
    <col min="47" max="48" width="2.85546875" customWidth="1"/>
    <col min="49" max="49" width="6.28515625" customWidth="1"/>
    <col min="50" max="50" width="2.5703125" hidden="1" customWidth="1"/>
    <col min="51" max="51" width="27.42578125" customWidth="1"/>
    <col min="52" max="52" width="8.28515625" customWidth="1"/>
    <col min="53" max="53" width="4.28515625" customWidth="1"/>
    <col min="54" max="54" width="5.42578125" customWidth="1"/>
    <col min="55" max="55" width="2.28515625" customWidth="1"/>
    <col min="56" max="56" width="27" customWidth="1"/>
    <col min="57" max="57" width="2.5703125" customWidth="1"/>
    <col min="58" max="58" width="6.140625" customWidth="1"/>
    <col min="59" max="59" width="4.42578125" customWidth="1"/>
    <col min="60" max="60" width="14.28515625" customWidth="1"/>
    <col min="61" max="61" width="6.7109375" customWidth="1"/>
    <col min="62" max="62" width="7.5703125" customWidth="1"/>
    <col min="63" max="63" width="6.140625" customWidth="1"/>
    <col min="64" max="64" width="5.7109375" customWidth="1"/>
    <col min="65" max="65" width="3.28515625" customWidth="1"/>
    <col min="66" max="66" width="13.42578125" customWidth="1"/>
  </cols>
  <sheetData>
    <row r="1" spans="1:64" ht="37.5" customHeight="1" thickBot="1">
      <c r="A1" s="1074" t="s">
        <v>72</v>
      </c>
      <c r="B1" s="1075"/>
      <c r="C1" s="1075"/>
      <c r="D1" s="1075"/>
      <c r="E1" s="1075"/>
      <c r="F1" s="1076"/>
      <c r="G1" s="1077" t="s">
        <v>95</v>
      </c>
      <c r="H1" s="1078"/>
      <c r="I1" s="1078"/>
      <c r="J1" s="1078"/>
      <c r="K1" s="1078"/>
      <c r="L1" s="1078"/>
      <c r="M1" s="1079"/>
      <c r="N1" s="135"/>
      <c r="O1" s="136"/>
      <c r="P1" s="42"/>
      <c r="Q1" s="42"/>
      <c r="R1" s="42"/>
      <c r="S1" s="42"/>
      <c r="T1" s="138"/>
      <c r="AH1" s="1074" t="s">
        <v>72</v>
      </c>
      <c r="AI1" s="1075"/>
      <c r="AJ1" s="1075"/>
      <c r="AK1" s="1075"/>
      <c r="AL1" s="1075"/>
      <c r="AM1" s="1076"/>
      <c r="AN1" s="58"/>
      <c r="AO1" s="1057" t="s">
        <v>95</v>
      </c>
      <c r="AP1" s="1058"/>
      <c r="AQ1" s="1058"/>
      <c r="AR1" s="1058"/>
      <c r="AS1" s="1059"/>
    </row>
    <row r="2" spans="1:64" ht="24.9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140"/>
      <c r="P2" s="42"/>
      <c r="Q2" s="42"/>
      <c r="R2" s="42"/>
      <c r="S2" s="42"/>
      <c r="T2" s="143"/>
      <c r="V2" s="58"/>
      <c r="W2" s="58"/>
      <c r="X2" s="58"/>
      <c r="Y2" s="58"/>
      <c r="Z2" s="58"/>
      <c r="AB2" s="58"/>
      <c r="AC2" s="58"/>
      <c r="AD2" s="58"/>
      <c r="AE2" s="58"/>
      <c r="AF2" s="58"/>
      <c r="AG2" s="58"/>
      <c r="AH2" s="58"/>
      <c r="AN2" s="58"/>
      <c r="AO2" s="58"/>
      <c r="AP2" s="58"/>
      <c r="AQ2" s="58"/>
      <c r="AR2" s="270"/>
      <c r="AS2" s="58"/>
    </row>
    <row r="3" spans="1:64" ht="24.95" customHeight="1" thickBot="1">
      <c r="A3" s="142" t="s">
        <v>80</v>
      </c>
      <c r="B3" s="947">
        <f ca="1">TODAY()</f>
        <v>44239</v>
      </c>
      <c r="C3" s="948"/>
      <c r="D3" s="945">
        <f ca="1">YEAR(NOW())</f>
        <v>2021</v>
      </c>
      <c r="E3" s="946"/>
      <c r="F3" s="81"/>
      <c r="G3" s="941" t="s">
        <v>145</v>
      </c>
      <c r="H3" s="941"/>
      <c r="I3" s="81"/>
      <c r="J3" s="1082" t="s">
        <v>143</v>
      </c>
      <c r="K3" s="1083"/>
      <c r="L3" s="1083"/>
      <c r="M3" s="1084"/>
      <c r="N3" s="42"/>
      <c r="O3" s="140"/>
      <c r="P3" s="42"/>
      <c r="Q3" s="42"/>
      <c r="R3" s="42"/>
      <c r="S3" s="42"/>
      <c r="T3" s="143"/>
      <c r="V3" s="269"/>
      <c r="AG3" s="147" t="s">
        <v>80</v>
      </c>
      <c r="AH3" s="1080">
        <f ca="1">TODAY()</f>
        <v>44239</v>
      </c>
      <c r="AI3" s="1081"/>
      <c r="AJ3" s="945">
        <f ca="1">YEAR(NOW())</f>
        <v>2021</v>
      </c>
      <c r="AK3" s="946"/>
      <c r="AL3" s="272"/>
      <c r="AM3" s="925" t="str">
        <f>+E5</f>
        <v>Masculin</v>
      </c>
      <c r="AN3" s="926"/>
      <c r="AO3" s="927"/>
      <c r="AP3" s="925" t="str">
        <f>+G5</f>
        <v>M3</v>
      </c>
      <c r="AQ3" s="926"/>
      <c r="AR3" s="488" t="str">
        <f>+J3</f>
        <v>Double</v>
      </c>
    </row>
    <row r="4" spans="1:64" ht="24.95" customHeight="1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140"/>
      <c r="P4" s="42"/>
      <c r="Q4" s="42"/>
      <c r="R4" s="42"/>
      <c r="S4" s="42"/>
      <c r="T4" s="143"/>
      <c r="V4" s="58"/>
      <c r="W4" s="58"/>
      <c r="X4" s="58"/>
      <c r="Y4" s="58"/>
      <c r="Z4" s="58"/>
      <c r="AB4" s="490"/>
      <c r="AC4" s="58"/>
      <c r="AD4" s="58"/>
      <c r="AE4" s="58"/>
      <c r="AF4" s="58"/>
      <c r="AG4" s="58"/>
      <c r="AH4" s="58"/>
      <c r="AO4" s="270"/>
      <c r="AP4" s="58"/>
      <c r="AQ4" s="58"/>
      <c r="BF4" s="1052" t="s">
        <v>42</v>
      </c>
      <c r="BG4" s="1052"/>
      <c r="BH4" s="1052"/>
      <c r="BI4" s="1052"/>
      <c r="BJ4" s="1052"/>
      <c r="BK4" s="1052"/>
      <c r="BL4" s="1052"/>
    </row>
    <row r="5" spans="1:64" ht="24.95" customHeight="1" thickBot="1">
      <c r="A5" s="147"/>
      <c r="B5" s="1062"/>
      <c r="C5" s="1062"/>
      <c r="D5" s="1063"/>
      <c r="E5" s="918" t="s">
        <v>123</v>
      </c>
      <c r="F5" s="919"/>
      <c r="G5" s="918" t="s">
        <v>93</v>
      </c>
      <c r="H5" s="920"/>
      <c r="I5" s="919"/>
      <c r="J5" s="151"/>
      <c r="K5" s="151"/>
      <c r="L5" s="151"/>
      <c r="M5" s="151"/>
      <c r="N5" s="42"/>
      <c r="O5" s="140"/>
      <c r="P5" s="42"/>
      <c r="Q5" s="42"/>
      <c r="R5" s="42"/>
      <c r="S5" s="42"/>
      <c r="T5" s="143"/>
      <c r="AN5" s="270"/>
      <c r="AP5" s="1049" t="s">
        <v>106</v>
      </c>
      <c r="AQ5" s="1050"/>
      <c r="AR5" s="1051"/>
      <c r="AV5" s="718">
        <f>+J8</f>
        <v>32</v>
      </c>
      <c r="BI5" s="341" t="str">
        <f>+G9</f>
        <v>2</v>
      </c>
    </row>
    <row r="6" spans="1:64" ht="24.95" customHeight="1" thickBo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710" t="s">
        <v>189</v>
      </c>
      <c r="M6" s="710"/>
      <c r="N6" s="711"/>
      <c r="O6" s="712"/>
      <c r="P6" s="42"/>
      <c r="Q6" s="42"/>
      <c r="R6" s="42"/>
      <c r="S6" s="42"/>
      <c r="T6" s="143"/>
      <c r="AE6" s="311"/>
      <c r="AF6" s="311"/>
      <c r="AH6" s="486" t="s">
        <v>22</v>
      </c>
      <c r="AI6" s="487"/>
      <c r="AJ6" s="487"/>
      <c r="AK6" s="487"/>
      <c r="AL6" s="273" t="str">
        <f>+G8</f>
        <v>3</v>
      </c>
      <c r="AP6" s="930">
        <f>+L12</f>
        <v>1</v>
      </c>
      <c r="AQ6" s="1039" t="s">
        <v>64</v>
      </c>
      <c r="AR6" s="1040"/>
      <c r="AV6" s="719"/>
      <c r="AW6" s="334"/>
      <c r="AX6" s="334"/>
      <c r="AY6" s="334"/>
      <c r="AZ6" s="334"/>
      <c r="BA6" s="334"/>
      <c r="BB6" s="334"/>
      <c r="BC6" s="334"/>
      <c r="BD6" s="334"/>
    </row>
    <row r="7" spans="1:64" ht="24.95" customHeight="1" thickBot="1">
      <c r="A7" s="42"/>
      <c r="B7" s="126"/>
      <c r="C7" s="126"/>
      <c r="D7" s="126"/>
      <c r="E7" s="126"/>
      <c r="F7" s="126"/>
      <c r="G7" s="42"/>
      <c r="H7" s="42"/>
      <c r="I7" s="42"/>
      <c r="J7" s="958"/>
      <c r="K7" s="958"/>
      <c r="L7" s="42"/>
      <c r="M7" s="42"/>
      <c r="N7" s="42"/>
      <c r="O7" s="140"/>
      <c r="P7" s="42"/>
      <c r="Q7" s="42"/>
      <c r="R7" s="42"/>
      <c r="S7" s="42"/>
      <c r="T7" s="143"/>
      <c r="AH7" s="486" t="s">
        <v>55</v>
      </c>
      <c r="AI7" s="487"/>
      <c r="AJ7" s="487"/>
      <c r="AK7" s="487"/>
      <c r="AL7" s="274" t="str">
        <f>+G9</f>
        <v>2</v>
      </c>
      <c r="AP7" s="931"/>
      <c r="AQ7" s="1041"/>
      <c r="AR7" s="1042"/>
    </row>
    <row r="8" spans="1:64" ht="24.95" customHeight="1" thickBot="1">
      <c r="A8" s="967" t="s">
        <v>22</v>
      </c>
      <c r="B8" s="968"/>
      <c r="C8" s="968"/>
      <c r="D8" s="968"/>
      <c r="E8" s="968"/>
      <c r="F8" s="969"/>
      <c r="G8" s="1064" t="str">
        <f>LEFT(J8,1)</f>
        <v>3</v>
      </c>
      <c r="H8" s="1065"/>
      <c r="I8" s="42"/>
      <c r="J8" s="928">
        <v>32</v>
      </c>
      <c r="K8" s="928"/>
      <c r="L8" s="42"/>
      <c r="M8" s="42"/>
      <c r="N8" s="42"/>
      <c r="O8" s="140"/>
      <c r="P8" s="42"/>
      <c r="Q8" s="42"/>
      <c r="R8" s="42"/>
      <c r="S8" s="140"/>
      <c r="T8" s="42"/>
      <c r="U8" s="42"/>
      <c r="V8" s="42"/>
      <c r="W8" s="58"/>
      <c r="X8" s="58"/>
      <c r="Y8" s="58"/>
      <c r="Z8" s="58"/>
      <c r="AB8" s="58"/>
      <c r="AC8" s="58"/>
      <c r="AD8" s="58"/>
      <c r="AE8" s="58"/>
      <c r="AF8" s="58"/>
      <c r="AG8" s="58"/>
      <c r="AH8" s="58"/>
      <c r="AI8" s="270"/>
      <c r="AJ8" s="58"/>
      <c r="AK8" s="58"/>
      <c r="AX8" s="334"/>
    </row>
    <row r="9" spans="1:64" ht="24.95" customHeight="1" thickBot="1">
      <c r="A9" s="967" t="s">
        <v>55</v>
      </c>
      <c r="B9" s="968"/>
      <c r="C9" s="968"/>
      <c r="D9" s="968"/>
      <c r="E9" s="968"/>
      <c r="F9" s="969"/>
      <c r="G9" s="1066" t="str">
        <f>RIGHT(J8,1)</f>
        <v>2</v>
      </c>
      <c r="H9" s="1067"/>
      <c r="I9" s="42"/>
      <c r="J9" s="928"/>
      <c r="K9" s="928"/>
      <c r="L9" s="713"/>
      <c r="M9" s="42"/>
      <c r="N9" s="42"/>
      <c r="O9" s="42"/>
      <c r="P9" s="42"/>
      <c r="Q9" s="42"/>
      <c r="R9" s="21"/>
      <c r="S9" s="22"/>
      <c r="T9" s="22"/>
      <c r="U9" s="22"/>
      <c r="V9" s="23" t="s">
        <v>52</v>
      </c>
      <c r="W9" s="28"/>
      <c r="X9" s="143"/>
      <c r="Z9" s="1028" t="s">
        <v>47</v>
      </c>
      <c r="AA9" s="1029"/>
      <c r="AB9" s="1029"/>
      <c r="AC9" s="1029"/>
      <c r="AD9" s="1030"/>
      <c r="AG9" s="58"/>
      <c r="AH9" s="1046" t="s">
        <v>48</v>
      </c>
      <c r="AI9" s="1047"/>
      <c r="AJ9" s="1047"/>
      <c r="AK9" s="1047"/>
      <c r="AL9" s="1048"/>
      <c r="AN9" s="58"/>
      <c r="AO9" s="1031" t="s">
        <v>148</v>
      </c>
      <c r="AP9" s="1032"/>
      <c r="AQ9" s="1032"/>
      <c r="AR9" s="1032"/>
      <c r="AS9" s="1033"/>
      <c r="AW9" s="1043" t="s">
        <v>149</v>
      </c>
      <c r="AX9" s="1044"/>
      <c r="AY9" s="1044"/>
      <c r="AZ9" s="1044"/>
      <c r="BA9" s="1045"/>
      <c r="BC9" s="1027" t="s">
        <v>56</v>
      </c>
      <c r="BD9" s="1027"/>
      <c r="BF9" s="1012" t="s">
        <v>104</v>
      </c>
      <c r="BG9" s="1013"/>
      <c r="BH9" s="1013"/>
      <c r="BI9" s="1013"/>
      <c r="BJ9" s="1013"/>
      <c r="BK9" s="1013"/>
      <c r="BL9" s="1013"/>
    </row>
    <row r="10" spans="1:64" ht="24.95" customHeight="1" thickBot="1">
      <c r="A10" s="42"/>
      <c r="B10" s="42"/>
      <c r="C10" s="42"/>
      <c r="D10" s="126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24"/>
      <c r="S10" s="82" t="s">
        <v>50</v>
      </c>
      <c r="T10" s="25" t="s">
        <v>53</v>
      </c>
      <c r="U10" s="26" t="s">
        <v>54</v>
      </c>
      <c r="V10" s="27" t="s">
        <v>147</v>
      </c>
      <c r="W10" s="42"/>
      <c r="X10" s="143"/>
      <c r="Z10" s="275" t="s">
        <v>98</v>
      </c>
      <c r="AA10" s="275" t="s">
        <v>64</v>
      </c>
      <c r="AB10" s="275"/>
      <c r="AC10" s="276" t="s">
        <v>99</v>
      </c>
      <c r="AD10" s="276" t="s">
        <v>100</v>
      </c>
      <c r="AG10" s="279"/>
      <c r="AH10" s="277" t="s">
        <v>98</v>
      </c>
      <c r="AI10" s="277" t="s">
        <v>64</v>
      </c>
      <c r="AJ10" s="277"/>
      <c r="AK10" s="278" t="s">
        <v>99</v>
      </c>
      <c r="AL10" s="278" t="s">
        <v>100</v>
      </c>
      <c r="AM10" s="277"/>
      <c r="AN10" s="277"/>
      <c r="AO10" s="277" t="s">
        <v>98</v>
      </c>
      <c r="AP10" s="277" t="s">
        <v>64</v>
      </c>
      <c r="AQ10" s="277"/>
      <c r="AR10" s="278" t="s">
        <v>99</v>
      </c>
      <c r="AS10" s="278" t="s">
        <v>100</v>
      </c>
      <c r="AT10" s="420"/>
      <c r="AU10" s="420"/>
      <c r="AV10" s="420"/>
      <c r="AW10" s="277" t="s">
        <v>64</v>
      </c>
      <c r="AX10" s="277"/>
      <c r="AY10" s="278" t="s">
        <v>99</v>
      </c>
      <c r="AZ10" s="278" t="s">
        <v>100</v>
      </c>
      <c r="BA10" s="420"/>
      <c r="BB10" s="420"/>
      <c r="BC10" s="420"/>
      <c r="BD10" s="420"/>
    </row>
    <row r="11" spans="1:64" ht="24.95" customHeight="1" thickTop="1" thickBo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34">
        <v>1</v>
      </c>
      <c r="S11" s="29"/>
      <c r="T11" s="184" t="s">
        <v>14</v>
      </c>
      <c r="U11" s="83"/>
      <c r="V11" s="30">
        <v>1</v>
      </c>
      <c r="W11" s="42"/>
      <c r="X11" s="422">
        <v>1</v>
      </c>
      <c r="Y11" s="1069" t="str">
        <f>CONCATENATE(E14,E15)</f>
        <v>32</v>
      </c>
      <c r="Z11" s="979">
        <v>1</v>
      </c>
      <c r="AA11" s="976">
        <v>1</v>
      </c>
      <c r="AB11" s="280" t="s">
        <v>14</v>
      </c>
      <c r="AC11" s="481" t="str">
        <f>IF(ISNA(MATCH($X11,$V$11:$V$17,0)),"",INDEX($T$11:$T$17,MATCH($X11,$V$11:$V$17,0)))</f>
        <v>A</v>
      </c>
      <c r="AD11" s="281">
        <v>1</v>
      </c>
      <c r="AG11" s="1053" t="str">
        <f>+Y11</f>
        <v>32</v>
      </c>
      <c r="AH11" s="979">
        <v>1</v>
      </c>
      <c r="AI11" s="976">
        <v>4</v>
      </c>
      <c r="AJ11" s="283"/>
      <c r="AK11" s="284" t="str">
        <f>IF(AD11=AD12,"résultat",IF(AD11&gt;AD12,AC11,AC12))</f>
        <v>B</v>
      </c>
      <c r="AL11" s="281">
        <v>1</v>
      </c>
      <c r="AN11" s="325"/>
      <c r="AO11" s="325"/>
      <c r="AP11" s="325"/>
      <c r="AQ11" s="325"/>
      <c r="AR11" s="346"/>
      <c r="AS11" s="346"/>
      <c r="AW11" s="419"/>
      <c r="AX11" s="419"/>
      <c r="AY11" s="323"/>
      <c r="AZ11" s="419"/>
      <c r="BA11" s="419"/>
      <c r="BB11" s="419"/>
      <c r="BC11" s="419"/>
      <c r="BD11" s="419"/>
      <c r="BF11" s="141"/>
      <c r="BG11" s="141"/>
      <c r="BH11" s="141"/>
    </row>
    <row r="12" spans="1:64" ht="24.95" customHeight="1" thickTop="1" thickBot="1">
      <c r="A12" s="139"/>
      <c r="B12" s="139"/>
      <c r="C12" s="922" t="s">
        <v>66</v>
      </c>
      <c r="D12" s="923"/>
      <c r="E12" s="206" t="s">
        <v>38</v>
      </c>
      <c r="G12" s="126"/>
      <c r="H12" s="126"/>
      <c r="I12" s="126"/>
      <c r="J12" s="126"/>
      <c r="K12" s="126"/>
      <c r="L12" s="930">
        <f>IF(D14=3,1,IF(D14=4,2,IF(D14=5,2,IF(D14=6,2,IF(D14=7,3,"0")))))</f>
        <v>1</v>
      </c>
      <c r="M12" s="932" t="s">
        <v>150</v>
      </c>
      <c r="N12" s="705"/>
      <c r="O12" s="705"/>
      <c r="P12" s="705"/>
      <c r="Q12" s="705"/>
      <c r="R12" s="35">
        <v>2</v>
      </c>
      <c r="S12" s="31"/>
      <c r="T12" s="185" t="s">
        <v>15</v>
      </c>
      <c r="U12" s="86"/>
      <c r="V12" s="32">
        <v>2</v>
      </c>
      <c r="W12" s="42"/>
      <c r="X12" s="423">
        <v>2</v>
      </c>
      <c r="Y12" s="1070"/>
      <c r="Z12" s="980"/>
      <c r="AA12" s="977"/>
      <c r="AB12" s="285" t="s">
        <v>15</v>
      </c>
      <c r="AC12" s="88" t="str">
        <f>IF(ISNA(MATCH($X12,$V$11:$V$17,0)),"",INDEX($T$11:$T$17,MATCH($X12,$V$11:$V$17,0)))</f>
        <v>B</v>
      </c>
      <c r="AD12" s="287">
        <v>2</v>
      </c>
      <c r="AG12" s="1068"/>
      <c r="AH12" s="980"/>
      <c r="AI12" s="977"/>
      <c r="AJ12" s="288"/>
      <c r="AK12" s="385" t="str">
        <f>IF(AD11=AD12,"résultat",IF(AD13&gt;AD14,AC13,AC14))</f>
        <v>C</v>
      </c>
      <c r="AL12" s="287">
        <v>5</v>
      </c>
      <c r="AN12" s="1053" t="str">
        <f>+Y11</f>
        <v>32</v>
      </c>
      <c r="AO12" s="979">
        <v>1</v>
      </c>
      <c r="AP12" s="1055">
        <v>1</v>
      </c>
      <c r="AQ12" s="468"/>
      <c r="AR12" s="469" t="str">
        <f>IF(AV5+AV6=31,IF(AL11&lt;AL12,AK11,AK12),IF(AV5+AV6=32,IF(AL11=AL12,"résultat",IF(AL11&lt;AL12,AK11,AK12)),IF(AV5+AV6=33," ",IF(AV5+AV6=41," ",IF(AN12+AN10=42," ",IF(AV5+AV6=43," ",IF(AV5+AV6=44," ",IF(AV5+AV6=54," ",IF(AV5+AV6=51,IF(AL11=AL12,"résultat",IF(AL11&gt;AL12,AK11,AK12)),IF(AV5+AV6=52,IF(AL11=AL12,"résultat",IF(AL11&gt;AL12,AK11,AK12)),IF(AV5+AV6=53,IF(AL11=AL12,"résultat",IF(AL11&gt;AL12,AK11,AK12)),IF(AV5+AV6=61," ",IF(AV5+AV6=62," ",IF(AV5+AV6=63," ",IF(AV5+AV6=64," ")))))))))))))))</f>
        <v>B</v>
      </c>
      <c r="AS12" s="470">
        <v>1</v>
      </c>
      <c r="AV12" s="1072" t="str">
        <f>+Y11</f>
        <v>32</v>
      </c>
      <c r="AW12" s="1055">
        <v>2</v>
      </c>
      <c r="AX12" s="474"/>
      <c r="AY12" s="475" t="str">
        <f>IF(AV5+AV6=31,IF(AL11=AL12,"résultat",IF(AL11&gt;AL12,AK11,AK12)),IF(AV5+AV6=32," "))</f>
        <v xml:space="preserve"> </v>
      </c>
      <c r="AZ12" s="476">
        <v>2</v>
      </c>
      <c r="BA12" s="325"/>
      <c r="BB12" s="466">
        <v>1</v>
      </c>
      <c r="BC12" s="1060"/>
      <c r="BD12" s="333" t="str">
        <f>IF(AV5+AV6=31,IF(AL11=AL12,"résultat",IF(AZ12&gt;AZ13,AY12,AY13)),IF(AV5+AV6=32,IF(AL11=AL12,"résultat",IF(AL11&gt;AL12,AK11,AK12))))</f>
        <v>C</v>
      </c>
      <c r="BF12" s="352">
        <v>1</v>
      </c>
      <c r="BG12" s="353"/>
      <c r="BH12" s="1020" t="str">
        <f>IF(AV5+AV6=31,BD12,IF(AV5+AV6=32,BD12," "))</f>
        <v>C</v>
      </c>
      <c r="BI12" s="1021"/>
      <c r="BJ12" s="1021"/>
      <c r="BK12" s="1021"/>
      <c r="BL12" s="1022"/>
    </row>
    <row r="13" spans="1:64" ht="24.95" customHeight="1" thickBot="1">
      <c r="A13" s="42"/>
      <c r="B13" s="42"/>
      <c r="C13" s="42"/>
      <c r="D13" s="42"/>
      <c r="E13" s="208"/>
      <c r="G13" s="126"/>
      <c r="H13" s="126"/>
      <c r="I13" s="126"/>
      <c r="J13" s="126"/>
      <c r="K13" s="126"/>
      <c r="L13" s="931"/>
      <c r="M13" s="933"/>
      <c r="N13" s="705"/>
      <c r="O13" s="705"/>
      <c r="P13" s="705"/>
      <c r="Q13" s="705"/>
      <c r="R13" s="189">
        <v>3</v>
      </c>
      <c r="S13" s="190"/>
      <c r="T13" s="465" t="s">
        <v>49</v>
      </c>
      <c r="U13" s="191"/>
      <c r="V13" s="192">
        <v>3</v>
      </c>
      <c r="W13" s="90"/>
      <c r="X13" s="423">
        <v>3</v>
      </c>
      <c r="Y13" s="1070"/>
      <c r="Z13" s="980"/>
      <c r="AA13" s="978"/>
      <c r="AB13" s="289" t="s">
        <v>49</v>
      </c>
      <c r="AC13" s="89" t="str">
        <f>IF(ISNA(MATCH($X13,$V$11:$V$17,0)),"",INDEX($T$11:$T$17,MATCH($X13,$V$11:$V$17,0)))</f>
        <v>C</v>
      </c>
      <c r="AD13" s="290">
        <v>1</v>
      </c>
      <c r="AG13" s="1068"/>
      <c r="AH13" s="980"/>
      <c r="AI13" s="978"/>
      <c r="AJ13" s="291"/>
      <c r="AK13" s="292" t="str">
        <f>IF(AD11=AD12,"résultat",IF(AD11&lt;AD12,AC11,AC12))</f>
        <v>A</v>
      </c>
      <c r="AL13" s="290">
        <v>1</v>
      </c>
      <c r="AM13" s="384"/>
      <c r="AN13" s="1054"/>
      <c r="AO13" s="981"/>
      <c r="AP13" s="1056"/>
      <c r="AQ13" s="471"/>
      <c r="AR13" s="472" t="str">
        <f>IF(AV5+AV6=31,IF(AL13&gt;AL14,AK13,AK14),IF(AV5+AV6=32,IF(AL13=AL14,"résultat",IF(AL13&gt;AL14,AK13,AK14)),IF(AV5+AV6=33," ",IF(AV5+AV6=41," ",IF(AV5+AV6=42," ",IF(AV5+AV6=43," ",IF(AV5+AV6=44," ",IF(AV5+AV6=51,AJ15,IF(AV5+AV6=52,AJ15,IF(AV5+AV6=53,AJ15,IF(AV5+AV6=54," ",IF(AV5+AV6=61," ",IF(AV5+AV6=62," ",IF(AV5+AV6=63," ",IF(AV5+AV6=64," ")))))))))))))))</f>
        <v>A</v>
      </c>
      <c r="AS13" s="473">
        <v>0</v>
      </c>
      <c r="AV13" s="1073"/>
      <c r="AW13" s="1056"/>
      <c r="AX13" s="477"/>
      <c r="AY13" s="478" t="str">
        <f>IF(AV5+AV6=31,IF(AS12=AS13,"résultat",IF(AS12&gt;AS13,AR12,AR13)),IF(AV5+AV6=32," "))</f>
        <v xml:space="preserve"> </v>
      </c>
      <c r="AZ13" s="479">
        <v>0</v>
      </c>
      <c r="BA13" s="325"/>
      <c r="BB13" s="467">
        <v>2</v>
      </c>
      <c r="BC13" s="994"/>
      <c r="BD13" s="445" t="str">
        <f>IF(AV5+AV6=31,IF(AZ12=AZ13,"résultat",IF(AZ12&lt;AZ13,AY12,AY13)),IF(AV5+AV6=32,IF(AS12=AS13,"résultat",IF(AS12&gt;AS13,AR12,AR13))))</f>
        <v>B</v>
      </c>
      <c r="BF13" s="354">
        <v>2</v>
      </c>
      <c r="BG13" s="353"/>
      <c r="BH13" s="1003" t="str">
        <f>IF(AV5+AV6=31," ",IF(AV5+AV6=32,BD13," "))</f>
        <v>B</v>
      </c>
      <c r="BI13" s="1004"/>
      <c r="BJ13" s="1004"/>
      <c r="BK13" s="1004"/>
      <c r="BL13" s="1005"/>
    </row>
    <row r="14" spans="1:64" ht="24.95" customHeight="1" thickBot="1">
      <c r="A14" s="922" t="s">
        <v>61</v>
      </c>
      <c r="B14" s="924"/>
      <c r="C14" s="923"/>
      <c r="D14" s="196">
        <f>SUM(E14+F14)</f>
        <v>3</v>
      </c>
      <c r="E14" s="266" t="str">
        <f>IF(OR(AND(J8&gt;30,J8&lt;34),IF(J8&gt;60,J8&lt;65)),"3",IF(OR(AND(J8&gt;40,J8&lt;45),AND(J8&gt;70,J8&lt;76)),"4",IF(OR(AND(J8&gt;50,J8&lt;55)),"5","0")))</f>
        <v>3</v>
      </c>
      <c r="G14" s="126"/>
      <c r="H14" s="126"/>
      <c r="I14" s="126"/>
      <c r="J14" s="210"/>
      <c r="K14" s="210"/>
      <c r="L14" s="126"/>
      <c r="M14" s="126"/>
      <c r="N14" s="126"/>
      <c r="O14" s="126"/>
      <c r="P14" s="126"/>
      <c r="Q14" s="126"/>
      <c r="W14" s="90"/>
      <c r="X14" s="480">
        <f>IF(OR(AND(J$8&gt;39,J8&lt;60),AND(J8&gt;69,J8&lt;80)),4,0)</f>
        <v>0</v>
      </c>
      <c r="Y14" s="1071"/>
      <c r="Z14" s="981"/>
      <c r="AA14" s="995"/>
      <c r="AB14" s="482" t="s">
        <v>40</v>
      </c>
      <c r="AC14" s="483" t="str">
        <f>IF(ISNA(MATCH($X14,$V$11:$V$17,0)),"OFFICE",INDEX($T$11:$T$17,MATCH($X14,$V$11:$V$17,0)))</f>
        <v>OFFICE</v>
      </c>
      <c r="AD14" s="473">
        <v>0</v>
      </c>
      <c r="AG14" s="1054"/>
      <c r="AH14" s="981"/>
      <c r="AI14" s="995"/>
      <c r="AJ14" s="484"/>
      <c r="AK14" s="485" t="str">
        <f>IF($AD$13=$AD$14,"résultat",IF($AD$13&lt;$AD$14,$AC$13,$AC$14))</f>
        <v>OFFICE</v>
      </c>
      <c r="AL14" s="473">
        <v>0</v>
      </c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327"/>
      <c r="AY14" s="277" t="s">
        <v>154</v>
      </c>
      <c r="AZ14" s="277"/>
      <c r="BA14" s="277"/>
      <c r="BB14" s="466">
        <v>3</v>
      </c>
      <c r="BC14" s="1061"/>
      <c r="BD14" s="395" t="str">
        <f>IF(AV5+AV6=32,IF(AZ12=AZ13,"résultat",IF(AZ12&lt;AZ13,AY12,AY13)),IF(AV5+AV6=31,IF(AS12=AS13,"résultat",IF(AS12&lt;AS13,AR12,AR13))))</f>
        <v xml:space="preserve"> </v>
      </c>
      <c r="BF14" s="421">
        <v>3</v>
      </c>
      <c r="BG14" s="353"/>
      <c r="BH14" s="1006" t="str">
        <f>IF(AV5+AV6=33,BD14," ")</f>
        <v xml:space="preserve"> </v>
      </c>
      <c r="BI14" s="1007"/>
      <c r="BJ14" s="1007"/>
      <c r="BK14" s="1007"/>
      <c r="BL14" s="1008"/>
    </row>
    <row r="15" spans="1:64" ht="24.95" customHeight="1" thickBot="1">
      <c r="A15" s="922" t="s">
        <v>73</v>
      </c>
      <c r="B15" s="924"/>
      <c r="C15" s="923"/>
      <c r="D15" s="197">
        <f>SUM(E15+F15)</f>
        <v>2</v>
      </c>
      <c r="E15" s="268" t="str">
        <f>IF(OR(AND(J8&gt;30,J8&lt;32),AND(J8&gt;40,J8&lt;42),AND(J8&gt;50,J8&lt;52)),"1",IF(OR(AND(J8&gt;31,J8&lt;33),AND(J8&gt;41,J8&lt;43),AND(J8&gt;70,J8&lt;75),AND(J8&gt;60,J8&lt;65),AND(J8&gt;50,J8&lt;53)),"2",IF(OR(AND(J8&gt;32,J8&lt;34),AND(J8&gt;42,J8&lt;44),AND(J8&gt;52,J8&lt;54),AND(J8&gt;74,J8&lt;76)),"3",IF(OR(AND(J8&gt;43,J8&lt;45),AND(J8&gt;53,J8&lt;55)),4,"0"))))</f>
        <v>2</v>
      </c>
      <c r="G15" s="126"/>
      <c r="H15" s="126"/>
      <c r="I15" s="126"/>
      <c r="J15" s="211"/>
      <c r="K15" s="211"/>
      <c r="L15" s="126"/>
      <c r="M15" s="126"/>
      <c r="N15" s="126"/>
      <c r="O15" s="126"/>
      <c r="P15" s="126"/>
      <c r="Q15" s="126"/>
      <c r="W15" s="90"/>
    </row>
    <row r="16" spans="1:64" ht="24.95" customHeight="1">
      <c r="A16" s="110"/>
      <c r="B16" s="110"/>
      <c r="C16" s="155"/>
      <c r="D16" s="156"/>
      <c r="E16" s="139"/>
      <c r="F16" s="42"/>
      <c r="G16" s="42"/>
      <c r="H16" s="157"/>
      <c r="I16" s="157"/>
      <c r="J16" s="210"/>
      <c r="K16" s="210"/>
      <c r="L16" s="157"/>
      <c r="M16" s="157"/>
      <c r="N16" s="157"/>
      <c r="O16" s="157"/>
      <c r="P16" s="157"/>
      <c r="Q16" s="157"/>
      <c r="W16" s="90"/>
      <c r="AL16" s="356"/>
    </row>
    <row r="17" spans="1:51" ht="24.95" customHeight="1">
      <c r="A17" s="42"/>
      <c r="B17" s="921" t="s">
        <v>84</v>
      </c>
      <c r="C17" s="921"/>
      <c r="D17" s="92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W17" s="90"/>
      <c r="AL17" s="356"/>
    </row>
    <row r="18" spans="1:51" ht="24.95" customHeight="1">
      <c r="A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W18" s="90"/>
      <c r="AL18" s="356"/>
    </row>
    <row r="19" spans="1:51" ht="15.75">
      <c r="A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W19" s="90"/>
      <c r="AL19" s="356"/>
    </row>
    <row r="20" spans="1:51" ht="15.75">
      <c r="A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W20" s="90"/>
      <c r="AL20" s="356"/>
    </row>
    <row r="21" spans="1:51" ht="15.75">
      <c r="A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S21" s="90"/>
      <c r="W21" s="90"/>
      <c r="AL21" s="356"/>
    </row>
    <row r="22" spans="1:51" ht="15.75">
      <c r="A22" s="42"/>
      <c r="F22" s="42"/>
      <c r="G22" s="42"/>
      <c r="H22" s="42"/>
      <c r="I22" s="42"/>
      <c r="J22" s="42"/>
      <c r="K22" s="42"/>
      <c r="L22" s="42"/>
      <c r="M22" s="42"/>
      <c r="S22" s="90"/>
      <c r="AH22" s="356"/>
    </row>
    <row r="23" spans="1:51" ht="15.75">
      <c r="A23" s="42"/>
      <c r="F23" s="42"/>
      <c r="G23" s="42"/>
      <c r="H23" s="42"/>
      <c r="I23" s="42"/>
      <c r="J23" s="42"/>
      <c r="K23" s="42"/>
      <c r="L23" s="42"/>
      <c r="M23" s="42"/>
      <c r="R23" s="126"/>
      <c r="S23" s="90"/>
      <c r="AH23" s="356"/>
    </row>
    <row r="24" spans="1:51" ht="26.25">
      <c r="A24" s="194"/>
      <c r="B24" s="194"/>
      <c r="C24" s="194"/>
      <c r="D24" s="194"/>
      <c r="E24" s="194"/>
      <c r="F24" s="194"/>
      <c r="G24" s="42"/>
      <c r="H24" s="42"/>
      <c r="I24" s="42"/>
      <c r="J24" s="42"/>
      <c r="K24" s="42"/>
      <c r="L24" s="42"/>
      <c r="M24" s="42"/>
      <c r="N24" s="126"/>
      <c r="O24" s="126"/>
      <c r="P24" s="126"/>
      <c r="Q24" s="126"/>
      <c r="R24" s="148"/>
      <c r="S24" s="148"/>
      <c r="T24" s="148"/>
      <c r="Y24" s="489" t="b">
        <f>IF(AX5+AX6=32,IF(AL13=AL14,"résultat",IF(AL13&gt;AL14,AK13,AK14)),IF(AX5+AX6=33,IF(AL13=AL14,"résultat",IF(AL13&gt;AL14,AK13,AK14)),IF(AX5+AX6=41,IF(AL13=AL14,"résultat",IF(AL13&gt;AL14,AK13,AK14)))))</f>
        <v>0</v>
      </c>
    </row>
    <row r="25" spans="1:51" ht="32.25" customHeight="1">
      <c r="A25" s="752" t="s">
        <v>201</v>
      </c>
      <c r="B25" s="752"/>
      <c r="C25" s="752"/>
      <c r="D25" s="752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2"/>
      <c r="P25" s="148"/>
      <c r="Q25" s="148"/>
      <c r="R25" s="492"/>
      <c r="S25" s="90"/>
      <c r="T25" s="492"/>
      <c r="U25" s="396"/>
      <c r="V25" s="397"/>
      <c r="AI25" s="457"/>
    </row>
    <row r="26" spans="1:51" ht="23.25">
      <c r="A26" s="714" t="s">
        <v>202</v>
      </c>
      <c r="B26" s="714"/>
      <c r="C26" s="714"/>
      <c r="D26" s="714"/>
      <c r="E26" s="714"/>
      <c r="F26" s="714"/>
      <c r="G26" s="715"/>
      <c r="H26" s="715"/>
      <c r="I26" s="715"/>
      <c r="J26" s="715"/>
      <c r="K26" s="715"/>
      <c r="L26" s="715"/>
      <c r="M26" s="715"/>
      <c r="N26" s="753"/>
      <c r="O26" s="753"/>
      <c r="P26" s="492"/>
      <c r="Q26" s="492"/>
      <c r="R26" s="493"/>
      <c r="S26" s="90"/>
      <c r="T26" s="493"/>
      <c r="U26" s="458"/>
      <c r="V26" s="458"/>
      <c r="W26" s="396"/>
      <c r="X26" s="396"/>
      <c r="Y26" s="396"/>
      <c r="Z26" s="396"/>
      <c r="AB26" s="396"/>
      <c r="AC26" s="396"/>
      <c r="AD26" s="396"/>
      <c r="AE26" s="396"/>
      <c r="AF26" s="396"/>
      <c r="AG26" s="396"/>
      <c r="AH26" s="396"/>
      <c r="AI26" s="350"/>
      <c r="AP26" s="457"/>
      <c r="AQ26" s="457"/>
      <c r="AR26" s="457"/>
      <c r="AS26" s="457"/>
      <c r="AT26" s="457"/>
      <c r="AU26" s="701"/>
      <c r="AV26" s="457"/>
      <c r="AW26" s="457"/>
    </row>
    <row r="27" spans="1:51" ht="24" customHeight="1">
      <c r="A27" s="714" t="s">
        <v>192</v>
      </c>
      <c r="B27" s="714"/>
      <c r="C27" s="714"/>
      <c r="D27" s="714"/>
      <c r="E27" s="714"/>
      <c r="F27" s="714"/>
      <c r="G27" s="715"/>
      <c r="H27" s="715"/>
      <c r="I27" s="715"/>
      <c r="J27" s="715"/>
      <c r="K27" s="715"/>
      <c r="L27" s="715"/>
      <c r="M27" s="715"/>
      <c r="N27" s="716"/>
      <c r="O27" s="716"/>
      <c r="P27" s="493"/>
      <c r="Q27" s="493"/>
      <c r="R27" s="492"/>
      <c r="S27" s="90"/>
      <c r="T27" s="492"/>
      <c r="U27" s="375"/>
      <c r="V27" s="350"/>
      <c r="W27" s="458"/>
      <c r="X27" s="458"/>
      <c r="Y27" s="126"/>
      <c r="Z27" s="126"/>
      <c r="AB27" s="126"/>
      <c r="AC27" s="456"/>
      <c r="AD27" s="457"/>
      <c r="AE27" s="457"/>
      <c r="AF27" s="701"/>
      <c r="AG27" s="457"/>
      <c r="AH27" s="457"/>
      <c r="AI27" s="350"/>
      <c r="AJ27" s="457"/>
      <c r="AK27" s="457"/>
      <c r="AL27" s="457"/>
      <c r="AM27" s="457"/>
      <c r="AN27" s="457"/>
      <c r="AP27" s="350"/>
      <c r="AW27" s="350"/>
      <c r="AX27" s="457"/>
      <c r="AY27" s="457"/>
    </row>
    <row r="28" spans="1:51" ht="23.25">
      <c r="A28" s="752"/>
      <c r="B28" s="715"/>
      <c r="C28" s="715"/>
      <c r="D28" s="715"/>
      <c r="E28" s="715"/>
      <c r="F28" s="715"/>
      <c r="G28" s="715"/>
      <c r="H28" s="715"/>
      <c r="I28" s="715"/>
      <c r="J28" s="715"/>
      <c r="K28" s="715"/>
      <c r="L28" s="715"/>
      <c r="M28" s="715"/>
      <c r="N28" s="753"/>
      <c r="O28" s="753"/>
      <c r="P28" s="492"/>
      <c r="Q28" s="492"/>
      <c r="R28" s="126"/>
      <c r="T28" s="126"/>
      <c r="U28" s="349"/>
      <c r="V28" s="350"/>
      <c r="W28" s="350"/>
      <c r="X28" s="350"/>
      <c r="Y28" s="350"/>
      <c r="Z28" s="350"/>
      <c r="AB28" s="350"/>
      <c r="AC28" s="350"/>
      <c r="AD28" s="350"/>
      <c r="AE28" s="350"/>
      <c r="AF28" s="350"/>
      <c r="AG28" s="350"/>
      <c r="AH28" s="350"/>
      <c r="AJ28" s="350"/>
      <c r="AK28" s="350"/>
      <c r="AL28" s="350"/>
      <c r="AM28" s="350"/>
      <c r="AN28" s="350"/>
      <c r="AP28" s="350"/>
      <c r="AW28" s="350"/>
      <c r="AX28" s="350"/>
      <c r="AY28" s="350"/>
    </row>
    <row r="29" spans="1:51" ht="26.25">
      <c r="N29" s="126"/>
      <c r="O29" s="126"/>
      <c r="P29" s="126"/>
      <c r="Q29" s="126"/>
      <c r="R29" s="126"/>
      <c r="T29" s="126"/>
      <c r="U29" s="349"/>
      <c r="V29" s="350"/>
      <c r="W29" s="350"/>
      <c r="X29" s="350"/>
      <c r="Y29" s="350"/>
      <c r="Z29" s="350"/>
      <c r="AB29" s="350"/>
      <c r="AC29" s="350"/>
      <c r="AD29" s="350"/>
      <c r="AE29" s="350"/>
      <c r="AF29" s="350"/>
      <c r="AG29" s="350"/>
      <c r="AH29" s="350"/>
      <c r="AJ29" s="350"/>
      <c r="AK29" s="350" t="s">
        <v>16</v>
      </c>
      <c r="AL29" s="350"/>
      <c r="AM29" s="453"/>
      <c r="AN29" s="350"/>
      <c r="AP29" s="374"/>
      <c r="AQ29" s="374"/>
      <c r="AR29" s="374"/>
      <c r="AS29" s="374"/>
      <c r="AT29" s="374"/>
      <c r="AU29" s="374"/>
      <c r="AV29" s="374"/>
      <c r="AW29" s="374"/>
      <c r="AX29" s="350"/>
      <c r="AY29" s="350"/>
    </row>
    <row r="30" spans="1:51" ht="15.75">
      <c r="N30" s="126"/>
      <c r="O30" s="126"/>
      <c r="P30" s="126"/>
      <c r="Q30" s="126"/>
      <c r="U30" s="751"/>
      <c r="W30" s="350"/>
      <c r="X30" s="350"/>
      <c r="Y30" s="349"/>
      <c r="Z30" s="349"/>
      <c r="AN30" s="374"/>
      <c r="AX30" s="374"/>
      <c r="AY30" s="374"/>
    </row>
  </sheetData>
  <sheetProtection password="CFC3" sheet="1" objects="1" scenarios="1" formatCells="0" formatColumns="0" formatRows="0" insertColumns="0" insertRows="0" insertHyperlinks="0" deleteColumns="0" deleteRows="0" sort="0"/>
  <mergeCells count="54">
    <mergeCell ref="A1:F1"/>
    <mergeCell ref="G1:M1"/>
    <mergeCell ref="AH3:AI3"/>
    <mergeCell ref="B3:C3"/>
    <mergeCell ref="D3:E3"/>
    <mergeCell ref="G3:H3"/>
    <mergeCell ref="J3:M3"/>
    <mergeCell ref="AH1:AM1"/>
    <mergeCell ref="AJ3:AK3"/>
    <mergeCell ref="E5:F5"/>
    <mergeCell ref="AP5:AR5"/>
    <mergeCell ref="AP6:AP7"/>
    <mergeCell ref="AQ6:AR7"/>
    <mergeCell ref="G5:I5"/>
    <mergeCell ref="AP3:AQ3"/>
    <mergeCell ref="B17:D17"/>
    <mergeCell ref="BH14:BL14"/>
    <mergeCell ref="AG11:AG14"/>
    <mergeCell ref="AH11:AH14"/>
    <mergeCell ref="Y11:Y14"/>
    <mergeCell ref="A15:C15"/>
    <mergeCell ref="A14:C14"/>
    <mergeCell ref="C12:D12"/>
    <mergeCell ref="L12:L13"/>
    <mergeCell ref="M12:M13"/>
    <mergeCell ref="AI11:AI12"/>
    <mergeCell ref="AI13:AI14"/>
    <mergeCell ref="AA13:AA14"/>
    <mergeCell ref="AV12:AV13"/>
    <mergeCell ref="AW12:AW13"/>
    <mergeCell ref="AA11:AA12"/>
    <mergeCell ref="AO1:AS1"/>
    <mergeCell ref="BC12:BC14"/>
    <mergeCell ref="AM3:AO3"/>
    <mergeCell ref="B5:D5"/>
    <mergeCell ref="Z11:Z14"/>
    <mergeCell ref="A8:F8"/>
    <mergeCell ref="G8:H8"/>
    <mergeCell ref="J8:K9"/>
    <mergeCell ref="A9:F9"/>
    <mergeCell ref="G9:H9"/>
    <mergeCell ref="J7:K7"/>
    <mergeCell ref="Z9:AD9"/>
    <mergeCell ref="AH9:AL9"/>
    <mergeCell ref="AO9:AS9"/>
    <mergeCell ref="AW9:BA9"/>
    <mergeCell ref="BC9:BD9"/>
    <mergeCell ref="BF4:BL4"/>
    <mergeCell ref="AN12:AN13"/>
    <mergeCell ref="AO12:AO13"/>
    <mergeCell ref="AP12:AP13"/>
    <mergeCell ref="BH12:BL12"/>
    <mergeCell ref="BH13:BL13"/>
    <mergeCell ref="BF9:BL9"/>
  </mergeCells>
  <conditionalFormatting sqref="AY12:AY13 AK11:AK14 AR12:AR13">
    <cfRule type="containsText" dxfId="769" priority="73" operator="containsText" text="résultat">
      <formula>NOT(ISERROR(SEARCH("résultat",AK11)))</formula>
    </cfRule>
    <cfRule type="containsText" dxfId="768" priority="74" operator="containsText" text="OFFICE">
      <formula>NOT(ISERROR(SEARCH("OFFICE",AK11)))</formula>
    </cfRule>
  </conditionalFormatting>
  <conditionalFormatting sqref="AD13:AD14">
    <cfRule type="iconSet" priority="72">
      <iconSet iconSet="3Signs">
        <cfvo type="percent" val="0"/>
        <cfvo type="percent" val="12"/>
        <cfvo type="percent" val="13" gte="0"/>
      </iconSet>
    </cfRule>
  </conditionalFormatting>
  <conditionalFormatting sqref="AD11:AD12">
    <cfRule type="iconSet" priority="71">
      <iconSet iconSet="3Signs">
        <cfvo type="percent" val="0"/>
        <cfvo type="percent" val="12"/>
        <cfvo type="percent" val="13" gte="0"/>
      </iconSet>
    </cfRule>
  </conditionalFormatting>
  <conditionalFormatting sqref="AL11:AL12">
    <cfRule type="iconSet" priority="70">
      <iconSet iconSet="3Signs">
        <cfvo type="percent" val="0"/>
        <cfvo type="percent" val="12"/>
        <cfvo type="percent" val="13" gte="0"/>
      </iconSet>
    </cfRule>
  </conditionalFormatting>
  <conditionalFormatting sqref="AL13:AL14">
    <cfRule type="iconSet" priority="69">
      <iconSet iconSet="3Signs">
        <cfvo type="percent" val="0"/>
        <cfvo type="percent" val="12"/>
        <cfvo type="percent" val="13" gte="0"/>
      </iconSet>
    </cfRule>
  </conditionalFormatting>
  <conditionalFormatting sqref="AY12:AY13 AR12:AR13">
    <cfRule type="containsText" dxfId="767" priority="64" operator="containsText" text="résultat">
      <formula>NOT(ISERROR(SEARCH("résultat",AR12)))</formula>
    </cfRule>
  </conditionalFormatting>
  <conditionalFormatting sqref="BD12:BD14">
    <cfRule type="expression" dxfId="766" priority="63" stopIfTrue="1">
      <formula>(OR(AY1048572="1",AY1048572="2",AY1048572="3"))</formula>
    </cfRule>
  </conditionalFormatting>
  <conditionalFormatting sqref="BD13:BD14">
    <cfRule type="expression" dxfId="765" priority="62">
      <formula>(OR(AY1048572="2",AY1048572="3"))</formula>
    </cfRule>
  </conditionalFormatting>
  <conditionalFormatting sqref="BF13">
    <cfRule type="expression" dxfId="764" priority="40">
      <formula>(OR(#REF!=9,#REF!=8,#REF!=7,#REF!=6,#REF!=5,#REF!=4,#REF!=3,#REF!=2))</formula>
    </cfRule>
  </conditionalFormatting>
  <conditionalFormatting sqref="BF14">
    <cfRule type="expression" dxfId="763" priority="39">
      <formula>(OR(#REF!=9,#REF!=8,#REF!=7,#REF!=6,#REF!=5,#REF!=4,#REF!=3))</formula>
    </cfRule>
  </conditionalFormatting>
  <conditionalFormatting sqref="BF12">
    <cfRule type="expression" dxfId="762" priority="36">
      <formula>(OR(BI5=9,BI5=8,BI5=7,BI5=6,BI5=5,BI5=4,BI5=3,BI5=2,BI5=1))</formula>
    </cfRule>
  </conditionalFormatting>
  <conditionalFormatting sqref="BF13">
    <cfRule type="expression" dxfId="761" priority="35">
      <formula>(OR(#REF!=9,#REF!=8,#REF!=7,#REF!=6,#REF!=5,#REF!=4,#REF!=3,#REF!=2))</formula>
    </cfRule>
  </conditionalFormatting>
  <conditionalFormatting sqref="BF14">
    <cfRule type="expression" dxfId="760" priority="34">
      <formula>(OR(#REF!=9,#REF!=8,#REF!=7,#REF!=6,#REF!=5,#REF!=4,#REF!=3))</formula>
    </cfRule>
  </conditionalFormatting>
  <conditionalFormatting sqref="AS12:AS13">
    <cfRule type="iconSet" priority="17">
      <iconSet iconSet="3Signs">
        <cfvo type="percent" val="0"/>
        <cfvo type="percent" val="12"/>
        <cfvo type="percent" val="13" gte="0"/>
      </iconSet>
    </cfRule>
  </conditionalFormatting>
  <conditionalFormatting sqref="X14">
    <cfRule type="cellIs" dxfId="759" priority="15" operator="equal">
      <formula>4</formula>
    </cfRule>
  </conditionalFormatting>
  <conditionalFormatting sqref="AC11:AC14">
    <cfRule type="containsText" dxfId="758" priority="7" operator="containsText" text="OFFICE">
      <formula>NOT(ISERROR(SEARCH("OFFICE",AC11)))</formula>
    </cfRule>
  </conditionalFormatting>
  <conditionalFormatting sqref="AZ12:AZ13">
    <cfRule type="iconSet" priority="6">
      <iconSet iconSet="3Signs">
        <cfvo type="percent" val="0"/>
        <cfvo type="percent" val="12"/>
        <cfvo type="percent" val="13" gte="0"/>
      </iconSet>
    </cfRule>
  </conditionalFormatting>
  <conditionalFormatting sqref="AK11">
    <cfRule type="expression" dxfId="757" priority="4">
      <formula>OR($AG$11=51)</formula>
    </cfRule>
  </conditionalFormatting>
  <conditionalFormatting sqref="AL16:AL21 AH22:AH23">
    <cfRule type="iconSet" priority="82">
      <iconSet iconSet="3Signs">
        <cfvo type="percent" val="0"/>
        <cfvo type="percent" val="12"/>
        <cfvo type="percent" val="13" gte="0"/>
      </iconSet>
    </cfRule>
  </conditionalFormatting>
  <conditionalFormatting sqref="BH13:BL13">
    <cfRule type="expression" dxfId="756" priority="106">
      <formula>OR($BI$5=2)</formula>
    </cfRule>
  </conditionalFormatting>
  <conditionalFormatting sqref="BH12">
    <cfRule type="expression" dxfId="755" priority="107">
      <formula>(OR($BI$5+$BI$6=9,$BI$5+$BI$6=8,$BI$5+$BI$6=7,$BI$5+$BI$6=6,$BI$5+$BI$6=5,$BI$5+$BI$6=4,$BI$5+$BI$6=3,$BI$5+$BI$6=2,$BI$5+$BI$6=1))</formula>
    </cfRule>
  </conditionalFormatting>
  <conditionalFormatting sqref="BH13">
    <cfRule type="expression" dxfId="754" priority="108">
      <formula>(OR($BI$5+$BI$6=9,$BI$5+$BI$6=8,$BI$5+$BI$6=7,$BI$5+$BI$6=6,$BI$5+$BI$6=5,$BI$5+$BI$6=4,$BI$5+$BI$6=3,$BI$5+$BI$6=2))</formula>
    </cfRule>
  </conditionalFormatting>
  <conditionalFormatting sqref="BH14">
    <cfRule type="expression" dxfId="753" priority="109">
      <formula>-(OR($BI$5+$BI$6=9,$BI$5+$BI$6=8,$BI$5+$BI$6=7,$BI$5+$BI$6=6,$BI$5+$BI$6=5,$BI$5+$BI$6=4,$BI$5+$BI$6=3))</formula>
    </cfRule>
  </conditionalFormatting>
  <dataValidations count="3">
    <dataValidation type="list" allowBlank="1" showInputMessage="1" showErrorMessage="1" sqref="J3:M3">
      <formula1>INDIRECT($G$3)</formula1>
    </dataValidation>
    <dataValidation type="list" allowBlank="1" showInputMessage="1" showErrorMessage="1" sqref="G5">
      <formula1>INDIRECT($E$5)</formula1>
    </dataValidation>
    <dataValidation type="list" allowBlank="1" showInputMessage="1" showErrorMessage="1" sqref="E5:F5">
      <formula1>Catégorie</formula1>
    </dataValidation>
  </dataValidations>
  <pageMargins left="0.19" right="0.2" top="0.42" bottom="0.59" header="0.22" footer="0.31496062992125984"/>
  <pageSetup paperSize="9" orientation="landscape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30"/>
  <sheetViews>
    <sheetView view="pageBreakPreview" topLeftCell="A7" zoomScale="80" zoomScaleNormal="80" zoomScaleSheetLayoutView="80" workbookViewId="0">
      <selection activeCell="K29" sqref="K29"/>
    </sheetView>
  </sheetViews>
  <sheetFormatPr baseColWidth="10" defaultRowHeight="15"/>
  <cols>
    <col min="1" max="1" width="10.28515625" customWidth="1"/>
    <col min="2" max="2" width="6.140625" customWidth="1"/>
    <col min="3" max="3" width="6.85546875" customWidth="1"/>
    <col min="4" max="4" width="6.42578125" customWidth="1"/>
    <col min="5" max="5" width="9.5703125" customWidth="1"/>
    <col min="6" max="6" width="9.28515625" customWidth="1"/>
    <col min="7" max="7" width="7.28515625" customWidth="1"/>
    <col min="8" max="8" width="5.28515625" customWidth="1"/>
    <col min="9" max="9" width="10.28515625" customWidth="1"/>
    <col min="11" max="11" width="9.5703125" customWidth="1"/>
    <col min="12" max="12" width="11.140625" customWidth="1"/>
    <col min="13" max="14" width="6.85546875" customWidth="1"/>
    <col min="15" max="15" width="21.28515625" customWidth="1"/>
    <col min="16" max="16" width="2.5703125" customWidth="1"/>
    <col min="17" max="17" width="6" customWidth="1"/>
    <col min="18" max="18" width="5.85546875" customWidth="1"/>
    <col min="19" max="19" width="24.7109375" customWidth="1"/>
    <col min="20" max="20" width="20.42578125" customWidth="1"/>
    <col min="22" max="22" width="3.7109375" customWidth="1"/>
    <col min="23" max="23" width="5.85546875" customWidth="1"/>
    <col min="24" max="24" width="8.140625" hidden="1" customWidth="1"/>
    <col min="25" max="25" width="8.140625" customWidth="1"/>
    <col min="26" max="26" width="7.5703125" customWidth="1"/>
    <col min="27" max="27" width="6.140625" customWidth="1"/>
    <col min="28" max="28" width="26.5703125" customWidth="1"/>
    <col min="29" max="29" width="7.5703125" customWidth="1"/>
    <col min="30" max="30" width="4.7109375" customWidth="1"/>
    <col min="31" max="31" width="9.140625" hidden="1" customWidth="1"/>
    <col min="32" max="32" width="4.42578125" customWidth="1"/>
    <col min="33" max="33" width="5" customWidth="1"/>
    <col min="34" max="34" width="9.5703125" customWidth="1"/>
    <col min="35" max="35" width="6.140625" customWidth="1"/>
    <col min="36" max="36" width="7.5703125" customWidth="1"/>
    <col min="37" max="37" width="28.7109375" customWidth="1"/>
    <col min="38" max="38" width="10.42578125" customWidth="1"/>
    <col min="39" max="39" width="6" customWidth="1"/>
    <col min="40" max="40" width="7.28515625" customWidth="1"/>
    <col min="41" max="41" width="6.85546875" customWidth="1"/>
    <col min="42" max="42" width="4.7109375" customWidth="1"/>
    <col min="43" max="43" width="27" customWidth="1"/>
    <col min="44" max="44" width="10" customWidth="1"/>
    <col min="45" max="46" width="5" customWidth="1"/>
    <col min="47" max="47" width="7.5703125" customWidth="1"/>
    <col min="48" max="48" width="9.5703125" customWidth="1"/>
    <col min="49" max="49" width="31.42578125" customWidth="1"/>
    <col min="50" max="50" width="7" customWidth="1"/>
    <col min="51" max="51" width="11.140625" customWidth="1"/>
    <col min="52" max="52" width="7.7109375" customWidth="1"/>
    <col min="53" max="53" width="12.5703125" customWidth="1"/>
    <col min="54" max="54" width="9.28515625" customWidth="1"/>
    <col min="55" max="55" width="12.5703125" customWidth="1"/>
    <col min="56" max="56" width="10" customWidth="1"/>
    <col min="57" max="57" width="9.5703125" customWidth="1"/>
    <col min="58" max="58" width="9" customWidth="1"/>
    <col min="59" max="59" width="8" customWidth="1"/>
    <col min="63" max="63" width="8.140625" customWidth="1"/>
    <col min="64" max="64" width="9" customWidth="1"/>
    <col min="65" max="65" width="10.5703125" customWidth="1"/>
    <col min="68" max="68" width="10" customWidth="1"/>
    <col min="69" max="69" width="5.5703125" customWidth="1"/>
    <col min="70" max="70" width="9.42578125" customWidth="1"/>
    <col min="71" max="71" width="8.140625" customWidth="1"/>
    <col min="72" max="72" width="9.42578125" customWidth="1"/>
    <col min="73" max="73" width="9" customWidth="1"/>
    <col min="74" max="74" width="9.85546875" customWidth="1"/>
  </cols>
  <sheetData>
    <row r="1" spans="1:71" ht="28.5" thickBot="1">
      <c r="B1" s="81"/>
      <c r="C1" s="81"/>
      <c r="D1" s="1088" t="s">
        <v>72</v>
      </c>
      <c r="E1" s="1089"/>
      <c r="F1" s="1089"/>
      <c r="G1" s="1090"/>
      <c r="H1" s="81"/>
      <c r="I1" s="1085" t="s">
        <v>95</v>
      </c>
      <c r="J1" s="1086"/>
      <c r="K1" s="1086"/>
      <c r="L1" s="1086"/>
      <c r="M1" s="1087"/>
      <c r="N1" s="81"/>
      <c r="O1" s="135"/>
      <c r="P1" s="135"/>
      <c r="Q1" s="136"/>
      <c r="R1" s="42"/>
      <c r="S1" s="137"/>
      <c r="T1" s="42"/>
      <c r="U1" s="42"/>
      <c r="V1" s="138"/>
      <c r="AJ1" s="1074" t="s">
        <v>72</v>
      </c>
      <c r="AK1" s="1075"/>
      <c r="AL1" s="1076"/>
      <c r="AN1" s="1085" t="s">
        <v>95</v>
      </c>
      <c r="AO1" s="1086"/>
      <c r="AP1" s="1086"/>
      <c r="AQ1" s="1087"/>
      <c r="BH1" s="311"/>
    </row>
    <row r="2" spans="1:71" ht="24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40"/>
      <c r="S2" s="42"/>
      <c r="T2" s="42"/>
      <c r="U2" s="42"/>
      <c r="V2" s="42"/>
      <c r="W2" s="143"/>
      <c r="Y2" s="58"/>
      <c r="Z2" s="58"/>
      <c r="AA2" s="58"/>
      <c r="AB2" s="58"/>
      <c r="AC2" s="58"/>
      <c r="AD2" s="269"/>
      <c r="AE2" s="58"/>
      <c r="AG2" s="58"/>
      <c r="AH2" s="58"/>
      <c r="AI2" s="58"/>
      <c r="AJ2" s="58"/>
      <c r="AK2" s="58"/>
      <c r="AL2" s="58"/>
      <c r="AM2" s="58"/>
      <c r="AN2" s="58"/>
      <c r="AO2" s="58"/>
      <c r="AP2" s="270"/>
      <c r="AQ2" s="58"/>
      <c r="AR2" s="58"/>
      <c r="BB2" s="718">
        <f>+AM6</f>
        <v>41</v>
      </c>
      <c r="BI2" s="311"/>
    </row>
    <row r="3" spans="1:71" ht="28.5" thickBot="1">
      <c r="A3" s="142" t="s">
        <v>80</v>
      </c>
      <c r="B3" s="947">
        <f ca="1">TODAY()</f>
        <v>44239</v>
      </c>
      <c r="C3" s="948"/>
      <c r="D3" s="945">
        <f ca="1">YEAR(NOW())</f>
        <v>2021</v>
      </c>
      <c r="E3" s="946"/>
      <c r="F3" s="81"/>
      <c r="G3" s="941" t="s">
        <v>145</v>
      </c>
      <c r="H3" s="941"/>
      <c r="I3" s="81"/>
      <c r="J3" s="925" t="s">
        <v>141</v>
      </c>
      <c r="K3" s="926"/>
      <c r="L3" s="926"/>
      <c r="M3" s="927"/>
      <c r="N3" s="707"/>
      <c r="O3" s="707"/>
      <c r="P3" s="707"/>
      <c r="Q3" s="42"/>
      <c r="R3" s="140"/>
      <c r="S3" s="42"/>
      <c r="T3" s="42"/>
      <c r="U3" s="42"/>
      <c r="V3" s="42"/>
      <c r="W3" s="143"/>
      <c r="Y3" s="269"/>
      <c r="AH3" s="147" t="s">
        <v>80</v>
      </c>
      <c r="AI3" s="1080">
        <f ca="1">TODAY()</f>
        <v>44239</v>
      </c>
      <c r="AJ3" s="1081"/>
      <c r="AK3" s="687">
        <f ca="1">YEAR(NOW())</f>
        <v>2021</v>
      </c>
      <c r="AL3" s="688"/>
      <c r="AQ3" s="706" t="str">
        <f>+J3</f>
        <v>Quadrette</v>
      </c>
      <c r="AR3" s="58"/>
      <c r="BB3" s="734"/>
      <c r="BC3" s="334"/>
      <c r="BD3" s="334"/>
      <c r="BE3" s="334"/>
      <c r="BI3" s="311"/>
    </row>
    <row r="4" spans="1:71" ht="19.5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40"/>
      <c r="S4" s="42"/>
      <c r="T4" s="42"/>
      <c r="U4" s="42"/>
      <c r="V4" s="42"/>
      <c r="W4" s="143"/>
      <c r="Y4" s="58"/>
      <c r="Z4" s="58"/>
      <c r="AA4" s="58"/>
      <c r="AB4" s="58"/>
      <c r="AC4" s="58"/>
      <c r="AD4" s="269"/>
      <c r="AE4" s="58"/>
      <c r="AG4" s="58"/>
      <c r="AH4" s="58"/>
      <c r="AI4" s="58"/>
      <c r="AJ4" s="58"/>
      <c r="AK4" s="58"/>
      <c r="AL4" s="58"/>
      <c r="AM4" s="270"/>
      <c r="AN4" s="58"/>
      <c r="AO4" s="58"/>
      <c r="AY4" s="270"/>
      <c r="AZ4" s="270"/>
      <c r="BG4" s="311"/>
    </row>
    <row r="5" spans="1:71" ht="27" thickBot="1">
      <c r="A5" s="147"/>
      <c r="B5" s="148"/>
      <c r="C5" s="148"/>
      <c r="D5" s="148"/>
      <c r="E5" s="918" t="s">
        <v>123</v>
      </c>
      <c r="F5" s="919"/>
      <c r="H5" s="918" t="s">
        <v>93</v>
      </c>
      <c r="I5" s="919"/>
      <c r="K5" s="151"/>
      <c r="L5" s="151"/>
      <c r="M5" s="151"/>
      <c r="N5" s="151"/>
      <c r="O5" s="151"/>
      <c r="P5" s="151"/>
      <c r="Q5" s="42"/>
      <c r="R5" s="140"/>
      <c r="S5" s="42"/>
      <c r="T5" s="42"/>
      <c r="U5" s="42"/>
      <c r="V5" s="42"/>
      <c r="W5" s="42"/>
      <c r="X5" s="42"/>
      <c r="Y5" s="42"/>
      <c r="Z5" s="42"/>
      <c r="AA5" s="42"/>
      <c r="AB5" s="42"/>
      <c r="AC5" s="143"/>
      <c r="BA5" s="334"/>
      <c r="BE5" s="334"/>
      <c r="BG5" s="311"/>
    </row>
    <row r="6" spans="1:71" ht="24" customHeight="1" thickBo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140"/>
      <c r="S6" s="42"/>
      <c r="T6" s="42"/>
      <c r="U6" s="42"/>
      <c r="V6" s="42"/>
      <c r="W6" s="42"/>
      <c r="X6" s="42"/>
      <c r="Y6" s="42"/>
      <c r="Z6" s="42"/>
      <c r="AA6" s="42"/>
      <c r="AB6" s="42"/>
      <c r="AC6" s="143"/>
      <c r="AH6" s="486" t="s">
        <v>22</v>
      </c>
      <c r="AI6" s="487"/>
      <c r="AJ6" s="704"/>
      <c r="AK6" s="704"/>
      <c r="AL6" s="273" t="str">
        <f>+G10</f>
        <v>4</v>
      </c>
      <c r="AM6" s="1099">
        <f>+J10</f>
        <v>41</v>
      </c>
      <c r="AP6" s="311"/>
      <c r="AU6" s="930">
        <f>+K14</f>
        <v>2</v>
      </c>
      <c r="AV6" s="932" t="s">
        <v>64</v>
      </c>
      <c r="AY6" s="1023" t="s">
        <v>42</v>
      </c>
      <c r="AZ6" s="1023"/>
      <c r="BA6" s="1023"/>
      <c r="BB6" s="1023"/>
      <c r="BC6" s="1023"/>
      <c r="BD6" s="1023"/>
      <c r="BE6" s="1023"/>
      <c r="BF6" s="334"/>
      <c r="BG6" s="382"/>
      <c r="BH6" s="334"/>
      <c r="BI6" s="334"/>
      <c r="BJ6" s="334"/>
    </row>
    <row r="7" spans="1:71" ht="24" customHeight="1" thickBot="1">
      <c r="A7" s="42"/>
      <c r="B7" s="42"/>
      <c r="C7" s="152"/>
      <c r="D7" s="148"/>
      <c r="E7" s="148"/>
      <c r="F7" s="710" t="s">
        <v>185</v>
      </c>
      <c r="G7" s="710"/>
      <c r="H7" s="711"/>
      <c r="I7" s="712"/>
      <c r="J7" s="42"/>
      <c r="K7" s="42"/>
      <c r="L7" s="42"/>
      <c r="M7" s="118"/>
      <c r="N7" s="118"/>
      <c r="O7" s="118"/>
      <c r="P7" s="118"/>
      <c r="Q7" s="42"/>
      <c r="R7" s="140"/>
      <c r="S7" s="42"/>
      <c r="T7" s="42"/>
      <c r="U7" s="42"/>
      <c r="V7" s="42"/>
      <c r="W7" s="42"/>
      <c r="X7" s="42"/>
      <c r="Y7" s="42"/>
      <c r="Z7" s="42"/>
      <c r="AA7" s="42"/>
      <c r="AB7" s="42"/>
      <c r="AC7" s="143"/>
      <c r="AH7" s="486" t="s">
        <v>55</v>
      </c>
      <c r="AI7" s="487"/>
      <c r="AJ7" s="704"/>
      <c r="AK7" s="704"/>
      <c r="AL7" s="274" t="str">
        <f>+G11</f>
        <v>1</v>
      </c>
      <c r="AM7" s="1099"/>
      <c r="AU7" s="931"/>
      <c r="AV7" s="933"/>
      <c r="BC7" s="341" t="str">
        <f>+G11</f>
        <v>1</v>
      </c>
      <c r="BK7" s="334"/>
      <c r="BL7" s="334"/>
      <c r="BM7" s="334"/>
      <c r="BN7" s="334"/>
      <c r="BO7" s="334"/>
      <c r="BP7" s="382"/>
      <c r="BQ7" s="334"/>
      <c r="BR7" s="334"/>
      <c r="BS7" s="334"/>
    </row>
    <row r="8" spans="1:71" ht="24" thickBot="1">
      <c r="A8" s="42"/>
      <c r="B8" s="148"/>
      <c r="C8" s="148"/>
      <c r="D8" s="148"/>
      <c r="E8" s="126"/>
      <c r="F8" s="126"/>
      <c r="G8" s="148"/>
      <c r="H8" s="153"/>
      <c r="I8" s="42"/>
      <c r="J8" s="139"/>
      <c r="K8" s="42"/>
      <c r="L8" s="42"/>
      <c r="M8" s="42"/>
      <c r="N8" s="42"/>
      <c r="O8" s="42"/>
      <c r="P8" s="42"/>
      <c r="Q8" s="42"/>
      <c r="R8" s="140"/>
      <c r="S8" s="42"/>
      <c r="T8" s="42"/>
      <c r="U8" s="42"/>
      <c r="V8" s="42"/>
      <c r="W8" s="143"/>
      <c r="Y8" s="58"/>
      <c r="Z8" s="58"/>
      <c r="AA8" s="58"/>
      <c r="AB8" s="58"/>
      <c r="AC8" s="58"/>
      <c r="AD8" s="269"/>
      <c r="AE8" s="58"/>
      <c r="AG8" s="58"/>
      <c r="AH8" s="58"/>
      <c r="AI8" s="58"/>
      <c r="AJ8" s="58"/>
      <c r="AK8" s="58"/>
      <c r="AL8" s="58"/>
      <c r="AM8" s="270"/>
      <c r="AN8" s="58"/>
      <c r="AO8" s="58"/>
      <c r="BI8" s="311"/>
    </row>
    <row r="9" spans="1:71" ht="19.5" thickBot="1">
      <c r="A9" s="42"/>
      <c r="B9" s="126"/>
      <c r="C9" s="126"/>
      <c r="D9" s="126"/>
      <c r="E9" s="126"/>
      <c r="F9" s="126"/>
      <c r="G9" s="42"/>
      <c r="H9" s="42"/>
      <c r="I9" s="42"/>
      <c r="J9" s="958"/>
      <c r="K9" s="958"/>
      <c r="L9" s="42"/>
      <c r="M9" s="42"/>
      <c r="N9" s="42"/>
      <c r="O9" s="42"/>
      <c r="P9" s="42"/>
      <c r="Q9" s="42"/>
      <c r="R9" s="140"/>
      <c r="S9" s="42"/>
      <c r="T9" s="42"/>
      <c r="U9" s="42"/>
      <c r="V9" s="42"/>
      <c r="W9" s="143"/>
      <c r="Y9" s="1028" t="s">
        <v>47</v>
      </c>
      <c r="Z9" s="1029"/>
      <c r="AA9" s="1029"/>
      <c r="AB9" s="1029"/>
      <c r="AC9" s="1030"/>
      <c r="AE9" s="58"/>
      <c r="AG9" s="58"/>
      <c r="AH9" s="1046" t="s">
        <v>48</v>
      </c>
      <c r="AI9" s="1047"/>
      <c r="AJ9" s="1047"/>
      <c r="AK9" s="1047"/>
      <c r="AL9" s="1048"/>
      <c r="AN9" s="1043" t="s">
        <v>184</v>
      </c>
      <c r="AO9" s="1044"/>
      <c r="AP9" s="1044"/>
      <c r="AQ9" s="1044"/>
      <c r="AR9" s="1045"/>
      <c r="AV9" s="1027" t="s">
        <v>56</v>
      </c>
      <c r="AW9" s="1027"/>
      <c r="AY9" s="1012" t="s">
        <v>104</v>
      </c>
      <c r="AZ9" s="1013"/>
      <c r="BA9" s="1013"/>
      <c r="BB9" s="1013"/>
      <c r="BC9" s="1013"/>
      <c r="BD9" s="1013"/>
      <c r="BE9" s="1013"/>
    </row>
    <row r="10" spans="1:71" ht="27" thickBot="1">
      <c r="A10" s="967" t="s">
        <v>22</v>
      </c>
      <c r="B10" s="968"/>
      <c r="C10" s="968"/>
      <c r="D10" s="968"/>
      <c r="E10" s="968"/>
      <c r="F10" s="969"/>
      <c r="G10" s="1064" t="str">
        <f>LEFT(J10,1)</f>
        <v>4</v>
      </c>
      <c r="H10" s="1065"/>
      <c r="I10" s="42"/>
      <c r="J10" s="928">
        <v>41</v>
      </c>
      <c r="K10" s="929"/>
      <c r="L10" s="42"/>
      <c r="M10" s="42"/>
      <c r="N10" s="42"/>
      <c r="O10" s="42"/>
      <c r="P10" s="42"/>
      <c r="Q10" s="21"/>
      <c r="R10" s="22"/>
      <c r="S10" s="22"/>
      <c r="T10" s="22"/>
      <c r="U10" s="23" t="s">
        <v>52</v>
      </c>
      <c r="V10" s="22"/>
      <c r="W10" s="143"/>
      <c r="AM10" s="346"/>
      <c r="AN10" s="420"/>
      <c r="AO10" s="420"/>
      <c r="AP10" s="420"/>
      <c r="AQ10" s="420"/>
      <c r="AR10" s="420"/>
      <c r="AS10" s="420"/>
      <c r="AU10" s="420"/>
      <c r="AV10" s="420"/>
      <c r="AW10" s="420"/>
    </row>
    <row r="11" spans="1:71" ht="27" thickBot="1">
      <c r="A11" s="967" t="s">
        <v>55</v>
      </c>
      <c r="B11" s="968"/>
      <c r="C11" s="968"/>
      <c r="D11" s="968"/>
      <c r="E11" s="968"/>
      <c r="F11" s="969"/>
      <c r="G11" s="1066" t="str">
        <f>RIGHT(J10,1)</f>
        <v>1</v>
      </c>
      <c r="H11" s="1067"/>
      <c r="I11" s="42"/>
      <c r="J11" s="929"/>
      <c r="K11" s="929"/>
      <c r="L11" s="42"/>
      <c r="M11" s="126"/>
      <c r="N11" s="126"/>
      <c r="O11" s="126"/>
      <c r="P11" s="126"/>
      <c r="Q11" s="24"/>
      <c r="R11" s="82" t="s">
        <v>50</v>
      </c>
      <c r="S11" s="25" t="s">
        <v>53</v>
      </c>
      <c r="T11" s="26" t="s">
        <v>54</v>
      </c>
      <c r="U11" s="27" t="s">
        <v>188</v>
      </c>
      <c r="V11" s="28"/>
      <c r="W11" s="143"/>
      <c r="Y11" s="497" t="s">
        <v>186</v>
      </c>
      <c r="Z11" s="497" t="s">
        <v>64</v>
      </c>
      <c r="AA11" s="497"/>
      <c r="AB11" s="499" t="s">
        <v>99</v>
      </c>
      <c r="AC11" s="499" t="s">
        <v>100</v>
      </c>
      <c r="AE11" s="279"/>
      <c r="AG11" s="279"/>
      <c r="AH11" s="277" t="s">
        <v>186</v>
      </c>
      <c r="AI11" s="277" t="s">
        <v>64</v>
      </c>
      <c r="AJ11" s="277"/>
      <c r="AK11" s="278" t="s">
        <v>99</v>
      </c>
      <c r="AL11" s="278" t="s">
        <v>100</v>
      </c>
      <c r="AO11" s="419"/>
      <c r="AP11" s="419"/>
      <c r="AQ11" s="323"/>
      <c r="AR11" s="419"/>
      <c r="AS11" s="419"/>
      <c r="AU11" s="325"/>
      <c r="AV11" s="733"/>
      <c r="AW11" s="332"/>
      <c r="AY11" s="141"/>
      <c r="AZ11" s="141"/>
      <c r="BA11" s="141"/>
    </row>
    <row r="12" spans="1:71" ht="21.95" customHeight="1" thickTop="1">
      <c r="A12" s="42"/>
      <c r="B12" s="42"/>
      <c r="C12" s="42"/>
      <c r="D12" s="126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34">
        <v>1</v>
      </c>
      <c r="R12" s="29"/>
      <c r="S12" s="29" t="s">
        <v>14</v>
      </c>
      <c r="T12" s="83"/>
      <c r="U12" s="30">
        <v>1</v>
      </c>
      <c r="V12" s="42"/>
      <c r="W12" s="181">
        <v>1</v>
      </c>
      <c r="X12" s="1091" t="str">
        <f>CONCATENATE(G16,G17)</f>
        <v>41</v>
      </c>
      <c r="Y12" s="1100">
        <v>1</v>
      </c>
      <c r="Z12" s="976">
        <v>1</v>
      </c>
      <c r="AA12" s="280" t="s">
        <v>14</v>
      </c>
      <c r="AB12" s="481" t="str">
        <f>IF(ISNA(MATCH($W12,$U$12:$U$18,0)),"",INDEX($S$12:$S$18,MATCH($W12,$U$12:$U$18,0)))</f>
        <v>A</v>
      </c>
      <c r="AC12" s="281">
        <v>1</v>
      </c>
      <c r="AE12" s="955" t="str">
        <f>+X12</f>
        <v>41</v>
      </c>
      <c r="AG12" s="955"/>
      <c r="AH12" s="979">
        <v>1</v>
      </c>
      <c r="AI12" s="976">
        <v>4</v>
      </c>
      <c r="AJ12" s="283"/>
      <c r="AK12" s="284" t="str">
        <f>IF(AC12=AC13,"résultat",IF(AC12&gt;AC13,AB12,AB13))</f>
        <v>B</v>
      </c>
      <c r="AL12" s="281">
        <v>1</v>
      </c>
      <c r="AN12" s="1094" t="str">
        <f>+X12</f>
        <v>41</v>
      </c>
      <c r="AO12" s="992">
        <v>2</v>
      </c>
      <c r="AP12" s="390"/>
      <c r="AQ12" s="434" t="str">
        <f>IF(BB2+BB3=41,IF(AL12=AL13,"résultat",IF(AL12&lt;AL13,AK12,AK13)),IF(BB2+BB3=42,IF(AL12=AL13,"résultat",IF(AL12&lt;AL13,AK12,AK13)),IF(BB2+BB3=43,IF(AL12=AL13,"résultat",IF(AL12&lt;AL13,AK12,AK13)),IF(BB2+BB3=44,IF(AL12=AL13,"résultat",IF(AL12&lt;AL13,AK12,AK13))))))</f>
        <v>C</v>
      </c>
      <c r="AR12" s="436">
        <v>2</v>
      </c>
      <c r="AS12" s="325"/>
      <c r="AU12" s="394">
        <v>1</v>
      </c>
      <c r="AV12" s="1096" t="str">
        <f>+X12</f>
        <v>41</v>
      </c>
      <c r="AW12" s="333" t="str">
        <f>IF(BB2+BB3=41,IF(AL12=AL13,"résultat",IF(AL12&gt;AL13,AK12,AK13)),IF(BB2+BB3=42,IF(AL12=AL13,"résultat",IF(AL12&gt;AL13,AK12,AK13)),IF(BB2+BB3=43,IF(AL12=AL13,"résultat",IF(AL12&gt;AL13,AK12,AK13)),IF(BB2+BB3=44,IF(AL12=AL13,"résultat",IF(AL12&gt;AL13,AK12,AK13))))))</f>
        <v>B</v>
      </c>
      <c r="AX12" s="334"/>
      <c r="AY12" s="352">
        <v>1</v>
      </c>
      <c r="AZ12" s="353"/>
      <c r="BA12" s="1020" t="str">
        <f>IF(BB2+BB3=41,AW12,IF(BB2+BB3=42,AW12,IF(BB2+BB3=43,AW12,IF(BB2+BB3=44,AW12," "))))</f>
        <v>B</v>
      </c>
      <c r="BB12" s="1021"/>
      <c r="BC12" s="1021"/>
      <c r="BD12" s="1021"/>
      <c r="BE12" s="1022"/>
    </row>
    <row r="13" spans="1:71" ht="21.95" customHeight="1" thickBo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35">
        <v>2</v>
      </c>
      <c r="R13" s="31"/>
      <c r="S13" s="31" t="s">
        <v>15</v>
      </c>
      <c r="T13" s="86"/>
      <c r="U13" s="32">
        <v>2</v>
      </c>
      <c r="V13" s="42"/>
      <c r="W13" s="182">
        <v>2</v>
      </c>
      <c r="X13" s="1092"/>
      <c r="Y13" s="1101"/>
      <c r="Z13" s="977"/>
      <c r="AA13" s="285" t="s">
        <v>15</v>
      </c>
      <c r="AB13" s="88" t="str">
        <f>IF(ISNA(MATCH($W13,$U$12:$U$18,0)),"",INDEX($S$12:$S$18,MATCH($W13,$U$12:$U$18,0)))</f>
        <v>B</v>
      </c>
      <c r="AC13" s="287">
        <v>2</v>
      </c>
      <c r="AE13" s="956"/>
      <c r="AG13" s="956"/>
      <c r="AH13" s="980"/>
      <c r="AI13" s="977"/>
      <c r="AJ13" s="288"/>
      <c r="AK13" s="385" t="str">
        <f>IF(AC14=AC15,"résultat",IF(AC14&gt;AC15,AB14,AB15))</f>
        <v>C</v>
      </c>
      <c r="AL13" s="287">
        <v>0</v>
      </c>
      <c r="AN13" s="1095"/>
      <c r="AO13" s="993"/>
      <c r="AP13" s="391"/>
      <c r="AQ13" s="435" t="str">
        <f>IF(BB2+BB3=41,IF(AL14=AL15,"résultat",IF(AL14&gt;AL15,AK14,AK15)),IF(BB2+BB3=42,IF(AL14=AL15,"résultat",IF(AL14&gt;AL15,AK14,AK15)),IF(BB2+BB3=43,IF(AL14=AL15,"résultat",IF(AL14&gt;AL15,AK14,AK15)),IF(BB2+BB3=44,IF(AL14=AL15,"résultat",IF(AL14&gt;AL15,AK14,AK15))))))</f>
        <v>A</v>
      </c>
      <c r="AR13" s="437">
        <v>0</v>
      </c>
      <c r="AS13" s="325"/>
      <c r="AU13" s="336">
        <v>2</v>
      </c>
      <c r="AV13" s="1097"/>
      <c r="AW13" s="445" t="str">
        <f>IF(BB2+BB3=41,IF(AR12=AR13,"résultat",IF(AR12&lt;AR13,AQ12,AQ13)),IF(BB2+BB3=42,IF(AR12=AR13,"résultat",IF(AR12&gt;AR13,AQ12,AQ13)),IF(BB2+BB3=43,IF(AR12=AR13,"résultat",IF(AR12&gt;AR13,AQ12,AQ13)),IF(BB2+BB3=44,IF(AL12=AL13,"résultat",IF(AL12&lt;AL13,AK12,AK13))))))</f>
        <v>A</v>
      </c>
      <c r="AX13" s="334"/>
      <c r="AY13" s="354">
        <v>2</v>
      </c>
      <c r="AZ13" s="353"/>
      <c r="BA13" s="1003" t="str">
        <f>IF(BB2+BB3=41," ",IF(BB2+BB3=42,AW13,IF(OR(AND(BB2+BB3=43)),AW13,IF(BB2+BB3=44,AW13," "))))</f>
        <v xml:space="preserve"> </v>
      </c>
      <c r="BB13" s="1004"/>
      <c r="BC13" s="1004"/>
      <c r="BD13" s="1004"/>
      <c r="BE13" s="1005"/>
    </row>
    <row r="14" spans="1:71" ht="21.95" customHeight="1" thickBot="1">
      <c r="A14" s="139"/>
      <c r="B14" s="139"/>
      <c r="E14" s="922" t="s">
        <v>66</v>
      </c>
      <c r="F14" s="923"/>
      <c r="G14" s="206" t="s">
        <v>38</v>
      </c>
      <c r="I14" s="126"/>
      <c r="J14" s="126"/>
      <c r="K14" s="930">
        <f>IF(F16=3,1,IF(F16=4,2,IF(F16=5,2,IF(F16=6,2,IF(F16=7,3,"0")))))</f>
        <v>2</v>
      </c>
      <c r="L14" s="932" t="s">
        <v>64</v>
      </c>
      <c r="M14" s="126"/>
      <c r="N14" s="126"/>
      <c r="O14" s="126"/>
      <c r="P14" s="126"/>
      <c r="Q14" s="35">
        <v>3</v>
      </c>
      <c r="R14" s="31"/>
      <c r="S14" s="31" t="s">
        <v>49</v>
      </c>
      <c r="T14" s="86"/>
      <c r="U14" s="32">
        <v>3</v>
      </c>
      <c r="V14" s="42"/>
      <c r="W14" s="182">
        <v>3</v>
      </c>
      <c r="X14" s="1092"/>
      <c r="Y14" s="1101"/>
      <c r="Z14" s="978">
        <v>3</v>
      </c>
      <c r="AA14" s="289" t="s">
        <v>49</v>
      </c>
      <c r="AB14" s="89" t="str">
        <f>IF(ISNA(MATCH($W14,$U$12:$U$18,0)),"",INDEX($S$12:$S$18,MATCH($W14,$U$12:$U$18,0)))</f>
        <v>C</v>
      </c>
      <c r="AC14" s="290">
        <v>1</v>
      </c>
      <c r="AE14" s="956"/>
      <c r="AG14" s="956"/>
      <c r="AH14" s="980"/>
      <c r="AI14" s="978">
        <v>5</v>
      </c>
      <c r="AJ14" s="291"/>
      <c r="AK14" s="292" t="str">
        <f>IF(AC12=AC13,"résultat",IF(AC12&lt;AC13,AB12,AB13))</f>
        <v>A</v>
      </c>
      <c r="AL14" s="290">
        <v>1</v>
      </c>
      <c r="AO14" s="329"/>
      <c r="AP14" s="329"/>
      <c r="AQ14" s="330"/>
      <c r="AR14" s="325"/>
      <c r="AS14" s="325"/>
      <c r="AU14" s="394">
        <v>3</v>
      </c>
      <c r="AV14" s="1097"/>
      <c r="AW14" s="445" t="str">
        <f>IF(BB2+BB3=41,IF(AL14=AL15,"résultat",IF(AL14&lt;AL15,AK14,AK15)),IF(BB2+BB3=42,IF(AR12=AR13,"résultat",IF(AR12&lt;AR13,AQ12,AQ13)),IF(BB2+BB3=43,IF(AR12=AR13,"résultat",IF(AR12&lt;AR13,AQ12,AQ13)),IF(BB2+BB3=44,IF(AL14=AL15,"résultat",IF(AL14&gt;AL15,AK14,AK15))))))</f>
        <v>D</v>
      </c>
      <c r="AX14" s="334"/>
      <c r="AY14" s="355">
        <v>3</v>
      </c>
      <c r="AZ14" s="353"/>
      <c r="BA14" s="1003" t="str">
        <f>IF(BB2+BB3=43,AW14,IF(BB2+BB3=44,AW14,IF(BB2+BB3=53,AW14," ")))</f>
        <v xml:space="preserve"> </v>
      </c>
      <c r="BB14" s="1004"/>
      <c r="BC14" s="1004"/>
      <c r="BD14" s="1004"/>
      <c r="BE14" s="1005"/>
    </row>
    <row r="15" spans="1:71" ht="21.95" customHeight="1" thickBot="1">
      <c r="A15" s="42"/>
      <c r="B15" s="42"/>
      <c r="D15" s="42"/>
      <c r="E15" s="42"/>
      <c r="F15" s="208"/>
      <c r="G15" s="208"/>
      <c r="I15" s="126"/>
      <c r="J15" s="126"/>
      <c r="K15" s="931"/>
      <c r="L15" s="933"/>
      <c r="M15" s="126"/>
      <c r="N15" s="126"/>
      <c r="O15" s="126"/>
      <c r="P15" s="126"/>
      <c r="Q15" s="498">
        <v>4</v>
      </c>
      <c r="R15" s="190"/>
      <c r="S15" s="190" t="s">
        <v>40</v>
      </c>
      <c r="T15" s="191"/>
      <c r="U15" s="192">
        <v>4</v>
      </c>
      <c r="V15" s="90"/>
      <c r="W15" s="500">
        <f>IF(OR(AND(J$10&gt;39,J10&lt;60),AND(J10&gt;69,J10&lt;80)),4,0)</f>
        <v>4</v>
      </c>
      <c r="X15" s="1093"/>
      <c r="Y15" s="1102"/>
      <c r="Z15" s="995"/>
      <c r="AA15" s="482" t="s">
        <v>40</v>
      </c>
      <c r="AB15" s="483" t="str">
        <f>IF(ISNA(MATCH($W15,$U$12:$U$18,0)),"OFFICE",INDEX($S$12:$S$18,MATCH($W15,$U$12:$U$18,0)))</f>
        <v>D</v>
      </c>
      <c r="AC15" s="473">
        <v>0</v>
      </c>
      <c r="AE15" s="957"/>
      <c r="AG15" s="957"/>
      <c r="AH15" s="981"/>
      <c r="AI15" s="995"/>
      <c r="AJ15" s="484"/>
      <c r="AK15" s="485" t="str">
        <f>IF($AC$14=$AC$15,"résultat",IF($AC$14&lt;$AC$15,$AB$14,$AB$15))</f>
        <v>D</v>
      </c>
      <c r="AL15" s="473">
        <v>0</v>
      </c>
      <c r="AO15" s="329"/>
      <c r="AP15" s="329"/>
      <c r="AQ15" s="330"/>
      <c r="AR15" s="325"/>
      <c r="AS15" s="325"/>
      <c r="AU15" s="336">
        <v>4</v>
      </c>
      <c r="AV15" s="1098"/>
      <c r="AW15" s="496" t="str">
        <f>IF(BB2+BB3=41,IF(AL14=AL15,"résultat",IF(AL14&lt;AL15,AK14,AK15)),IF(BB2+BB3=42,IF(AR12=AR13,"résultat",IF(AR12&lt;AR13,AQ12,AQ13)),IF(BB2+BB3=43,IF(AL14=AL15,"résultat",IF(AL14&lt;AL15,AK14,AK15)),IF(BB2+BB3=44,IF(AL14=AL15,"résultat",IF(AL14&lt;AL15,AK14,AK15))))))</f>
        <v>D</v>
      </c>
      <c r="AY15" s="501">
        <v>4</v>
      </c>
      <c r="AZ15" s="383"/>
      <c r="BA15" s="1006" t="str">
        <f>IF(BB2+BB3=44,AW15," ")</f>
        <v xml:space="preserve"> </v>
      </c>
      <c r="BB15" s="1007"/>
      <c r="BC15" s="1007"/>
      <c r="BD15" s="1007"/>
      <c r="BE15" s="1008"/>
    </row>
    <row r="16" spans="1:71" ht="21.95" customHeight="1" thickBot="1">
      <c r="A16" s="922" t="s">
        <v>61</v>
      </c>
      <c r="B16" s="924"/>
      <c r="C16" s="924"/>
      <c r="D16" s="924"/>
      <c r="E16" s="923"/>
      <c r="F16" s="196">
        <f>SUM(G16+H16)</f>
        <v>4</v>
      </c>
      <c r="G16" s="708" t="str">
        <f>IF(OR(AND(J10&gt;30,J10&lt;34),IF(J10&gt;60,J10&lt;65)),"3",IF(OR(AND(J10&gt;40,J10&lt;45),AND(J10&gt;70,J10&lt;76)),"4",IF(OR(AND(J10&gt;50,J10&lt;55)),"5","0")))</f>
        <v>4</v>
      </c>
      <c r="I16" s="126"/>
      <c r="J16" s="210"/>
      <c r="K16" s="126"/>
      <c r="L16" s="126"/>
      <c r="M16" s="126"/>
      <c r="N16" s="126"/>
      <c r="O16" s="126"/>
      <c r="P16" s="126"/>
      <c r="V16" s="90"/>
      <c r="AM16" s="356"/>
      <c r="AN16" s="277"/>
      <c r="AO16" s="277"/>
      <c r="AP16" s="277"/>
      <c r="AQ16" s="327"/>
      <c r="AR16" s="277"/>
      <c r="AS16" s="277"/>
      <c r="AU16" s="277"/>
      <c r="AV16" s="277"/>
      <c r="AW16" s="277"/>
    </row>
    <row r="17" spans="1:50" ht="22.5" thickTop="1" thickBot="1">
      <c r="A17" s="922" t="s">
        <v>73</v>
      </c>
      <c r="B17" s="924"/>
      <c r="C17" s="924"/>
      <c r="D17" s="924"/>
      <c r="E17" s="923"/>
      <c r="F17" s="197">
        <f>SUM(G17+H17)</f>
        <v>1</v>
      </c>
      <c r="G17" s="268" t="str">
        <f>IF(OR(AND(J10&gt;30,J10&lt;32),AND(J10&gt;40,J10&lt;42),AND(J10&gt;50,J10&lt;52)),"1",IF(OR(AND(J10&gt;31,J10&lt;33),AND(J10&gt;41,J10&lt;43),AND(J10&gt;70,J10&lt;75),AND(J10&gt;60,J10&lt;65),AND(J10&gt;50,J10&lt;53)),"2",IF(OR(AND(J10&gt;32,J10&lt;34),AND(J10&gt;42,J10&lt;44),AND(J10&gt;52,J10&lt;54),AND(J10&gt;74,J10&lt;76)),"3",IF(OR(AND(J10&gt;43,J10&lt;45),AND(J10&gt;53,J10&lt;55)),4,"0"))))</f>
        <v>1</v>
      </c>
      <c r="I17" s="126"/>
      <c r="J17" s="211"/>
      <c r="K17" s="126"/>
      <c r="L17" s="126"/>
      <c r="M17" s="126"/>
      <c r="N17" s="126"/>
      <c r="O17" s="126"/>
      <c r="P17" s="126"/>
      <c r="V17" s="90"/>
      <c r="AM17" s="356"/>
      <c r="AO17" s="322"/>
      <c r="AP17" s="322"/>
      <c r="AQ17" s="328"/>
      <c r="AR17" s="322"/>
      <c r="AS17" s="322"/>
    </row>
    <row r="18" spans="1:50" ht="21">
      <c r="A18" s="110"/>
      <c r="B18" s="110"/>
      <c r="C18" s="155"/>
      <c r="D18" s="156"/>
      <c r="E18" s="139"/>
      <c r="F18" s="42"/>
      <c r="G18" s="42"/>
      <c r="H18" s="157"/>
      <c r="I18" s="157"/>
      <c r="J18" s="210"/>
      <c r="K18" s="157"/>
      <c r="L18" s="157"/>
      <c r="M18" s="157"/>
      <c r="N18" s="157"/>
      <c r="O18" s="157"/>
      <c r="P18" s="157"/>
      <c r="V18" s="90"/>
      <c r="AM18" s="356"/>
    </row>
    <row r="19" spans="1:50">
      <c r="A19" s="42"/>
      <c r="B19" s="921" t="s">
        <v>84</v>
      </c>
      <c r="C19" s="921"/>
      <c r="D19" s="92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126"/>
      <c r="R19" s="126"/>
      <c r="S19" s="126"/>
      <c r="T19" s="126"/>
      <c r="U19" s="126"/>
      <c r="V19" s="90"/>
    </row>
    <row r="20" spans="1:50" ht="2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204"/>
      <c r="T20" s="126"/>
      <c r="U20" s="126"/>
      <c r="V20" s="90"/>
    </row>
    <row r="21" spans="1:50">
      <c r="W21" s="126"/>
      <c r="AM21" s="396"/>
      <c r="AN21" s="396"/>
      <c r="AO21" s="396"/>
      <c r="AP21" s="396"/>
      <c r="AQ21" s="396"/>
      <c r="AR21" s="396"/>
      <c r="AS21" s="396"/>
    </row>
    <row r="22" spans="1:50" ht="24" customHeight="1">
      <c r="AB22" s="396"/>
      <c r="AC22" s="396"/>
      <c r="AE22" s="396"/>
      <c r="AG22" s="396"/>
      <c r="AH22" s="396"/>
      <c r="AI22" s="396"/>
      <c r="AJ22" s="396"/>
      <c r="AK22" s="396"/>
      <c r="AL22" s="396"/>
      <c r="AM22" s="495"/>
      <c r="AN22" s="495"/>
      <c r="AO22" s="495"/>
      <c r="AP22" s="495"/>
      <c r="AQ22" s="495"/>
      <c r="AR22" s="495"/>
      <c r="AS22" s="396"/>
    </row>
    <row r="23" spans="1:50" ht="32.25" customHeight="1">
      <c r="AB23" s="126"/>
      <c r="AC23" s="126"/>
      <c r="AD23" s="90"/>
      <c r="AE23" s="126"/>
      <c r="AG23" s="126"/>
      <c r="AH23" s="494" t="s">
        <v>121</v>
      </c>
      <c r="AI23" s="495"/>
      <c r="AJ23" s="495"/>
      <c r="AK23" s="495"/>
      <c r="AL23" s="495"/>
      <c r="AM23" s="350"/>
      <c r="AN23" s="350"/>
      <c r="AO23" s="350"/>
      <c r="AP23" s="350"/>
      <c r="AQ23" s="350"/>
      <c r="AR23" s="350"/>
      <c r="AS23" s="350"/>
      <c r="AU23" s="495"/>
      <c r="AV23" s="495"/>
      <c r="AW23" s="495"/>
      <c r="AX23" s="495"/>
    </row>
    <row r="24" spans="1:50" ht="15.75">
      <c r="AB24" s="350"/>
      <c r="AC24" s="350"/>
      <c r="AD24" s="350"/>
      <c r="AE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U24" s="350"/>
    </row>
    <row r="25" spans="1:50" ht="23.25">
      <c r="A25" s="754" t="s">
        <v>190</v>
      </c>
      <c r="B25" s="755"/>
      <c r="C25" s="755"/>
      <c r="D25" s="755"/>
      <c r="E25" s="755"/>
      <c r="F25" s="194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126"/>
      <c r="R25" s="126"/>
      <c r="S25" s="126"/>
      <c r="T25" s="126"/>
      <c r="U25" s="126"/>
      <c r="V25" s="90"/>
    </row>
    <row r="26" spans="1:50" ht="23.25" customHeight="1">
      <c r="A26" s="714" t="s">
        <v>203</v>
      </c>
      <c r="B26" s="755"/>
      <c r="C26" s="755"/>
      <c r="D26" s="755"/>
      <c r="E26" s="755"/>
      <c r="F26" s="194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126"/>
      <c r="R26" s="126"/>
      <c r="S26" s="126"/>
      <c r="T26" s="126"/>
      <c r="U26" s="126"/>
      <c r="V26" s="90"/>
      <c r="W26" s="126"/>
      <c r="X26" s="396"/>
      <c r="Y26" s="397"/>
      <c r="Z26" s="396"/>
      <c r="AA26" s="396"/>
    </row>
    <row r="27" spans="1:50" ht="23.25">
      <c r="A27" s="714" t="s">
        <v>192</v>
      </c>
      <c r="B27" s="714"/>
      <c r="C27" s="714"/>
      <c r="D27" s="714"/>
      <c r="E27" s="714"/>
      <c r="F27" s="714"/>
      <c r="G27" s="715"/>
      <c r="H27" s="715"/>
      <c r="I27" s="715"/>
      <c r="J27" s="715"/>
      <c r="K27" s="715"/>
      <c r="L27" s="715"/>
      <c r="M27" s="715"/>
      <c r="N27" s="716"/>
      <c r="O27" s="716"/>
      <c r="P27" s="716"/>
      <c r="Q27" s="716"/>
      <c r="R27" s="716"/>
      <c r="S27" s="717"/>
      <c r="T27" s="716"/>
      <c r="U27" s="126"/>
      <c r="V27" s="90"/>
      <c r="W27" s="458"/>
      <c r="X27" s="458"/>
      <c r="Y27" s="458"/>
      <c r="Z27" s="458"/>
      <c r="AA27" s="458"/>
    </row>
    <row r="28" spans="1:50" ht="23.25">
      <c r="A28" s="148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126"/>
      <c r="R28" s="126"/>
      <c r="S28" s="126"/>
      <c r="T28" s="126"/>
      <c r="U28" s="126"/>
      <c r="V28" s="90"/>
      <c r="W28" s="126"/>
      <c r="X28" s="375"/>
      <c r="Y28" s="350"/>
      <c r="Z28" s="350"/>
      <c r="AA28" s="350"/>
    </row>
    <row r="29" spans="1:50" ht="15.75">
      <c r="W29" s="126"/>
      <c r="X29" s="349"/>
      <c r="Y29" s="350"/>
      <c r="Z29" s="350"/>
      <c r="AA29" s="350"/>
    </row>
    <row r="30" spans="1:50" ht="15.75">
      <c r="W30" s="126"/>
      <c r="X30" s="349"/>
      <c r="Y30" s="350"/>
      <c r="Z30" s="350"/>
      <c r="AA30" s="350"/>
    </row>
  </sheetData>
  <sheetProtection password="CFC3" sheet="1" objects="1" scenarios="1" formatCells="0" formatColumns="0" formatRows="0" insertColumns="0" insertRows="0" insertHyperlinks="0" deleteColumns="0" deleteRows="0" sort="0"/>
  <mergeCells count="48">
    <mergeCell ref="AJ1:AL1"/>
    <mergeCell ref="AG12:AG15"/>
    <mergeCell ref="Y12:Y15"/>
    <mergeCell ref="AH9:AL9"/>
    <mergeCell ref="J10:K11"/>
    <mergeCell ref="J9:K9"/>
    <mergeCell ref="Y9:AC9"/>
    <mergeCell ref="AM6:AM7"/>
    <mergeCell ref="AU6:AU7"/>
    <mergeCell ref="AV6:AV7"/>
    <mergeCell ref="J3:M3"/>
    <mergeCell ref="AI3:AJ3"/>
    <mergeCell ref="AV12:AV15"/>
    <mergeCell ref="K14:K15"/>
    <mergeCell ref="L14:L15"/>
    <mergeCell ref="AN9:AR9"/>
    <mergeCell ref="AV9:AW9"/>
    <mergeCell ref="BA15:BE15"/>
    <mergeCell ref="BA12:BE12"/>
    <mergeCell ref="BA13:BE13"/>
    <mergeCell ref="AY6:BE6"/>
    <mergeCell ref="AY9:BE9"/>
    <mergeCell ref="BA14:BE14"/>
    <mergeCell ref="AN1:AQ1"/>
    <mergeCell ref="E14:F14"/>
    <mergeCell ref="I1:M1"/>
    <mergeCell ref="D1:G1"/>
    <mergeCell ref="X12:X15"/>
    <mergeCell ref="Z14:Z15"/>
    <mergeCell ref="AE12:AE15"/>
    <mergeCell ref="AH12:AH15"/>
    <mergeCell ref="AI14:AI15"/>
    <mergeCell ref="AI12:AI13"/>
    <mergeCell ref="AN12:AN13"/>
    <mergeCell ref="AO12:AO13"/>
    <mergeCell ref="Z12:Z13"/>
    <mergeCell ref="E5:F5"/>
    <mergeCell ref="H5:I5"/>
    <mergeCell ref="G10:H10"/>
    <mergeCell ref="G3:H3"/>
    <mergeCell ref="B3:C3"/>
    <mergeCell ref="D3:E3"/>
    <mergeCell ref="B19:D19"/>
    <mergeCell ref="A16:E16"/>
    <mergeCell ref="A17:E17"/>
    <mergeCell ref="A10:F10"/>
    <mergeCell ref="A11:F11"/>
    <mergeCell ref="G11:H11"/>
  </mergeCells>
  <conditionalFormatting sqref="AQ12:AQ15 AK12:AK15">
    <cfRule type="containsText" dxfId="752" priority="85" operator="containsText" text="résultat">
      <formula>NOT(ISERROR(SEARCH("résultat",AK12)))</formula>
    </cfRule>
    <cfRule type="containsText" dxfId="751" priority="86" operator="containsText" text="OFFICE">
      <formula>NOT(ISERROR(SEARCH("OFFICE",AK12)))</formula>
    </cfRule>
  </conditionalFormatting>
  <conditionalFormatting sqref="AC14:AC15">
    <cfRule type="iconSet" priority="84">
      <iconSet iconSet="3Signs">
        <cfvo type="percent" val="0"/>
        <cfvo type="percent" val="12"/>
        <cfvo type="percent" val="13" gte="0"/>
      </iconSet>
    </cfRule>
  </conditionalFormatting>
  <conditionalFormatting sqref="AC12:AC13">
    <cfRule type="iconSet" priority="83">
      <iconSet iconSet="3Signs">
        <cfvo type="percent" val="0"/>
        <cfvo type="percent" val="12"/>
        <cfvo type="percent" val="13" gte="0"/>
      </iconSet>
    </cfRule>
  </conditionalFormatting>
  <conditionalFormatting sqref="AL12:AL13">
    <cfRule type="iconSet" priority="82">
      <iconSet iconSet="3Signs">
        <cfvo type="percent" val="0"/>
        <cfvo type="percent" val="12"/>
        <cfvo type="percent" val="13" gte="0"/>
      </iconSet>
    </cfRule>
  </conditionalFormatting>
  <conditionalFormatting sqref="AL14:AL15">
    <cfRule type="iconSet" priority="81">
      <iconSet iconSet="3Signs">
        <cfvo type="percent" val="0"/>
        <cfvo type="percent" val="12"/>
        <cfvo type="percent" val="13" gte="0"/>
      </iconSet>
    </cfRule>
  </conditionalFormatting>
  <conditionalFormatting sqref="AQ12:AQ15">
    <cfRule type="containsText" dxfId="750" priority="76" operator="containsText" text="résultat">
      <formula>NOT(ISERROR(SEARCH("résultat",AQ12)))</formula>
    </cfRule>
  </conditionalFormatting>
  <conditionalFormatting sqref="AW12:AW15">
    <cfRule type="expression" dxfId="749" priority="75" stopIfTrue="1">
      <formula>(OR(BB1048559="1",BB1048559="2",BB1048559="3"))</formula>
    </cfRule>
  </conditionalFormatting>
  <conditionalFormatting sqref="AW13:AW15">
    <cfRule type="expression" dxfId="748" priority="74">
      <formula>(OR(BB1048559="2",BB1048559="3"))</formula>
    </cfRule>
  </conditionalFormatting>
  <conditionalFormatting sqref="BA12">
    <cfRule type="expression" dxfId="747" priority="57">
      <formula>(OR($BC$7+$BC$8=9,$BC$7+$BC$8=8,$BC$7+$BC$8=7,$BC$7+$BC$8=6,$BC$7+$BC$8=5,$BC$7+$BC$8=4,$BC$7+$BC$8=3,$BC$7+$BC$8=2,$BC$7+$BC$8=1))</formula>
    </cfRule>
  </conditionalFormatting>
  <conditionalFormatting sqref="BA13">
    <cfRule type="expression" dxfId="746" priority="56">
      <formula>(OR($BC$7+$BC$8=9,$BC$7+$BC$8=8,$BC$7+$BC$8=7,$BC$7+$BC$8=6,$BC$7+$BC$8=5,$BC$7+$BC$8=4,$BC$7+$BC$8=3,$BC$7+$BC$8=2))</formula>
    </cfRule>
  </conditionalFormatting>
  <conditionalFormatting sqref="BA15">
    <cfRule type="expression" dxfId="745" priority="55">
      <formula>(OR($BC$7+$BC$8=9,$BC$7+$BC$8=8,$BC$7+$BC$8=7,$BC$7+$BC$8=6,$BC$7+$BC$8=5,$BC$7+$BC$8=4))</formula>
    </cfRule>
  </conditionalFormatting>
  <conditionalFormatting sqref="BA14">
    <cfRule type="expression" dxfId="744" priority="53">
      <formula>-(OR($BC$7+$BC$8=9,$BC$7+$BC$8=8,$BC$7+$BC$8=7,$BC$7+$BC$8=6,$BC$7+$BC$8=5,$BC$7+$BC$8=4,$BC$7+$BC$8=3))</formula>
    </cfRule>
  </conditionalFormatting>
  <conditionalFormatting sqref="AY13">
    <cfRule type="expression" dxfId="743" priority="52">
      <formula>(OR(#REF!=9,#REF!=8,#REF!=7,#REF!=6,#REF!=5,#REF!=4,#REF!=3,#REF!=2))</formula>
    </cfRule>
  </conditionalFormatting>
  <conditionalFormatting sqref="AY14">
    <cfRule type="expression" dxfId="742" priority="51">
      <formula>(OR(#REF!=9,#REF!=8,#REF!=7,#REF!=6,#REF!=5,#REF!=4,#REF!=3))</formula>
    </cfRule>
  </conditionalFormatting>
  <conditionalFormatting sqref="AY15">
    <cfRule type="expression" dxfId="741" priority="50">
      <formula>(OR(#REF!=9,#REF!=8,#REF!=7,#REF!=6,#REF!=5,#REF!=4))</formula>
    </cfRule>
  </conditionalFormatting>
  <conditionalFormatting sqref="AY12">
    <cfRule type="expression" dxfId="740" priority="48">
      <formula>(OR(BC7=9,BC7=8,BC7=7,BC7=6,BC7=5,BC7=4,BC7=3,BC7=2,BC7=1))</formula>
    </cfRule>
  </conditionalFormatting>
  <conditionalFormatting sqref="AY13">
    <cfRule type="expression" dxfId="739" priority="47">
      <formula>(OR(#REF!=9,#REF!=8,#REF!=7,#REF!=6,#REF!=5,#REF!=4,#REF!=3,#REF!=2))</formula>
    </cfRule>
  </conditionalFormatting>
  <conditionalFormatting sqref="AY14">
    <cfRule type="expression" dxfId="738" priority="46">
      <formula>(OR(#REF!=9,#REF!=8,#REF!=7,#REF!=6,#REF!=5,#REF!=4,#REF!=3))</formula>
    </cfRule>
  </conditionalFormatting>
  <conditionalFormatting sqref="AY15">
    <cfRule type="expression" dxfId="737" priority="45">
      <formula>(OR(#REF!=9,#REF!=8,#REF!=7,#REF!=6,#REF!=5,#REF!=4))</formula>
    </cfRule>
  </conditionalFormatting>
  <conditionalFormatting sqref="W15">
    <cfRule type="cellIs" dxfId="736" priority="27" operator="equal">
      <formula>4</formula>
    </cfRule>
  </conditionalFormatting>
  <conditionalFormatting sqref="AB12:AB15">
    <cfRule type="containsText" dxfId="735" priority="19" operator="containsText" text="OFFICE">
      <formula>NOT(ISERROR(SEARCH("OFFICE",AB12)))</formula>
    </cfRule>
  </conditionalFormatting>
  <conditionalFormatting sqref="AR12:AR13">
    <cfRule type="iconSet" priority="18">
      <iconSet iconSet="3Signs">
        <cfvo type="percent" val="0"/>
        <cfvo type="percent" val="12"/>
        <cfvo type="percent" val="13" gte="0"/>
      </iconSet>
    </cfRule>
  </conditionalFormatting>
  <conditionalFormatting sqref="BA13:BE13">
    <cfRule type="expression" dxfId="734" priority="17">
      <formula>OR($BC$7=2)</formula>
    </cfRule>
  </conditionalFormatting>
  <conditionalFormatting sqref="AK12">
    <cfRule type="expression" dxfId="733" priority="16">
      <formula>OR($AE$12=51)</formula>
    </cfRule>
  </conditionalFormatting>
  <conditionalFormatting sqref="AM18">
    <cfRule type="iconSet" priority="147">
      <iconSet iconSet="3Signs">
        <cfvo type="percent" val="0"/>
        <cfvo type="percent" val="12"/>
        <cfvo type="percent" val="13" gte="0"/>
      </iconSet>
    </cfRule>
  </conditionalFormatting>
  <conditionalFormatting sqref="AM16:AM17">
    <cfRule type="iconSet" priority="148">
      <iconSet iconSet="3Signs">
        <cfvo type="percent" val="0"/>
        <cfvo type="percent" val="12"/>
        <cfvo type="percent" val="13" gte="0"/>
      </iconSet>
    </cfRule>
  </conditionalFormatting>
  <dataValidations count="3">
    <dataValidation type="list" allowBlank="1" showInputMessage="1" showErrorMessage="1" sqref="J3:P3">
      <formula1>INDIRECT($G$3)</formula1>
    </dataValidation>
    <dataValidation type="list" allowBlank="1" showInputMessage="1" showErrorMessage="1" sqref="H5">
      <formula1>INDIRECT($E$5)</formula1>
    </dataValidation>
    <dataValidation type="list" allowBlank="1" showInputMessage="1" showErrorMessage="1" sqref="E5">
      <formula1>Catégorie</formula1>
    </dataValidation>
  </dataValidations>
  <pageMargins left="0.28000000000000003" right="0.31496062992125984" top="0.32" bottom="0.61" header="0.2" footer="0.31496062992125984"/>
  <pageSetup paperSize="9" orientation="landscape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G29"/>
  <sheetViews>
    <sheetView view="pageBreakPreview" zoomScale="80" zoomScaleNormal="70" zoomScaleSheetLayoutView="80" workbookViewId="0">
      <selection activeCell="N28" sqref="N28"/>
    </sheetView>
  </sheetViews>
  <sheetFormatPr baseColWidth="10" defaultRowHeight="15"/>
  <cols>
    <col min="1" max="1" width="7.85546875" style="58" customWidth="1"/>
    <col min="2" max="2" width="8.140625" style="58" customWidth="1"/>
    <col min="3" max="3" width="8.7109375" style="58" customWidth="1"/>
    <col min="4" max="4" width="8.42578125" style="58" customWidth="1"/>
    <col min="5" max="5" width="9.5703125" style="58" customWidth="1"/>
    <col min="6" max="6" width="8.5703125" style="58" customWidth="1"/>
    <col min="7" max="8" width="5.42578125" style="58" customWidth="1"/>
    <col min="9" max="9" width="9.5703125" style="58" customWidth="1"/>
    <col min="10" max="10" width="7.7109375" style="58" customWidth="1"/>
    <col min="11" max="11" width="9.140625" style="58" customWidth="1"/>
    <col min="12" max="12" width="9.42578125" style="58" customWidth="1"/>
    <col min="13" max="13" width="11.42578125" style="58"/>
    <col min="14" max="14" width="13.5703125" style="58" customWidth="1"/>
    <col min="15" max="15" width="18" style="58" customWidth="1"/>
    <col min="16" max="16" width="3" style="58" customWidth="1"/>
    <col min="17" max="17" width="6.140625" style="58" customWidth="1"/>
    <col min="18" max="18" width="5.7109375" style="58" customWidth="1"/>
    <col min="19" max="19" width="27.7109375" style="58" customWidth="1"/>
    <col min="20" max="20" width="19" style="58" customWidth="1"/>
    <col min="21" max="21" width="10.42578125" style="58" customWidth="1"/>
    <col min="22" max="22" width="3.5703125" style="58" customWidth="1"/>
    <col min="23" max="23" width="5.85546875" style="58" customWidth="1"/>
    <col min="24" max="24" width="9.140625" style="58" hidden="1" customWidth="1"/>
    <col min="25" max="25" width="7.7109375" style="58" customWidth="1"/>
    <col min="26" max="26" width="7.5703125" style="58" customWidth="1"/>
    <col min="27" max="27" width="8.140625" style="58" customWidth="1"/>
    <col min="28" max="28" width="23" style="58" customWidth="1"/>
    <col min="29" max="29" width="9.85546875" style="58" customWidth="1"/>
    <col min="30" max="30" width="3.42578125" style="58" customWidth="1"/>
    <col min="31" max="31" width="8.7109375" style="58" hidden="1" customWidth="1"/>
    <col min="32" max="32" width="3" customWidth="1"/>
    <col min="33" max="33" width="9.42578125" style="58" customWidth="1"/>
    <col min="34" max="34" width="6.140625" style="58" customWidth="1"/>
    <col min="35" max="35" width="6.85546875" style="58" customWidth="1"/>
    <col min="36" max="36" width="28.5703125" style="58" customWidth="1"/>
    <col min="37" max="37" width="9" style="58" customWidth="1"/>
    <col min="38" max="38" width="8.140625" style="58" hidden="1" customWidth="1"/>
    <col min="39" max="39" width="10.42578125" style="58" hidden="1" customWidth="1"/>
    <col min="40" max="40" width="8.7109375" style="58" customWidth="1"/>
    <col min="41" max="41" width="9" style="58" customWidth="1"/>
    <col min="42" max="42" width="8.7109375" style="58" customWidth="1"/>
    <col min="43" max="43" width="6.140625" style="58" customWidth="1"/>
    <col min="44" max="44" width="5.28515625" style="58" customWidth="1"/>
    <col min="45" max="45" width="27.5703125" style="58" customWidth="1"/>
    <col min="46" max="46" width="9" style="58" customWidth="1"/>
    <col min="47" max="48" width="4.7109375" style="58" customWidth="1"/>
    <col min="49" max="49" width="8.42578125" style="58" customWidth="1"/>
    <col min="50" max="50" width="6.28515625" style="58" customWidth="1"/>
    <col min="51" max="51" width="6.85546875" style="58" customWidth="1"/>
    <col min="52" max="52" width="26.42578125" style="58" customWidth="1"/>
    <col min="53" max="55" width="8.5703125" style="58" customWidth="1"/>
    <col min="56" max="56" width="5.28515625" style="58" customWidth="1"/>
    <col min="57" max="57" width="6.140625" style="58" customWidth="1"/>
    <col min="58" max="58" width="23.85546875" style="58" customWidth="1"/>
    <col min="59" max="60" width="8.5703125" style="58" customWidth="1"/>
    <col min="61" max="61" width="6.140625" style="58" customWidth="1"/>
    <col min="62" max="62" width="7.140625" style="58" customWidth="1"/>
    <col min="63" max="63" width="9.42578125" style="58" customWidth="1"/>
    <col min="64" max="64" width="9.140625" style="58" customWidth="1"/>
    <col min="65" max="65" width="25.28515625" style="58" customWidth="1"/>
    <col min="66" max="66" width="9.5703125" style="58" customWidth="1"/>
    <col min="67" max="67" width="8.7109375" style="58" hidden="1" customWidth="1"/>
    <col min="68" max="68" width="9.5703125" style="58" hidden="1" customWidth="1"/>
    <col min="69" max="69" width="7.28515625" style="58" hidden="1" customWidth="1"/>
    <col min="70" max="70" width="9.140625" style="58" hidden="1" customWidth="1"/>
    <col min="71" max="71" width="6.7109375" style="58" hidden="1" customWidth="1"/>
    <col min="72" max="72" width="8.7109375" style="58" hidden="1" customWidth="1"/>
    <col min="73" max="73" width="8.5703125" style="58" hidden="1" customWidth="1"/>
    <col min="74" max="74" width="9.5703125" style="58" hidden="1" customWidth="1"/>
    <col min="75" max="75" width="8.7109375" style="58" hidden="1" customWidth="1"/>
    <col min="76" max="76" width="9" style="58" hidden="1" customWidth="1"/>
    <col min="77" max="77" width="10.5703125" style="58" hidden="1" customWidth="1"/>
    <col min="78" max="78" width="9" style="58" hidden="1" customWidth="1"/>
    <col min="79" max="79" width="6.5703125" style="58" customWidth="1"/>
    <col min="80" max="80" width="9.5703125" style="58" customWidth="1"/>
    <col min="81" max="81" width="8.42578125" style="58" customWidth="1"/>
    <col min="82" max="83" width="8.7109375" style="58" customWidth="1"/>
    <col min="84" max="84" width="8.5703125" style="58" customWidth="1"/>
    <col min="85" max="16384" width="11.42578125" style="58"/>
  </cols>
  <sheetData>
    <row r="1" spans="1:85" ht="28.5" thickBot="1">
      <c r="A1"/>
      <c r="B1"/>
      <c r="C1"/>
      <c r="D1" s="1074" t="s">
        <v>72</v>
      </c>
      <c r="E1" s="1075"/>
      <c r="F1" s="1075"/>
      <c r="G1" s="1076"/>
      <c r="H1" s="81"/>
      <c r="I1" s="1085" t="s">
        <v>95</v>
      </c>
      <c r="J1" s="1086"/>
      <c r="K1" s="1086"/>
      <c r="L1" s="1086"/>
      <c r="M1" s="1087"/>
      <c r="N1"/>
      <c r="O1"/>
      <c r="P1"/>
      <c r="Q1" s="135"/>
      <c r="R1" s="136"/>
      <c r="S1" s="42"/>
      <c r="T1" s="137"/>
      <c r="U1" s="42"/>
      <c r="V1" s="42"/>
      <c r="W1" s="138"/>
      <c r="AB1"/>
      <c r="AC1"/>
      <c r="AD1"/>
      <c r="AE1"/>
      <c r="AG1"/>
      <c r="AH1" s="1074" t="s">
        <v>72</v>
      </c>
      <c r="AI1" s="1075"/>
      <c r="AJ1" s="1075"/>
      <c r="AK1" s="1076"/>
      <c r="AL1" s="81"/>
      <c r="AM1" s="81"/>
      <c r="AN1" s="81"/>
      <c r="AO1" s="1085" t="s">
        <v>95</v>
      </c>
      <c r="AP1" s="1086"/>
      <c r="AQ1" s="1086"/>
      <c r="AR1" s="1086"/>
      <c r="AS1" s="1087"/>
      <c r="AT1"/>
      <c r="AU1"/>
      <c r="AV1"/>
      <c r="AW1"/>
      <c r="AX1"/>
      <c r="AY1"/>
      <c r="BB1"/>
      <c r="BX1" s="269"/>
    </row>
    <row r="2" spans="1:85" ht="19.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40"/>
      <c r="S2" s="42"/>
      <c r="T2" s="42"/>
      <c r="U2" s="42"/>
      <c r="V2" s="42"/>
      <c r="W2" s="143"/>
      <c r="AJ2" s="269"/>
      <c r="AU2" s="270"/>
      <c r="AV2" s="270"/>
      <c r="BV2" s="269"/>
    </row>
    <row r="3" spans="1:85" ht="28.5" thickBot="1">
      <c r="A3" s="142" t="s">
        <v>80</v>
      </c>
      <c r="B3" s="947">
        <f ca="1">TODAY()</f>
        <v>44239</v>
      </c>
      <c r="C3" s="948"/>
      <c r="D3" s="945">
        <f ca="1">YEAR(NOW())</f>
        <v>2021</v>
      </c>
      <c r="E3" s="946"/>
      <c r="F3" s="81"/>
      <c r="G3" s="941" t="s">
        <v>145</v>
      </c>
      <c r="H3" s="941"/>
      <c r="I3" s="81"/>
      <c r="J3" s="925" t="s">
        <v>141</v>
      </c>
      <c r="K3" s="926"/>
      <c r="L3" s="926"/>
      <c r="M3" s="927"/>
      <c r="N3" s="707"/>
      <c r="O3" s="707"/>
      <c r="P3" s="707"/>
      <c r="Q3" s="42"/>
      <c r="R3" s="140"/>
      <c r="S3" s="42"/>
      <c r="T3" s="42"/>
      <c r="U3" s="42"/>
      <c r="V3" s="42"/>
      <c r="W3" s="143"/>
      <c r="AB3" s="269"/>
      <c r="AC3" s="269"/>
      <c r="AD3" s="269"/>
      <c r="AG3" s="507" t="s">
        <v>80</v>
      </c>
      <c r="AH3" s="1080">
        <f ca="1">TODAY()</f>
        <v>44239</v>
      </c>
      <c r="AI3" s="1081"/>
      <c r="AJ3" s="721">
        <f ca="1">YEAR(NOW())</f>
        <v>2021</v>
      </c>
      <c r="AK3" s="720"/>
      <c r="AL3" s="720"/>
      <c r="AM3" s="272"/>
      <c r="AN3" s="925" t="str">
        <f>+E5</f>
        <v>Masculin</v>
      </c>
      <c r="AO3" s="927"/>
      <c r="AP3" s="686" t="str">
        <f>+G5</f>
        <v>M3</v>
      </c>
      <c r="AQ3" s="149"/>
      <c r="AR3" s="149"/>
      <c r="AS3" s="308" t="s">
        <v>97</v>
      </c>
      <c r="AU3"/>
      <c r="AV3"/>
      <c r="AW3"/>
      <c r="AX3"/>
      <c r="AY3"/>
      <c r="BX3" s="269"/>
    </row>
    <row r="4" spans="1:85" ht="21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40"/>
      <c r="S4" s="42"/>
      <c r="T4" s="42"/>
      <c r="U4" s="42"/>
      <c r="V4" s="42"/>
      <c r="W4" s="143"/>
      <c r="AJ4" s="269"/>
      <c r="AR4" s="270"/>
      <c r="BW4" s="269"/>
      <c r="CA4" s="1023" t="s">
        <v>42</v>
      </c>
      <c r="CB4" s="1023"/>
      <c r="CC4" s="1023"/>
      <c r="CD4" s="1023"/>
      <c r="CE4" s="1023"/>
      <c r="CF4" s="1023"/>
      <c r="CG4" s="1023"/>
    </row>
    <row r="5" spans="1:85" ht="27" thickBot="1">
      <c r="A5" s="507"/>
      <c r="B5" s="148"/>
      <c r="C5" s="148"/>
      <c r="D5" s="148"/>
      <c r="E5" s="1118" t="s">
        <v>123</v>
      </c>
      <c r="F5" s="1119"/>
      <c r="G5" s="1118" t="s">
        <v>93</v>
      </c>
      <c r="H5" s="1120"/>
      <c r="I5" s="1120"/>
      <c r="J5" s="1119"/>
      <c r="K5" s="151"/>
      <c r="L5" s="151"/>
      <c r="M5" s="151"/>
      <c r="N5" s="151"/>
      <c r="O5" s="151"/>
      <c r="P5" s="151"/>
      <c r="Q5" s="42"/>
      <c r="R5" s="140"/>
      <c r="S5" s="42"/>
      <c r="T5" s="42"/>
      <c r="U5" s="42"/>
      <c r="V5" s="42"/>
      <c r="W5" s="143"/>
      <c r="AS5"/>
      <c r="AT5"/>
      <c r="AU5"/>
      <c r="AV5"/>
      <c r="AX5" s="270"/>
      <c r="AY5" s="270"/>
      <c r="BJ5" s="730">
        <f>+J10</f>
        <v>51</v>
      </c>
      <c r="BN5" s="722"/>
      <c r="BO5" s="269"/>
      <c r="CE5" s="512" t="str">
        <f>+G11</f>
        <v>1</v>
      </c>
    </row>
    <row r="6" spans="1:85" ht="24" thickBo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140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143"/>
      <c r="AG6" s="486" t="s">
        <v>22</v>
      </c>
      <c r="AH6" s="487"/>
      <c r="AI6" s="487"/>
      <c r="AJ6" s="487"/>
      <c r="AK6" s="704"/>
      <c r="AL6"/>
      <c r="AM6"/>
      <c r="AN6" s="273" t="str">
        <f>+G10</f>
        <v>5</v>
      </c>
      <c r="AO6" s="1099">
        <f>+J10</f>
        <v>51</v>
      </c>
      <c r="AS6" s="269"/>
      <c r="AU6"/>
      <c r="AV6"/>
      <c r="AX6" s="930">
        <f>+K14</f>
        <v>2</v>
      </c>
      <c r="AY6" s="1039" t="s">
        <v>64</v>
      </c>
      <c r="AZ6" s="1040"/>
      <c r="BB6" s="270"/>
      <c r="BC6" s="270"/>
      <c r="BN6"/>
      <c r="BO6" s="270"/>
      <c r="BP6" s="270"/>
      <c r="BQ6" s="270"/>
      <c r="BR6" s="270"/>
      <c r="BS6" s="510"/>
      <c r="BT6" s="270"/>
      <c r="BU6" s="270"/>
      <c r="BV6" s="270"/>
    </row>
    <row r="7" spans="1:85" ht="24" thickBot="1">
      <c r="A7" s="42"/>
      <c r="B7" s="42"/>
      <c r="C7" s="511"/>
      <c r="D7" s="148"/>
      <c r="E7" s="148"/>
      <c r="F7" s="148"/>
      <c r="G7" s="148"/>
      <c r="H7" s="1117" t="s">
        <v>195</v>
      </c>
      <c r="I7" s="1117"/>
      <c r="J7" s="1117"/>
      <c r="K7" s="42"/>
      <c r="L7" s="42"/>
      <c r="M7" s="118"/>
      <c r="N7" s="118"/>
      <c r="O7" s="118"/>
      <c r="P7" s="118"/>
      <c r="Q7" s="42"/>
      <c r="R7" s="140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143"/>
      <c r="AG7" s="486" t="s">
        <v>55</v>
      </c>
      <c r="AH7" s="487"/>
      <c r="AI7" s="487"/>
      <c r="AJ7" s="487"/>
      <c r="AK7" s="704"/>
      <c r="AL7"/>
      <c r="AM7"/>
      <c r="AN7" s="274" t="str">
        <f>+G11</f>
        <v>1</v>
      </c>
      <c r="AO7" s="1099"/>
      <c r="AX7" s="931"/>
      <c r="AY7" s="1041"/>
      <c r="AZ7" s="1042"/>
      <c r="BB7" s="270"/>
      <c r="BC7" s="270"/>
      <c r="BU7" s="270"/>
      <c r="BV7" s="270"/>
      <c r="BW7" s="270"/>
      <c r="BX7" s="270"/>
      <c r="BY7" s="270"/>
      <c r="BZ7" s="510"/>
      <c r="CA7" s="270"/>
      <c r="CB7" s="270"/>
      <c r="CC7" s="270"/>
    </row>
    <row r="8" spans="1:85" ht="24" thickBot="1">
      <c r="A8" s="42"/>
      <c r="B8" s="148"/>
      <c r="C8" s="148"/>
      <c r="D8" s="148"/>
      <c r="E8" s="42"/>
      <c r="F8" s="42"/>
      <c r="G8" s="148"/>
      <c r="H8" s="153"/>
      <c r="I8" s="42"/>
      <c r="J8" s="139"/>
      <c r="K8" s="42"/>
      <c r="L8" s="42"/>
      <c r="M8" s="42"/>
      <c r="N8" s="42"/>
      <c r="O8" s="42"/>
      <c r="P8" s="42"/>
      <c r="Q8" s="42"/>
      <c r="R8" s="140"/>
      <c r="S8" s="42"/>
      <c r="T8" s="42"/>
      <c r="U8" s="42"/>
      <c r="V8" s="42"/>
      <c r="W8" s="143"/>
      <c r="AD8" s="269"/>
      <c r="AM8" s="270"/>
      <c r="BI8" s="270"/>
      <c r="BM8" s="270"/>
      <c r="BQ8" s="269"/>
    </row>
    <row r="9" spans="1:85" ht="21" thickBot="1">
      <c r="A9" s="42"/>
      <c r="B9" s="42"/>
      <c r="C9" s="42"/>
      <c r="D9" s="42"/>
      <c r="E9" s="42"/>
      <c r="F9" s="42"/>
      <c r="G9" s="42"/>
      <c r="H9" s="42"/>
      <c r="I9" s="42"/>
      <c r="J9" s="958"/>
      <c r="K9" s="958"/>
      <c r="L9" s="42"/>
      <c r="M9" s="42"/>
      <c r="N9" s="42"/>
      <c r="O9" s="42"/>
      <c r="P9" s="42"/>
      <c r="Q9" s="21"/>
      <c r="R9" s="22"/>
      <c r="S9" s="22"/>
      <c r="T9" s="22"/>
      <c r="U9" s="735" t="s">
        <v>52</v>
      </c>
      <c r="V9" s="42"/>
      <c r="W9" s="143"/>
      <c r="Y9" s="1028" t="s">
        <v>47</v>
      </c>
      <c r="Z9" s="1029"/>
      <c r="AA9" s="1029"/>
      <c r="AB9" s="1029"/>
      <c r="AC9" s="1030"/>
      <c r="AG9" s="1046" t="s">
        <v>48</v>
      </c>
      <c r="AH9" s="1047"/>
      <c r="AI9" s="1047"/>
      <c r="AJ9" s="1047"/>
      <c r="AK9" s="1048"/>
      <c r="AP9" s="1031" t="s">
        <v>140</v>
      </c>
      <c r="AQ9" s="1032"/>
      <c r="AR9" s="1032"/>
      <c r="AS9" s="1032"/>
      <c r="AT9" s="1033"/>
      <c r="AW9" s="1043" t="s">
        <v>139</v>
      </c>
      <c r="AX9" s="1044"/>
      <c r="AY9" s="1044"/>
      <c r="AZ9" s="1044"/>
      <c r="BA9" s="1045"/>
      <c r="BC9" s="1113" t="s">
        <v>153</v>
      </c>
      <c r="BD9" s="1114"/>
      <c r="BE9" s="1114"/>
      <c r="BF9" s="1114"/>
      <c r="BG9" s="1115"/>
      <c r="BL9" s="1027" t="s">
        <v>56</v>
      </c>
      <c r="BM9" s="1027"/>
      <c r="BO9" s="1024" t="s">
        <v>137</v>
      </c>
      <c r="BP9" s="1025"/>
      <c r="BQ9" s="1025"/>
      <c r="BR9" s="1025"/>
      <c r="BS9" s="1026"/>
      <c r="BT9" s="490"/>
      <c r="BU9" s="1024" t="s">
        <v>102</v>
      </c>
      <c r="BV9" s="1025"/>
      <c r="BW9" s="1025"/>
      <c r="BX9" s="1025"/>
      <c r="BY9" s="1026"/>
      <c r="CA9" s="1012" t="s">
        <v>104</v>
      </c>
      <c r="CB9" s="1013"/>
      <c r="CC9" s="1013"/>
      <c r="CD9" s="1013"/>
      <c r="CE9" s="1013"/>
      <c r="CF9" s="1013"/>
      <c r="CG9" s="1013"/>
    </row>
    <row r="10" spans="1:85" ht="27" thickBot="1">
      <c r="A10" s="967" t="s">
        <v>22</v>
      </c>
      <c r="B10" s="968"/>
      <c r="C10" s="968"/>
      <c r="D10" s="968"/>
      <c r="E10" s="968"/>
      <c r="F10" s="969"/>
      <c r="G10" s="934" t="str">
        <f>LEFT(J10,1)</f>
        <v>5</v>
      </c>
      <c r="H10" s="935"/>
      <c r="I10" s="42"/>
      <c r="J10" s="928">
        <v>51</v>
      </c>
      <c r="K10" s="1116"/>
      <c r="L10" s="42"/>
      <c r="M10" s="42"/>
      <c r="N10" s="42"/>
      <c r="O10" s="42"/>
      <c r="P10" s="42"/>
      <c r="Q10" s="24"/>
      <c r="R10" s="82" t="s">
        <v>50</v>
      </c>
      <c r="S10" s="25" t="s">
        <v>53</v>
      </c>
      <c r="T10" s="26" t="s">
        <v>54</v>
      </c>
      <c r="U10" s="27" t="s">
        <v>151</v>
      </c>
      <c r="V10" s="22"/>
      <c r="W10" s="143"/>
      <c r="Y10" s="275" t="s">
        <v>98</v>
      </c>
      <c r="Z10" s="275" t="s">
        <v>64</v>
      </c>
      <c r="AA10" s="275"/>
      <c r="AB10" s="276" t="s">
        <v>99</v>
      </c>
      <c r="AC10" s="276" t="s">
        <v>100</v>
      </c>
      <c r="AE10" s="279"/>
      <c r="AG10" s="277" t="s">
        <v>98</v>
      </c>
      <c r="AH10" s="277" t="s">
        <v>64</v>
      </c>
      <c r="AI10" s="277"/>
      <c r="AJ10" s="278" t="s">
        <v>99</v>
      </c>
      <c r="AK10" s="278" t="s">
        <v>100</v>
      </c>
      <c r="AL10" s="346"/>
      <c r="AM10" s="346"/>
      <c r="AN10" s="346"/>
      <c r="AP10" s="277" t="s">
        <v>98</v>
      </c>
      <c r="AQ10" s="277" t="s">
        <v>64</v>
      </c>
      <c r="AR10" s="277"/>
      <c r="AS10" s="278" t="s">
        <v>99</v>
      </c>
      <c r="AT10" s="278" t="s">
        <v>100</v>
      </c>
      <c r="AW10" s="279"/>
      <c r="AX10" s="279"/>
      <c r="AY10" s="279"/>
      <c r="AZ10" s="279"/>
      <c r="BA10" s="279"/>
      <c r="BC10" s="279"/>
      <c r="BD10" s="279"/>
      <c r="BE10" s="279"/>
      <c r="BF10" s="279"/>
      <c r="BG10" s="279"/>
      <c r="BJ10" s="279"/>
      <c r="BK10" s="279"/>
      <c r="BL10" s="279"/>
      <c r="BM10" s="279"/>
      <c r="BO10" s="343"/>
      <c r="BP10" s="343"/>
      <c r="BQ10" s="343"/>
      <c r="BR10" s="344"/>
      <c r="BS10" s="343"/>
      <c r="BT10" s="490"/>
      <c r="BW10" s="269" t="s">
        <v>138</v>
      </c>
      <c r="BX10" s="270"/>
    </row>
    <row r="11" spans="1:85" ht="27.75" thickTop="1" thickBot="1">
      <c r="A11" s="967" t="s">
        <v>55</v>
      </c>
      <c r="B11" s="968"/>
      <c r="C11" s="968"/>
      <c r="D11" s="968"/>
      <c r="E11" s="968"/>
      <c r="F11" s="969"/>
      <c r="G11" s="936" t="str">
        <f>RIGHT(J10,1)</f>
        <v>1</v>
      </c>
      <c r="H11" s="937"/>
      <c r="I11" s="42"/>
      <c r="J11" s="1116"/>
      <c r="K11" s="1116"/>
      <c r="L11" s="42"/>
      <c r="M11" s="42"/>
      <c r="N11" s="42"/>
      <c r="O11" s="42"/>
      <c r="P11" s="42"/>
      <c r="Q11" s="34">
        <v>1</v>
      </c>
      <c r="R11" s="29"/>
      <c r="S11" s="29" t="s">
        <v>14</v>
      </c>
      <c r="T11" s="83"/>
      <c r="U11" s="30">
        <v>1</v>
      </c>
      <c r="V11" s="28"/>
      <c r="W11" s="422">
        <v>1</v>
      </c>
      <c r="X11" s="959" t="str">
        <f>CONCATENATE(E16,E17)</f>
        <v>51</v>
      </c>
      <c r="Y11" s="979">
        <v>1</v>
      </c>
      <c r="Z11" s="976">
        <v>1</v>
      </c>
      <c r="AA11" s="280" t="s">
        <v>14</v>
      </c>
      <c r="AB11" s="85" t="str">
        <f>IF(ISNA(MATCH($W11,$U$11:$U$17,0)),"",INDEX($S$11:$S$17,MATCH($W11,$U$11:$U$17,0)))</f>
        <v>A</v>
      </c>
      <c r="AC11" s="281">
        <v>0</v>
      </c>
      <c r="AE11" s="955" t="str">
        <f>+X11</f>
        <v>51</v>
      </c>
      <c r="AG11" s="979">
        <v>1</v>
      </c>
      <c r="AH11" s="976">
        <v>4</v>
      </c>
      <c r="AI11" s="283"/>
      <c r="AJ11" s="284" t="str">
        <f>IF(OR(AND(AE12+AE11&gt;50,AE12+AE11&lt;55)),AB15," ")</f>
        <v>E</v>
      </c>
      <c r="AK11" s="281">
        <v>1</v>
      </c>
      <c r="AO11" s="502"/>
      <c r="AP11" s="979">
        <v>1</v>
      </c>
      <c r="AQ11" s="1036">
        <v>1</v>
      </c>
      <c r="AR11" s="416"/>
      <c r="AS11" s="417" t="str">
        <f>IF(BJ5+BJ6=51,IF(AK11=AK12,"résultat",IF(AK11&gt;AK12,AJ11,AJ12)),IF(BJ5+BJ6=52,IF(AK11=AK12,"résultat",IF(AK11&gt;AK12,AJ11,AJ12)),IF(BJ5+BJ6=53,IF(AK11=AK12,"résultat",IF(AK11&gt;AK12,AJ11,AJ12)),IF(BJ5+BJ6=54," "))))</f>
        <v>E</v>
      </c>
      <c r="AT11" s="418">
        <v>1</v>
      </c>
      <c r="AX11" s="419"/>
      <c r="AY11" s="419"/>
      <c r="AZ11" s="323"/>
      <c r="BA11" s="419"/>
      <c r="BD11" s="419"/>
      <c r="BE11" s="419"/>
      <c r="BF11" s="323"/>
      <c r="BG11" s="419"/>
      <c r="BJ11" s="419"/>
      <c r="BK11" s="325"/>
      <c r="BL11" s="331"/>
      <c r="BM11" s="332"/>
      <c r="BO11" s="343" t="s">
        <v>103</v>
      </c>
      <c r="BP11" s="343"/>
      <c r="BQ11" s="346" t="s">
        <v>99</v>
      </c>
      <c r="BR11" s="346"/>
      <c r="BS11" s="346" t="s">
        <v>100</v>
      </c>
      <c r="BT11" s="269"/>
      <c r="CA11" s="141"/>
      <c r="CB11" s="141"/>
      <c r="CC11" s="141"/>
    </row>
    <row r="12" spans="1:85" ht="27.75" customHeight="1" thickTop="1" thickBo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35">
        <v>2</v>
      </c>
      <c r="R12" s="31"/>
      <c r="S12" s="31" t="s">
        <v>15</v>
      </c>
      <c r="T12" s="86"/>
      <c r="U12" s="32">
        <v>2</v>
      </c>
      <c r="V12" s="42"/>
      <c r="W12" s="423">
        <v>2</v>
      </c>
      <c r="X12" s="960"/>
      <c r="Y12" s="980"/>
      <c r="Z12" s="977"/>
      <c r="AA12" s="285" t="s">
        <v>15</v>
      </c>
      <c r="AB12" s="88" t="str">
        <f>IF(ISNA(MATCH($W12,$U$11:$U$17,0)),"",INDEX($S$11:$S$17,MATCH($W12,$U$11:$U$17,0)))</f>
        <v>B</v>
      </c>
      <c r="AC12" s="287">
        <v>1</v>
      </c>
      <c r="AE12" s="956"/>
      <c r="AG12" s="980"/>
      <c r="AH12" s="977"/>
      <c r="AI12" s="288"/>
      <c r="AJ12" s="385" t="str">
        <f>IF(G10+G9=5,IF((AL13=2),AB13,IF((AM13=2),AB14,IF((AL14=2),AB11,IF((AM14=2),AB12," ")))))</f>
        <v>D</v>
      </c>
      <c r="AK12" s="287">
        <v>0</v>
      </c>
      <c r="AO12" s="503"/>
      <c r="AP12" s="1103"/>
      <c r="AQ12" s="1037"/>
      <c r="AR12" s="326"/>
      <c r="AS12" s="454" t="str">
        <f>IF(BJ5+BJ6=51,AJ15,IF(BJ5+BJ6=52,AJ15,IF(BJ5+BJ6=53,IF(AK13=AK14,"résultat",IF(AK13&gt;AK14,AJ13,AJ14)),IF(BJ5+BJ6=54," "))))</f>
        <v>B</v>
      </c>
      <c r="AT12" s="388">
        <v>0</v>
      </c>
      <c r="AW12" s="1111" t="str">
        <f>+X11</f>
        <v>51</v>
      </c>
      <c r="AX12" s="992">
        <v>2</v>
      </c>
      <c r="AY12" s="390"/>
      <c r="AZ12" s="434" t="str">
        <f>IF(BJ5+BJ6=51,IF(AT11=AT12,"résultat",IF(AT11&lt;AT12,AS11,AS12)),IF(BJ5+BJ6=52,IF(AT11=AT12,"résultat",IF(AT11&lt;AT12,AS11,AS12)),IF(BJ5+BJ6=53," ",IF(BJ5+BJ6=54," "))))</f>
        <v>B</v>
      </c>
      <c r="BA12" s="436">
        <v>2</v>
      </c>
      <c r="BC12" s="1111" t="str">
        <f>+AE11</f>
        <v>51</v>
      </c>
      <c r="BD12" s="992">
        <v>2</v>
      </c>
      <c r="BE12" s="390"/>
      <c r="BF12" s="434" t="str">
        <f>IF(BJ5+BJ6=51,IF(AT11=AT12,"résultat",IF(AT11&gt;AT12,AS11,AS12)),IF(BJ5+BJ6=52," ",IF(BJ5+BN6=53," ",IF(BJ5+BJ6=54," "))))</f>
        <v>E</v>
      </c>
      <c r="BG12" s="436">
        <v>2</v>
      </c>
      <c r="BJ12" s="325"/>
      <c r="BK12" s="394">
        <v>1</v>
      </c>
      <c r="BL12" s="1002" t="str">
        <f>+X11</f>
        <v>51</v>
      </c>
      <c r="BM12" s="333" t="str">
        <f>IF(BJ5+BJ6=51,IF(BG12=BG13,"résultat",IF(BG12&gt;BG13,BF12,BF13)),IF(BJ5+BJ6=52,IF(AT11=AT12,"résultat",IF(AT11&gt;AT12,AS11,AS12)),IF(BJ5+BJ6=53,IF(AT11=AT12,"résultat",IF(AT11&gt;AT12,AS11,AS12)),IF(BJ5+BJ6=54," ",))))</f>
        <v>E</v>
      </c>
      <c r="BN12" s="270"/>
      <c r="BO12" s="989">
        <v>1</v>
      </c>
      <c r="BP12" s="1109" t="str">
        <f>IF(BJ5+BN6=41," ",IF(BJ5+BN6=42," ",IF(BJ5+BN6=43," ",IF(BJ5+BN6=44,BM12,IF(BJ5+BN6=51," ",IF(BJ5+BN6=52," ",IF(BJ5+BN6=53," ",IF(BL12+BL10=54,IF(AK11=AK12,"résultat",IF(AK11&gt;AK12,AJ11,AJ12))))))))))</f>
        <v xml:space="preserve"> </v>
      </c>
      <c r="BQ12" s="997"/>
      <c r="BR12" s="998"/>
      <c r="BS12" s="347">
        <v>1</v>
      </c>
      <c r="BT12" s="490" t="str">
        <f>IF(BS12=BS13,"résultat",IF(BS12&gt;BS13,BP12,BP13))</f>
        <v xml:space="preserve"> </v>
      </c>
      <c r="BX12" s="270"/>
      <c r="CA12" s="352">
        <v>1</v>
      </c>
      <c r="CB12" s="353"/>
      <c r="CC12" s="1020" t="str">
        <f>IF($BJ$5+$BJ$6=51,BM12,IF($BJ$5+$BJ$6=52,BM12,IF($BJ$5+$BJ$6=53,BM12,IF($BJ$5+BJ6=54," "))))</f>
        <v>E</v>
      </c>
      <c r="CD12" s="1021"/>
      <c r="CE12" s="1021"/>
      <c r="CF12" s="1021"/>
      <c r="CG12" s="1022"/>
    </row>
    <row r="13" spans="1:85" ht="27.75" customHeight="1" thickBo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35">
        <v>3</v>
      </c>
      <c r="R13" s="31"/>
      <c r="S13" s="31" t="s">
        <v>49</v>
      </c>
      <c r="T13" s="86"/>
      <c r="U13" s="32">
        <v>3</v>
      </c>
      <c r="V13" s="42"/>
      <c r="W13" s="423">
        <v>3</v>
      </c>
      <c r="X13" s="960"/>
      <c r="Y13" s="980"/>
      <c r="Z13" s="978">
        <v>3</v>
      </c>
      <c r="AA13" s="289" t="s">
        <v>49</v>
      </c>
      <c r="AB13" s="89" t="str">
        <f>IF(ISNA(MATCH($W13,$U$11:$U$17,0)),"",INDEX($S$11:$S$17,MATCH($W13,$U$11:$U$17,0)))</f>
        <v>C</v>
      </c>
      <c r="AC13" s="290">
        <v>0</v>
      </c>
      <c r="AE13" s="956"/>
      <c r="AG13" s="980"/>
      <c r="AH13" s="978">
        <v>5</v>
      </c>
      <c r="AI13" s="291"/>
      <c r="AJ13" s="292" t="str">
        <f>IF(AE11+AE10=0," ",IF(AC11=AC12,"résultat",IF(AC11&lt;AC12,AB11,AB12)))</f>
        <v>A</v>
      </c>
      <c r="AK13" s="290">
        <v>0</v>
      </c>
      <c r="AL13" s="366">
        <f>IF($AC$11&gt;$AC$12,1)+IF($AC$13&gt;$AC$14,1)</f>
        <v>0</v>
      </c>
      <c r="AM13" s="357">
        <f>IF($AC$12&gt;$AC$11,1)+IF($AC$14&gt;$AC$13,1)</f>
        <v>2</v>
      </c>
      <c r="AN13" s="384"/>
      <c r="AO13" s="503" t="str">
        <f>+X11</f>
        <v>51</v>
      </c>
      <c r="AP13" s="1103"/>
      <c r="AQ13" s="1038">
        <v>2</v>
      </c>
      <c r="AR13" s="324"/>
      <c r="AS13" s="389" t="str">
        <f>IF(BJ5+BJ6=51,IF(AK11=AK12,"résultat",IF(AK11&lt;AK12,AJ11,AJ12)),IF(BJ5+BJ6=52,IF(AK11=AK12,"résultat",IF(AK11&lt;AK12,AJ11,AJ12)),IF(BJ5+BJ6=53,IF(AK11=AK12,"résultat",IF(AK11&lt;AK12,AJ11,AJ12)),IF(BJ5+BJ6=54," "))))</f>
        <v>D</v>
      </c>
      <c r="AT13" s="387">
        <v>1</v>
      </c>
      <c r="AW13" s="1112"/>
      <c r="AX13" s="993"/>
      <c r="AY13" s="391"/>
      <c r="AZ13" s="435" t="str">
        <f>IF(BJ5+BJ6=51,IF(AT13=AT14,"résultat",IF(AT13&gt;AT14,AS13,AS14)),IF(BJ5+BJ6=52,IF(AT13=AT14,"résultat",IF(AT13&gt;AT14,AS13,AS14)),IF(BJ5+BJ6=53," ",IF(BJ5+BJ6=54," "))))</f>
        <v>D</v>
      </c>
      <c r="BA13" s="437">
        <v>0</v>
      </c>
      <c r="BC13" s="1112"/>
      <c r="BD13" s="993"/>
      <c r="BE13" s="391"/>
      <c r="BF13" s="435" t="str">
        <f>IF(BJ5+BJ6=51,IF(BA12=BA13,"résultat",IF(BA12&gt;BA13,AZ12,AZ13)),IF(BJ5+BJ6=52," ",IF(BJ5+BJ6=53," ",IF(BJ5+BJ6=54," "))))</f>
        <v>B</v>
      </c>
      <c r="BG13" s="437">
        <v>0</v>
      </c>
      <c r="BJ13" s="325"/>
      <c r="BK13" s="335">
        <v>2</v>
      </c>
      <c r="BL13" s="994"/>
      <c r="BM13" s="445" t="str">
        <f>IF(BJ5+BJ6=51,IF(BA12=BA13,"résultat",IF(BA12&gt;BA13,AZ12,AZ13)),IF(BJ5+BJ6=52,IF(BA12=BA13,"résultat",IF(BA12&gt;BA13,AZ12,AZ13)),IF(BJ5+BJ6=53,IF(AT11=S12,"résultat",IF(AT11&lt;AT12,AS11,AS12)),IF(BJ5+BJ6=54," "))))</f>
        <v>B</v>
      </c>
      <c r="BN13" s="270"/>
      <c r="BO13" s="990"/>
      <c r="BP13" s="1110" t="str">
        <f>IF(BJ5+BN6=41," ",IF(BJ5+BN6=42," ",IF(BJ5+BN6=43," ",IF(BJ5+BN6=44,BM15,IF(BJ5+BN6=51," ",IF(BJ5+BN6=52," ",IF(BJ5+BN6=53," ",IF(BL12+BL11=54,IF(AK13=AK14,"résultat",IF(AK13&lt;AK14,AJ13,AJ14))))))))))</f>
        <v xml:space="preserve"> </v>
      </c>
      <c r="BQ13" s="1000"/>
      <c r="BR13" s="1001"/>
      <c r="BS13" s="348">
        <v>0</v>
      </c>
      <c r="BT13" s="490" t="str">
        <f>IF(BS12=BS13,"résultat",IF(BS12&lt;BS13,BP12,BP13))</f>
        <v xml:space="preserve"> </v>
      </c>
      <c r="BU13" s="343" t="s">
        <v>103</v>
      </c>
      <c r="BV13" s="343"/>
      <c r="BW13" s="346" t="s">
        <v>99</v>
      </c>
      <c r="BX13" s="346"/>
      <c r="BY13" s="346" t="s">
        <v>100</v>
      </c>
      <c r="CA13" s="354">
        <v>2</v>
      </c>
      <c r="CB13" s="353"/>
      <c r="CC13" s="1003" t="str">
        <f>IF($BJ$5+$BN$6=51," ",IF($BJ$5+$BN$6=52,BM13,IF($BJ$5+$BN$6=53,BM13,IF($BJ$5+$BN$6=54," "))))</f>
        <v xml:space="preserve"> </v>
      </c>
      <c r="CD13" s="1004"/>
      <c r="CE13" s="1004"/>
      <c r="CF13" s="1004"/>
      <c r="CG13" s="1005"/>
    </row>
    <row r="14" spans="1:85" ht="28.5" customHeight="1" thickBot="1">
      <c r="A14" s="139"/>
      <c r="B14" s="139"/>
      <c r="C14" s="922" t="s">
        <v>66</v>
      </c>
      <c r="D14" s="923"/>
      <c r="E14" s="206" t="s">
        <v>38</v>
      </c>
      <c r="G14" s="42"/>
      <c r="H14" s="42"/>
      <c r="I14" s="42"/>
      <c r="J14" s="42"/>
      <c r="K14" s="930">
        <f>IF(D16=3,1,IF(D16=4,2,IF(D16=5,2,IF(D16=6,2,IF(D16=7,3,"0")))))</f>
        <v>2</v>
      </c>
      <c r="L14" s="932" t="s">
        <v>64</v>
      </c>
      <c r="M14" s="42"/>
      <c r="N14" s="42"/>
      <c r="O14" s="42"/>
      <c r="P14" s="42"/>
      <c r="Q14" s="36">
        <v>4</v>
      </c>
      <c r="R14" s="31"/>
      <c r="S14" s="31" t="s">
        <v>40</v>
      </c>
      <c r="T14" s="86"/>
      <c r="U14" s="32">
        <v>4</v>
      </c>
      <c r="V14" s="42"/>
      <c r="W14" s="424">
        <f>IF(OR(AND(J$10&gt;39,J10&lt;60),AND(J10&gt;69,J10&lt;80)),4,0)</f>
        <v>4</v>
      </c>
      <c r="X14" s="960"/>
      <c r="Y14" s="980"/>
      <c r="Z14" s="977"/>
      <c r="AA14" s="293" t="s">
        <v>40</v>
      </c>
      <c r="AB14" s="91" t="str">
        <f>IF(ISNA(MATCH($W14,$U$11:$U$17,0)),"OFFICE",INDEX($S$11:$S$17,MATCH($W14,$U$11:$U$17,0)))</f>
        <v>D</v>
      </c>
      <c r="AC14" s="294">
        <v>1</v>
      </c>
      <c r="AE14" s="956"/>
      <c r="AG14" s="980"/>
      <c r="AH14" s="977"/>
      <c r="AI14" s="373"/>
      <c r="AJ14" s="371" t="str">
        <f>IF($AC$13=$AC$14,"résultat",IF($AC$13&lt;$AC$14,$AB$13,$AB$14))</f>
        <v>C</v>
      </c>
      <c r="AK14" s="368">
        <v>1</v>
      </c>
      <c r="AL14" s="367">
        <f>IF($AC$11&gt;$AC$12,1)+IF($AC$14&gt;$AC$13,1)</f>
        <v>1</v>
      </c>
      <c r="AM14" s="358">
        <f>IF($AC$12&gt;$AC$11,1)+IF($AC$13&gt;$AC$14,1)</f>
        <v>1</v>
      </c>
      <c r="AN14" s="384"/>
      <c r="AO14" s="503"/>
      <c r="AP14" s="1103"/>
      <c r="AQ14" s="1037"/>
      <c r="AR14" s="326"/>
      <c r="AS14" s="393" t="str">
        <f>IF(BJ5+BJ6=51,IF(AK13=AK14,"résultat",IF(AK13&gt;AK14,AJ13,AJ14)),IF(BJ5+BJ6=52,IF(AK13=AK14,"résultat",IF(AK13&gt;AK14,AJ13,AJ14)),IF(BJ5+BJ6=53,AJ15,IF(BJ5+BJ6=54," "))))</f>
        <v>C</v>
      </c>
      <c r="AT14" s="348">
        <v>0</v>
      </c>
      <c r="AX14" s="329"/>
      <c r="AY14" s="329"/>
      <c r="AZ14" s="519" t="s">
        <v>155</v>
      </c>
      <c r="BA14" s="325"/>
      <c r="BF14" s="514" t="s">
        <v>154</v>
      </c>
      <c r="BJ14" s="325"/>
      <c r="BK14" s="335">
        <v>3</v>
      </c>
      <c r="BL14" s="994"/>
      <c r="BM14" s="445" t="str">
        <f>IF(BJ5+BJ6=51,IF(BA12=BA13,"résultat",IF(BA12&lt;BA13,AZ12,AZ13)),IF(BJ5+BJ6=52,IF(BA12=BA13,"résultat",IF(BA12&lt;BA13,AZ12,AZ13)),IF(BJ5+BJ6=53,IF(AT13=AT14,"résultat",IF(AT13&gt;AT14,AS13,AS14)),IF(BJ5+BJ6=54," "))))</f>
        <v>D</v>
      </c>
      <c r="BN14" s="270"/>
      <c r="BO14" s="349"/>
      <c r="BP14" s="349"/>
      <c r="BQ14" s="349"/>
      <c r="BR14" s="350"/>
      <c r="BS14" s="349"/>
      <c r="BT14" s="345"/>
      <c r="BU14" s="989">
        <v>2</v>
      </c>
      <c r="BV14" s="1014" t="b">
        <f>IF(BJ5+BN6=41,BM12,IF(BJ5+BN6=42,BM12,IF(BJ5+BN6=43,BM12,IF(BJ5+BN6=44,BT12))))</f>
        <v>0</v>
      </c>
      <c r="BW14" s="1015"/>
      <c r="BX14" s="1016"/>
      <c r="BY14" s="347">
        <v>1</v>
      </c>
      <c r="BZ14" s="490" t="b">
        <f>IF(BY14=BY15,"résultat",IF(BY14&gt;BY15,BV14,BV15))</f>
        <v>0</v>
      </c>
      <c r="CA14" s="355">
        <v>3</v>
      </c>
      <c r="CB14" s="353"/>
      <c r="CC14" s="1003" t="str">
        <f>IF($BJ$5+$BJ$6=51," ",IF($BJ$5+$BJ$6=52," ",IF($BJ$5+$BJ$6=53,BM14,IF($BJ$5+$BJ$6=54," "))))</f>
        <v xml:space="preserve"> </v>
      </c>
      <c r="CD14" s="1004"/>
      <c r="CE14" s="1004"/>
      <c r="CF14" s="1004"/>
      <c r="CG14" s="1005"/>
    </row>
    <row r="15" spans="1:85" ht="27.75" customHeight="1" thickBot="1">
      <c r="A15" s="42"/>
      <c r="B15" s="42"/>
      <c r="C15" s="42"/>
      <c r="D15" s="42"/>
      <c r="E15" s="208"/>
      <c r="G15" s="42"/>
      <c r="H15" s="42"/>
      <c r="I15" s="42"/>
      <c r="J15" s="42"/>
      <c r="K15" s="931"/>
      <c r="L15" s="933"/>
      <c r="M15" s="42"/>
      <c r="N15" s="42"/>
      <c r="O15" s="42"/>
      <c r="P15" s="42"/>
      <c r="Q15" s="189">
        <v>5</v>
      </c>
      <c r="R15" s="190"/>
      <c r="S15" s="190" t="s">
        <v>41</v>
      </c>
      <c r="T15" s="191"/>
      <c r="U15" s="192">
        <v>5</v>
      </c>
      <c r="V15" s="90"/>
      <c r="W15" s="425">
        <f>IF(OR(AND($J$10&gt;39,$J$10&lt;50)),0,IF(OR(AND($J$10&gt;0,$J$10&lt;0),IF($J$10&gt;0,$J$10&lt;0)),4,IF(OR(AND($J$10&gt;49,$J$10&lt;60),AND($J$10&gt;0,$J$10&lt;0),IF($J$10&gt;0,$J$10&lt;0)),5,0)))</f>
        <v>5</v>
      </c>
      <c r="X15" s="961"/>
      <c r="Y15" s="981"/>
      <c r="Z15" s="505" t="s">
        <v>101</v>
      </c>
      <c r="AA15" s="296" t="s">
        <v>41</v>
      </c>
      <c r="AB15" s="444" t="str">
        <f>IF(W15+V15=0," ",IF(ISNA(MATCH($W15,$U$11:$U$17,0))," ",INDEX($S$11:$S$17,MATCH($W15,$U$11:$U$17,0))))</f>
        <v>E</v>
      </c>
      <c r="AC15" s="297">
        <v>2</v>
      </c>
      <c r="AE15" s="957"/>
      <c r="AG15" s="981"/>
      <c r="AH15" s="299" t="s">
        <v>101</v>
      </c>
      <c r="AI15" s="432" t="s">
        <v>41</v>
      </c>
      <c r="AJ15" s="449" t="str">
        <f>IF(G10+G9=5,IF(($AL$13=2),$AB$11,IF(($AM$13=2),$AB$12,IF(($AL$14=2),$AB$14,IF(($AM$14=2),$AB$13,0)))))</f>
        <v>B</v>
      </c>
      <c r="AK15" s="433"/>
      <c r="AO15" s="504"/>
      <c r="AP15" s="1104"/>
      <c r="AQ15" s="372"/>
      <c r="AR15" s="372"/>
      <c r="AS15" s="372"/>
      <c r="AT15" s="372"/>
      <c r="AU15" s="329"/>
      <c r="AV15" s="329"/>
      <c r="AW15" s="329"/>
      <c r="AX15" s="329"/>
      <c r="AY15" s="329"/>
      <c r="AZ15" s="330"/>
      <c r="BA15" s="325"/>
      <c r="BJ15" s="325"/>
      <c r="BK15" s="335">
        <v>4</v>
      </c>
      <c r="BL15" s="994"/>
      <c r="BM15" s="509" t="str">
        <f>IF(BJ5+BJ6=51,IF(AT13=AT14,"résultat",IF(AT13&lt;AT14,AS13,AS14)),IF(BJ5+BJ6=52,IF(AT13=AT14,"résultat",IF(AT13&lt;AT14,AS13,AS14)),IF(BJ5+BJ6=53,IF(AT13=AT14,"résultat",IF(AT13&lt;AT14,AS13,AS14)),IF(BJ5+BJ6=54," "))))</f>
        <v>C</v>
      </c>
      <c r="BO15" s="989">
        <v>3</v>
      </c>
      <c r="BP15" s="996" t="str">
        <f>IF(BJ5+BN6=41," ",IF(BJ5+BN6=42," ",IF(BJ5+BN6=43," ",IF(BJ5+BN6=44,BM13,IF(BJ5+BN6=51," ",IF(BJ5+BN6=52," ",IF(BJ5+BN6=53," ",IF(BL12+BL10=54,IF(AK11=AK12,"résultat",IF(AK11&gt;AK12,AJ11,AJ12))))))))))</f>
        <v xml:space="preserve"> </v>
      </c>
      <c r="BQ15" s="997"/>
      <c r="BR15" s="998"/>
      <c r="BS15" s="347">
        <v>2</v>
      </c>
      <c r="BT15" s="490" t="str">
        <f>IF(BS15=BS16,"résultat",IF(BS15&gt;BS16,BP15,BP16))</f>
        <v xml:space="preserve"> </v>
      </c>
      <c r="BU15" s="990"/>
      <c r="BV15" s="1017" t="b">
        <f>IF(BJ5+BN6=41,BM13,IF(BJ5+BN6=42,BM13,IF(BJ5+BN6=43,BM13,IF(BJ5+BN6=44,BT15))))</f>
        <v>0</v>
      </c>
      <c r="BW15" s="1018"/>
      <c r="BX15" s="1019"/>
      <c r="BY15" s="348">
        <v>0</v>
      </c>
      <c r="BZ15" s="490" t="b">
        <f>IF(BY14=BY15,"résultat",IF(BY14&lt;BY15,BV14,BV15))</f>
        <v>0</v>
      </c>
      <c r="CA15" s="501">
        <v>4</v>
      </c>
      <c r="CB15" s="383"/>
      <c r="CC15" s="1106" t="str">
        <f>IF($BJ$5+$BJ$6=51," ",IF($BJ$5+$BJ$6=52," ",IF($BJ$5+$BJ$6=53," ",IF($BJ$5+$BJ$6=54," "))))</f>
        <v xml:space="preserve"> </v>
      </c>
      <c r="CD15" s="1107"/>
      <c r="CE15" s="1107"/>
      <c r="CF15" s="1107"/>
      <c r="CG15" s="1108"/>
    </row>
    <row r="16" spans="1:85" ht="21" thickBot="1">
      <c r="A16" s="922" t="s">
        <v>61</v>
      </c>
      <c r="B16" s="924"/>
      <c r="C16" s="923"/>
      <c r="D16" s="196">
        <f>SUM(E16+F16)</f>
        <v>5</v>
      </c>
      <c r="E16" s="266" t="str">
        <f>IF(OR(AND(J10&gt;30,J10&lt;34),IF(J10&gt;60,J10&lt;65)),"3",IF(OR(AND(J10&gt;40,J10&lt;45),AND(J10&gt;70,J10&lt;76)),"4",IF(OR(AND(J10&gt;50,J10&lt;55)),"5","0")))</f>
        <v>5</v>
      </c>
      <c r="G16" s="42"/>
      <c r="H16" s="42"/>
      <c r="I16" s="42"/>
      <c r="J16" s="513"/>
      <c r="K16" s="42"/>
      <c r="L16" s="42"/>
      <c r="M16" s="42"/>
      <c r="N16" s="42"/>
      <c r="O16" s="42"/>
      <c r="P16" s="42"/>
      <c r="V16" s="90"/>
      <c r="AJ16"/>
      <c r="AK16"/>
      <c r="AL16"/>
      <c r="AM16"/>
      <c r="AN16"/>
      <c r="AO16"/>
      <c r="AP16" s="520"/>
      <c r="AQ16" s="356"/>
      <c r="AR16" s="356"/>
      <c r="AS16" s="508" t="s">
        <v>156</v>
      </c>
      <c r="AT16" s="356"/>
      <c r="AU16" s="329"/>
      <c r="AV16" s="329"/>
      <c r="AW16" s="329"/>
      <c r="AX16" s="329"/>
      <c r="AY16" s="329"/>
      <c r="AZ16" s="330"/>
      <c r="BA16" s="325"/>
      <c r="BF16" s="514" t="s">
        <v>152</v>
      </c>
      <c r="BG16" s="514" t="str">
        <f>IF(BG12&lt;BG13,BF12,BF13)</f>
        <v>B</v>
      </c>
      <c r="BJ16" s="325"/>
      <c r="BK16" s="336">
        <v>5</v>
      </c>
      <c r="BL16" s="1061"/>
      <c r="BM16" s="496" t="str">
        <f>IF(BJ5+BJ6=51,IF(AK13=AK14,"résultat",IF(AK13&lt;AK14,AJ13,AJ14)),IF(BJ5+BJ6=52,IF(AK13=AK14,"résultat",IF(AK13&lt;AK14,AJ13,AJ14)),IF(BJ5+BJ6=53,IF(AK13=AK14,"résultat",IF(AK13&lt;AK14,AJ13,AJ14)),IF(BJ5+BJ6=54," "))))</f>
        <v>A</v>
      </c>
      <c r="BO16" s="990"/>
      <c r="BP16" s="999" t="str">
        <f>IF(BJ5+BN6=41," ",IF(BJ5+BN6=42," ",IF(BJ5+BN6=43," ",IF(BJ5+BN6=44,BM14,IF(BJ5+BN6=51," ",IF(BJ5+BN6=52," ",IF(BJ5+BN6=53," ",IF(BL12+BL11=54,IF(AK13=AK14,"résultat",IF(AK13&lt;AK14,AJ13,AJ14))))))))))</f>
        <v xml:space="preserve"> </v>
      </c>
      <c r="BQ16" s="1000"/>
      <c r="BR16" s="1001"/>
      <c r="BS16" s="348">
        <v>0</v>
      </c>
      <c r="BT16" s="490" t="str">
        <f>IF(BS15=BS16,"résultat",IF(BS15&lt;BS16,BP15,BP16))</f>
        <v xml:space="preserve"> </v>
      </c>
      <c r="BX16" s="270"/>
      <c r="BZ16" s="345"/>
      <c r="CA16"/>
      <c r="CB16"/>
      <c r="CC16"/>
      <c r="CD16"/>
      <c r="CE16"/>
      <c r="CF16"/>
      <c r="CG16"/>
    </row>
    <row r="17" spans="1:78" ht="21.75" thickTop="1" thickBot="1">
      <c r="A17" s="922" t="s">
        <v>73</v>
      </c>
      <c r="B17" s="924"/>
      <c r="C17" s="923"/>
      <c r="D17" s="197">
        <f>SUM(E17+F17)</f>
        <v>1</v>
      </c>
      <c r="E17" s="268" t="str">
        <f>IF(OR(AND(J10&gt;30,J10&lt;32),AND(J10&gt;40,J10&lt;42),AND(J10&gt;50,J10&lt;52)),"1",IF(OR(AND(J10&gt;31,J10&lt;33),AND(J10&gt;41,J10&lt;43),AND(J10&gt;70,J10&lt;75),AND(J10&gt;60,J10&lt;65),AND(J10&gt;50,J10&lt;53)),"2",IF(OR(AND(J10&gt;32,J10&lt;34),AND(J10&gt;42,J10&lt;44),AND(J10&gt;52,J10&lt;54),AND(J10&gt;74,J10&lt;76)),"3",IF(OR(AND(J10&gt;43,J10&lt;45),AND(J10&gt;53,J10&lt;55)),4,"0"))))</f>
        <v>1</v>
      </c>
      <c r="G17" s="42"/>
      <c r="H17" s="42"/>
      <c r="I17" s="42"/>
      <c r="J17" s="160"/>
      <c r="K17" s="42"/>
      <c r="L17" s="42"/>
      <c r="M17" s="42"/>
      <c r="N17" s="42"/>
      <c r="O17" s="42"/>
      <c r="P17" s="42"/>
      <c r="V17" s="90"/>
      <c r="AL17" s="356"/>
      <c r="AM17" s="356"/>
      <c r="AN17" s="356"/>
      <c r="AO17" s="356"/>
      <c r="AP17" s="356"/>
      <c r="AQ17" s="356"/>
      <c r="AR17" s="356"/>
      <c r="AS17" s="356"/>
      <c r="AT17" s="356"/>
      <c r="AU17" s="322"/>
      <c r="AV17" s="322"/>
      <c r="AW17" s="322"/>
      <c r="AX17" s="322"/>
      <c r="AY17" s="322"/>
      <c r="AZ17" s="328"/>
      <c r="BA17" s="322"/>
      <c r="BJ17" s="277"/>
      <c r="BK17" s="277"/>
      <c r="BL17" s="277"/>
      <c r="BM17" s="277"/>
      <c r="BX17" s="270"/>
      <c r="BZ17" s="345"/>
    </row>
    <row r="18" spans="1:78" ht="21" thickTop="1">
      <c r="A18" s="110"/>
      <c r="B18" s="110"/>
      <c r="C18" s="155"/>
      <c r="D18" s="156"/>
      <c r="E18" s="139"/>
      <c r="F18" s="42"/>
      <c r="G18" s="42"/>
      <c r="H18" s="157"/>
      <c r="I18" s="157"/>
      <c r="J18" s="513"/>
      <c r="K18" s="157"/>
      <c r="L18" s="157"/>
      <c r="M18" s="157"/>
      <c r="N18" s="157"/>
      <c r="O18" s="157"/>
      <c r="P18" s="157"/>
      <c r="Q18" s="42"/>
      <c r="R18" s="42"/>
      <c r="S18" s="42"/>
      <c r="T18" s="42"/>
      <c r="U18" s="42"/>
      <c r="V18" s="90"/>
      <c r="AJ18" s="514" t="s">
        <v>152</v>
      </c>
      <c r="AK18" s="514" t="str">
        <f>IF(AK13=AK14,"résultat",IF(AK13&lt;AK14,AJ13,AJ14))</f>
        <v>A</v>
      </c>
      <c r="AL18" s="356"/>
      <c r="AM18" s="356"/>
      <c r="AN18" s="356"/>
      <c r="AO18" s="356"/>
      <c r="AP18" s="356"/>
      <c r="AQ18" s="356"/>
      <c r="AR18" s="356"/>
      <c r="AS18" s="514" t="s">
        <v>152</v>
      </c>
      <c r="AT18" s="508" t="str">
        <f>IF(AT13&lt;AT14,AS13,AS14)</f>
        <v>C</v>
      </c>
      <c r="AZ18" s="514" t="s">
        <v>152</v>
      </c>
      <c r="BA18" s="514" t="str">
        <f>IF(BA12&lt;BA13,AZ12,AZ13)</f>
        <v>D</v>
      </c>
      <c r="BJ18" s="322"/>
      <c r="BU18" s="269"/>
      <c r="BV18" s="510"/>
      <c r="BW18" s="269"/>
      <c r="BX18" s="269"/>
      <c r="BY18" s="269"/>
      <c r="BZ18" s="351"/>
    </row>
    <row r="19" spans="1:78" ht="20.25">
      <c r="A19" s="42"/>
      <c r="B19" s="1105" t="s">
        <v>84</v>
      </c>
      <c r="C19" s="1105"/>
      <c r="D19" s="1105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135"/>
      <c r="T19" s="42"/>
      <c r="U19" s="42"/>
      <c r="V19" s="90"/>
      <c r="AL19" s="356"/>
      <c r="AM19" s="356"/>
      <c r="AN19" s="356"/>
      <c r="AO19" s="356"/>
      <c r="AP19" s="356"/>
      <c r="AQ19" s="356"/>
      <c r="AR19" s="356"/>
      <c r="AS19" s="356"/>
      <c r="AT19" s="356"/>
    </row>
    <row r="20" spans="1:78" ht="16.5" thickBo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V20" s="90"/>
      <c r="W20" s="42"/>
      <c r="AO20" s="277"/>
      <c r="AP20" s="277"/>
      <c r="AQ20" s="277"/>
      <c r="AR20" s="277"/>
      <c r="AS20" s="277"/>
      <c r="AT20" s="277"/>
    </row>
    <row r="21" spans="1:78" ht="15.75" thickTop="1"/>
    <row r="22" spans="1:78" ht="26.25">
      <c r="A22" s="516"/>
      <c r="B22" s="517"/>
      <c r="C22" s="516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V22" s="439"/>
      <c r="W22" s="94"/>
      <c r="X22" s="440"/>
      <c r="Y22" s="516"/>
      <c r="Z22" s="516"/>
      <c r="AA22" s="516"/>
      <c r="AB22" s="516"/>
      <c r="AC22" s="518"/>
      <c r="AD22" s="516"/>
      <c r="AE22" s="516"/>
      <c r="AG22" s="516"/>
      <c r="AH22" s="516"/>
      <c r="AI22" s="516"/>
      <c r="AZ22" s="515"/>
      <c r="BI22" s="350"/>
      <c r="BM22" s="516"/>
      <c r="BN22" s="516"/>
      <c r="BO22" s="516"/>
      <c r="BP22" s="516"/>
      <c r="BQ22" s="516"/>
      <c r="BR22" s="516"/>
      <c r="BS22" s="516"/>
      <c r="BT22" s="516"/>
      <c r="BU22" s="516"/>
      <c r="BV22" s="516"/>
      <c r="BW22" s="516"/>
      <c r="BX22" s="516"/>
      <c r="BY22" s="516"/>
      <c r="BZ22" s="516"/>
    </row>
    <row r="23" spans="1:78" ht="26.25">
      <c r="Q23" s="42"/>
      <c r="R23" s="42"/>
      <c r="S23" s="42"/>
      <c r="T23" s="42"/>
      <c r="U23" s="42"/>
      <c r="AJ23" s="516"/>
      <c r="AK23" s="516"/>
      <c r="AL23" s="516"/>
      <c r="AM23" s="516"/>
      <c r="AN23" s="516"/>
      <c r="AO23" s="516"/>
      <c r="AP23" s="516"/>
      <c r="AQ23" s="516"/>
      <c r="AR23" s="516"/>
      <c r="AS23" s="516"/>
      <c r="AT23" s="516"/>
      <c r="AU23" s="516"/>
      <c r="AV23" s="516"/>
      <c r="AW23" s="516"/>
      <c r="BI23" s="515"/>
      <c r="BJ23" s="515"/>
      <c r="BK23" s="515"/>
      <c r="BL23" s="515"/>
    </row>
    <row r="24" spans="1:78" ht="26.25">
      <c r="A24" s="756" t="s">
        <v>187</v>
      </c>
      <c r="B24" s="194"/>
      <c r="C24" s="194"/>
      <c r="D24" s="194"/>
      <c r="E24" s="194"/>
      <c r="F24" s="194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506"/>
      <c r="R24" s="506"/>
      <c r="S24" s="506"/>
      <c r="T24" s="506"/>
      <c r="U24" s="506"/>
      <c r="V24" s="90"/>
      <c r="W24" s="42"/>
      <c r="X24" s="397"/>
      <c r="Y24" s="397"/>
      <c r="Z24" s="397"/>
      <c r="AA24" s="397"/>
      <c r="AN24" s="516"/>
      <c r="AO24" s="516"/>
      <c r="AP24" s="516"/>
      <c r="AQ24" s="516"/>
      <c r="AR24" s="516"/>
      <c r="AS24" s="516"/>
      <c r="AT24" s="516"/>
    </row>
    <row r="25" spans="1:78" ht="23.25">
      <c r="A25" s="756" t="s">
        <v>204</v>
      </c>
      <c r="B25" s="194"/>
      <c r="C25" s="194"/>
      <c r="D25" s="194"/>
      <c r="E25" s="194"/>
      <c r="F25" s="194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90"/>
      <c r="W25" s="42"/>
      <c r="X25" s="375"/>
      <c r="Y25" s="350"/>
      <c r="Z25" s="350"/>
      <c r="AA25" s="350"/>
    </row>
    <row r="26" spans="1:78" ht="23.25">
      <c r="A26" s="756" t="s">
        <v>191</v>
      </c>
      <c r="B26" s="194"/>
      <c r="C26" s="194"/>
      <c r="D26" s="194"/>
      <c r="E26" s="194"/>
      <c r="F26" s="194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90"/>
      <c r="W26" s="42"/>
      <c r="X26" s="349"/>
      <c r="Y26" s="350"/>
      <c r="Z26" s="350"/>
      <c r="AA26" s="350"/>
    </row>
    <row r="27" spans="1:78" ht="23.25">
      <c r="A27" s="52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V27" s="90"/>
      <c r="W27" s="42"/>
      <c r="X27" s="349"/>
      <c r="Y27" s="350"/>
      <c r="Z27" s="350"/>
      <c r="AA27" s="350"/>
    </row>
    <row r="29" spans="1:78">
      <c r="I29" s="408"/>
    </row>
  </sheetData>
  <sheetProtection password="CFC3" sheet="1" objects="1" scenarios="1" formatCells="0" formatColumns="0" formatRows="0" insertColumns="0" insertRows="0" insertHyperlinks="0" deleteColumns="0" deleteRows="0" sort="0"/>
  <mergeCells count="67">
    <mergeCell ref="J3:M3"/>
    <mergeCell ref="D1:G1"/>
    <mergeCell ref="I1:M1"/>
    <mergeCell ref="AH3:AI3"/>
    <mergeCell ref="H7:J7"/>
    <mergeCell ref="E5:F5"/>
    <mergeCell ref="G5:J5"/>
    <mergeCell ref="AX6:AX7"/>
    <mergeCell ref="AY6:AZ7"/>
    <mergeCell ref="BV15:BX15"/>
    <mergeCell ref="A10:F10"/>
    <mergeCell ref="G10:H10"/>
    <mergeCell ref="J10:K11"/>
    <mergeCell ref="A11:F11"/>
    <mergeCell ref="G11:H11"/>
    <mergeCell ref="X11:X15"/>
    <mergeCell ref="Y11:Y15"/>
    <mergeCell ref="AX12:AX13"/>
    <mergeCell ref="J9:K9"/>
    <mergeCell ref="Y9:AC9"/>
    <mergeCell ref="AG9:AK9"/>
    <mergeCell ref="AP9:AT9"/>
    <mergeCell ref="AW9:BA9"/>
    <mergeCell ref="BL9:BM9"/>
    <mergeCell ref="BC9:BG9"/>
    <mergeCell ref="CA9:CG9"/>
    <mergeCell ref="BO15:BO16"/>
    <mergeCell ref="BP15:BR15"/>
    <mergeCell ref="BO9:BS9"/>
    <mergeCell ref="BU9:BY9"/>
    <mergeCell ref="CC12:CG12"/>
    <mergeCell ref="CC13:CG13"/>
    <mergeCell ref="BC12:BC13"/>
    <mergeCell ref="BD12:BD13"/>
    <mergeCell ref="BL12:BL16"/>
    <mergeCell ref="CA4:CG4"/>
    <mergeCell ref="B19:D19"/>
    <mergeCell ref="CC14:CG14"/>
    <mergeCell ref="CC15:CG15"/>
    <mergeCell ref="BO12:BO13"/>
    <mergeCell ref="BP12:BR12"/>
    <mergeCell ref="BP13:BR13"/>
    <mergeCell ref="Z11:Z12"/>
    <mergeCell ref="AE11:AE15"/>
    <mergeCell ref="AG11:AG15"/>
    <mergeCell ref="AH11:AH12"/>
    <mergeCell ref="BU14:BU15"/>
    <mergeCell ref="BV14:BX14"/>
    <mergeCell ref="AW12:AW13"/>
    <mergeCell ref="BP16:BR16"/>
    <mergeCell ref="A16:C16"/>
    <mergeCell ref="Z13:Z14"/>
    <mergeCell ref="AN3:AO3"/>
    <mergeCell ref="AH1:AK1"/>
    <mergeCell ref="AO1:AS1"/>
    <mergeCell ref="A17:C17"/>
    <mergeCell ref="AH13:AH14"/>
    <mergeCell ref="AQ13:AQ14"/>
    <mergeCell ref="C14:D14"/>
    <mergeCell ref="K14:K15"/>
    <mergeCell ref="L14:L15"/>
    <mergeCell ref="AP11:AP15"/>
    <mergeCell ref="AQ11:AQ12"/>
    <mergeCell ref="AO6:AO7"/>
    <mergeCell ref="B3:C3"/>
    <mergeCell ref="D3:E3"/>
    <mergeCell ref="G3:H3"/>
  </mergeCells>
  <conditionalFormatting sqref="AS11:AS14 BF12:BF13 AZ12:AZ16 AJ11:AJ15">
    <cfRule type="containsText" dxfId="732" priority="78" operator="containsText" text="résultat">
      <formula>NOT(ISERROR(SEARCH("résultat",AJ11)))</formula>
    </cfRule>
    <cfRule type="containsText" dxfId="731" priority="79" operator="containsText" text="OFFICE">
      <formula>NOT(ISERROR(SEARCH("OFFICE",AJ11)))</formula>
    </cfRule>
  </conditionalFormatting>
  <conditionalFormatting sqref="AC13:AC14">
    <cfRule type="iconSet" priority="77">
      <iconSet iconSet="3Signs">
        <cfvo type="percent" val="0"/>
        <cfvo type="percent" val="12"/>
        <cfvo type="percent" val="13" gte="0"/>
      </iconSet>
    </cfRule>
  </conditionalFormatting>
  <conditionalFormatting sqref="AC11:AC12">
    <cfRule type="iconSet" priority="76">
      <iconSet iconSet="3Signs">
        <cfvo type="percent" val="0"/>
        <cfvo type="percent" val="12"/>
        <cfvo type="percent" val="13" gte="0"/>
      </iconSet>
    </cfRule>
  </conditionalFormatting>
  <conditionalFormatting sqref="AK11:AK12">
    <cfRule type="iconSet" priority="75">
      <iconSet iconSet="3Signs">
        <cfvo type="percent" val="0"/>
        <cfvo type="percent" val="12"/>
        <cfvo type="percent" val="13" gte="0"/>
      </iconSet>
    </cfRule>
  </conditionalFormatting>
  <conditionalFormatting sqref="AK13:AK14">
    <cfRule type="iconSet" priority="74">
      <iconSet iconSet="3Signs">
        <cfvo type="percent" val="0"/>
        <cfvo type="percent" val="12"/>
        <cfvo type="percent" val="13" gte="0"/>
      </iconSet>
    </cfRule>
  </conditionalFormatting>
  <conditionalFormatting sqref="AS11:AS14 BF12:BF13 AZ12:AZ16">
    <cfRule type="containsText" dxfId="730" priority="73" operator="containsText" text="résultat">
      <formula>NOT(ISERROR(SEARCH("résultat",AS11)))</formula>
    </cfRule>
  </conditionalFormatting>
  <conditionalFormatting sqref="BS12:BS13">
    <cfRule type="duplicateValues" dxfId="729" priority="69"/>
    <cfRule type="iconSet" priority="70">
      <iconSet>
        <cfvo type="percent" val="0"/>
        <cfvo type="percent" val="12"/>
        <cfvo type="percent" val="13"/>
      </iconSet>
    </cfRule>
  </conditionalFormatting>
  <conditionalFormatting sqref="BY14:BY15">
    <cfRule type="duplicateValues" dxfId="728" priority="67"/>
    <cfRule type="iconSet" priority="68">
      <iconSet>
        <cfvo type="percent" val="0"/>
        <cfvo type="percent" val="12"/>
        <cfvo type="percent" val="13"/>
      </iconSet>
    </cfRule>
  </conditionalFormatting>
  <conditionalFormatting sqref="CA13">
    <cfRule type="expression" dxfId="727" priority="59">
      <formula>(OR(#REF!=9,#REF!=8,#REF!=7,#REF!=6,#REF!=5,#REF!=4,#REF!=3,#REF!=2))</formula>
    </cfRule>
  </conditionalFormatting>
  <conditionalFormatting sqref="CA14">
    <cfRule type="expression" dxfId="726" priority="58">
      <formula>(OR(#REF!=9,#REF!=8,#REF!=7,#REF!=6,#REF!=5,#REF!=4,#REF!=3))</formula>
    </cfRule>
  </conditionalFormatting>
  <conditionalFormatting sqref="CA15">
    <cfRule type="expression" dxfId="725" priority="57">
      <formula>(OR(#REF!=9,#REF!=8,#REF!=7,#REF!=6,#REF!=5,#REF!=4))</formula>
    </cfRule>
  </conditionalFormatting>
  <conditionalFormatting sqref="CA12">
    <cfRule type="expression" dxfId="724" priority="55">
      <formula>(OR(CE5=9,CE5=8,CE5=7,CE5=6,CE5=5,CE5=4,CE5=3,CE5=2,CE5=1))</formula>
    </cfRule>
  </conditionalFormatting>
  <conditionalFormatting sqref="CA13">
    <cfRule type="expression" dxfId="723" priority="54">
      <formula>(OR(#REF!=9,#REF!=8,#REF!=7,#REF!=6,#REF!=5,#REF!=4,#REF!=3,#REF!=2))</formula>
    </cfRule>
  </conditionalFormatting>
  <conditionalFormatting sqref="CA14">
    <cfRule type="expression" dxfId="722" priority="53">
      <formula>(OR(#REF!=9,#REF!=8,#REF!=7,#REF!=6,#REF!=5,#REF!=4,#REF!=3))</formula>
    </cfRule>
  </conditionalFormatting>
  <conditionalFormatting sqref="CA15">
    <cfRule type="expression" dxfId="721" priority="52">
      <formula>(OR(#REF!=9,#REF!=8,#REF!=7,#REF!=6,#REF!=5,#REF!=4))</formula>
    </cfRule>
  </conditionalFormatting>
  <conditionalFormatting sqref="BS12:BS13">
    <cfRule type="duplicateValues" dxfId="720" priority="50"/>
  </conditionalFormatting>
  <conditionalFormatting sqref="BS12:BS13">
    <cfRule type="duplicateValues" dxfId="719" priority="48"/>
    <cfRule type="iconSet" priority="49">
      <iconSet iconSet="3Signs">
        <cfvo type="percent" val="0"/>
        <cfvo type="percent" val="12"/>
        <cfvo type="percent" val="13" gte="0"/>
      </iconSet>
    </cfRule>
  </conditionalFormatting>
  <conditionalFormatting sqref="BY14:BY15">
    <cfRule type="duplicateValues" dxfId="718" priority="47"/>
  </conditionalFormatting>
  <conditionalFormatting sqref="BY14:BY15">
    <cfRule type="duplicateValues" dxfId="717" priority="45"/>
    <cfRule type="iconSet" priority="46">
      <iconSet iconSet="3Signs">
        <cfvo type="percent" val="0"/>
        <cfvo type="percent" val="12"/>
        <cfvo type="percent" val="13" gte="0"/>
      </iconSet>
    </cfRule>
  </conditionalFormatting>
  <conditionalFormatting sqref="W14:W15">
    <cfRule type="cellIs" dxfId="716" priority="41" operator="equal">
      <formula>4</formula>
    </cfRule>
  </conditionalFormatting>
  <conditionalFormatting sqref="W15">
    <cfRule type="cellIs" dxfId="715" priority="40" stopIfTrue="1" operator="equal">
      <formula>5</formula>
    </cfRule>
  </conditionalFormatting>
  <conditionalFormatting sqref="AB11:AB15">
    <cfRule type="containsText" dxfId="714" priority="39" operator="containsText" text="OFFICE">
      <formula>NOT(ISERROR(SEARCH("OFFICE",AB11)))</formula>
    </cfRule>
  </conditionalFormatting>
  <conditionalFormatting sqref="BA12:BA13">
    <cfRule type="iconSet" priority="38">
      <iconSet iconSet="3Signs">
        <cfvo type="percent" val="0"/>
        <cfvo type="percent" val="12"/>
        <cfvo type="percent" val="13" gte="0"/>
      </iconSet>
    </cfRule>
  </conditionalFormatting>
  <conditionalFormatting sqref="AJ11">
    <cfRule type="expression" dxfId="713" priority="36">
      <formula>OR($AE$11=51)</formula>
    </cfRule>
  </conditionalFormatting>
  <conditionalFormatting sqref="AB15 AJ15">
    <cfRule type="expression" dxfId="712" priority="35">
      <formula>OR($G$10+$G$9=5)</formula>
    </cfRule>
  </conditionalFormatting>
  <conditionalFormatting sqref="AL17:AR18 AT17:AT18 AS17">
    <cfRule type="iconSet" priority="34">
      <iconSet iconSet="3Signs">
        <cfvo type="percent" val="0"/>
        <cfvo type="percent" val="12"/>
        <cfvo type="percent" val="13" gte="0"/>
      </iconSet>
    </cfRule>
  </conditionalFormatting>
  <conditionalFormatting sqref="AL19:AT19">
    <cfRule type="iconSet" priority="33">
      <iconSet iconSet="3Signs">
        <cfvo type="percent" val="0"/>
        <cfvo type="percent" val="12"/>
        <cfvo type="percent" val="13" gte="0"/>
      </iconSet>
    </cfRule>
  </conditionalFormatting>
  <conditionalFormatting sqref="BS15:BS16">
    <cfRule type="duplicateValues" dxfId="711" priority="31"/>
    <cfRule type="iconSet" priority="32">
      <iconSet>
        <cfvo type="percent" val="0"/>
        <cfvo type="percent" val="12"/>
        <cfvo type="percent" val="13"/>
      </iconSet>
    </cfRule>
  </conditionalFormatting>
  <conditionalFormatting sqref="BS15:BS16">
    <cfRule type="duplicateValues" dxfId="710" priority="30"/>
  </conditionalFormatting>
  <conditionalFormatting sqref="BS15:BS16">
    <cfRule type="duplicateValues" dxfId="709" priority="28"/>
    <cfRule type="iconSet" priority="29">
      <iconSet iconSet="3Signs">
        <cfvo type="percent" val="0"/>
        <cfvo type="percent" val="12"/>
        <cfvo type="percent" val="13" gte="0"/>
      </iconSet>
    </cfRule>
  </conditionalFormatting>
  <conditionalFormatting sqref="AO19:AT19">
    <cfRule type="iconSet" priority="24">
      <iconSet iconSet="3Signs">
        <cfvo type="percent" val="0"/>
        <cfvo type="percent" val="12"/>
        <cfvo type="percent" val="13" gte="0"/>
      </iconSet>
    </cfRule>
  </conditionalFormatting>
  <conditionalFormatting sqref="AO17:AR18 AT17:AT18 AS17">
    <cfRule type="iconSet" priority="23">
      <iconSet iconSet="3Signs">
        <cfvo type="percent" val="0"/>
        <cfvo type="percent" val="12"/>
        <cfvo type="percent" val="13" gte="0"/>
      </iconSet>
    </cfRule>
  </conditionalFormatting>
  <conditionalFormatting sqref="AT11:AT12">
    <cfRule type="iconSet" priority="22">
      <iconSet iconSet="3Signs">
        <cfvo type="percent" val="0"/>
        <cfvo type="percent" val="12"/>
        <cfvo type="percent" val="13" gte="0"/>
      </iconSet>
    </cfRule>
  </conditionalFormatting>
  <conditionalFormatting sqref="AT13:AT14">
    <cfRule type="iconSet" priority="21">
      <iconSet iconSet="3Signs">
        <cfvo type="percent" val="0"/>
        <cfvo type="percent" val="12"/>
        <cfvo type="percent" val="13" gte="0"/>
      </iconSet>
    </cfRule>
  </conditionalFormatting>
  <conditionalFormatting sqref="BG12:BG13">
    <cfRule type="iconSet" priority="17">
      <iconSet iconSet="3Signs">
        <cfvo type="percent" val="0"/>
        <cfvo type="percent" val="12"/>
        <cfvo type="percent" val="13" gte="0"/>
      </iconSet>
    </cfRule>
  </conditionalFormatting>
  <conditionalFormatting sqref="BM12:BM16">
    <cfRule type="expression" dxfId="708" priority="80" stopIfTrue="1">
      <formula>(OR(#REF!="1",#REF!="2",#REF!="3"))</formula>
    </cfRule>
  </conditionalFormatting>
  <conditionalFormatting sqref="BM13:BM16">
    <cfRule type="expression" dxfId="707" priority="81">
      <formula>(OR(#REF!="2",#REF!="3"))</formula>
    </cfRule>
  </conditionalFormatting>
  <conditionalFormatting sqref="CC12">
    <cfRule type="expression" dxfId="706" priority="206">
      <formula>(OR($CN$6=5,$CE$5+$CN$6=4,$CE$5+$CN$6=3,$CE$5+$CN$6=2,$CE$5+$CN$6=1))</formula>
    </cfRule>
  </conditionalFormatting>
  <conditionalFormatting sqref="CC14">
    <cfRule type="expression" dxfId="705" priority="207">
      <formula>(OR($CE$5=5,$CE$5+$CN$6=4,$CE$5+$CN$6=3))</formula>
    </cfRule>
  </conditionalFormatting>
  <conditionalFormatting sqref="CC13:CG13">
    <cfRule type="expression" dxfId="704" priority="208">
      <formula>(OR($CE$5+$CN$6=4,$CE$5+$CN$6=3,$CE$5+$CN$6=2))</formula>
    </cfRule>
  </conditionalFormatting>
  <conditionalFormatting sqref="CC15">
    <cfRule type="expression" dxfId="703" priority="209">
      <formula>(OR($CE$5=5,$CE$5+$CN$6=4))</formula>
    </cfRule>
  </conditionalFormatting>
  <dataValidations count="3">
    <dataValidation type="list" allowBlank="1" showInputMessage="1" showErrorMessage="1" sqref="E5">
      <formula1>Catégorie</formula1>
    </dataValidation>
    <dataValidation type="list" allowBlank="1" showInputMessage="1" showErrorMessage="1" sqref="G5:J5">
      <formula1>INDIRECT($E$5)</formula1>
    </dataValidation>
    <dataValidation type="list" allowBlank="1" showInputMessage="1" showErrorMessage="1" sqref="J3:P3">
      <formula1>INDIRECT($G$3)</formula1>
    </dataValidation>
  </dataValidations>
  <pageMargins left="0.21" right="0.2" top="0.36" bottom="0.74803149606299213" header="0.19" footer="0.31496062992125984"/>
  <pageSetup paperSize="9" orientation="landscape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"/>
  <dimension ref="A1:DG31"/>
  <sheetViews>
    <sheetView view="pageBreakPreview" zoomScale="70" zoomScaleNormal="80" zoomScaleSheetLayoutView="70" workbookViewId="0">
      <selection activeCell="N4" sqref="N4"/>
    </sheetView>
  </sheetViews>
  <sheetFormatPr baseColWidth="10" defaultRowHeight="15"/>
  <cols>
    <col min="1" max="1" width="9.7109375" style="269" customWidth="1"/>
    <col min="2" max="2" width="8.28515625" style="269" customWidth="1"/>
    <col min="3" max="3" width="6.140625" style="269" customWidth="1"/>
    <col min="4" max="4" width="9" style="269" customWidth="1"/>
    <col min="5" max="5" width="8.42578125" style="269" customWidth="1"/>
    <col min="6" max="6" width="6.85546875" style="269" customWidth="1"/>
    <col min="7" max="7" width="5.5703125" style="269" customWidth="1"/>
    <col min="8" max="8" width="5" style="269" customWidth="1"/>
    <col min="9" max="9" width="7.42578125" style="269" customWidth="1"/>
    <col min="10" max="10" width="5.5703125" style="269" customWidth="1"/>
    <col min="11" max="11" width="9.7109375" style="269" customWidth="1"/>
    <col min="12" max="12" width="11.42578125" style="269"/>
    <col min="13" max="13" width="8.5703125" style="269" customWidth="1"/>
    <col min="14" max="14" width="26.7109375" style="269" customWidth="1"/>
    <col min="15" max="15" width="11.42578125" style="269"/>
    <col min="16" max="16" width="4" customWidth="1"/>
    <col min="17" max="17" width="3.28515625" style="269" customWidth="1"/>
    <col min="18" max="18" width="6.28515625" style="269" customWidth="1"/>
    <col min="19" max="20" width="7" style="269" customWidth="1"/>
    <col min="21" max="21" width="26.140625" style="269" customWidth="1"/>
    <col min="22" max="22" width="8.7109375" style="269" customWidth="1"/>
    <col min="23" max="23" width="7.42578125" style="269" customWidth="1"/>
    <col min="24" max="24" width="6.28515625" style="269" customWidth="1"/>
    <col min="25" max="25" width="2.85546875" style="269" customWidth="1"/>
    <col min="26" max="26" width="6.140625" style="269" customWidth="1"/>
    <col min="27" max="27" width="7.85546875" style="269" customWidth="1"/>
    <col min="28" max="28" width="6.42578125" style="269" customWidth="1"/>
    <col min="29" max="29" width="26" style="269" customWidth="1"/>
    <col min="30" max="30" width="8" style="269" customWidth="1"/>
    <col min="31" max="31" width="7" style="269" customWidth="1"/>
    <col min="32" max="32" width="5.5703125" style="269" customWidth="1"/>
    <col min="33" max="33" width="2.7109375" style="269" customWidth="1"/>
    <col min="34" max="34" width="1.85546875" style="269" customWidth="1"/>
    <col min="35" max="35" width="5.7109375" style="269" customWidth="1"/>
    <col min="36" max="36" width="7.7109375" style="269" customWidth="1"/>
    <col min="37" max="37" width="7.140625" style="269" customWidth="1"/>
    <col min="38" max="38" width="26.28515625" style="269" customWidth="1"/>
    <col min="39" max="39" width="7.5703125" style="269" customWidth="1"/>
    <col min="40" max="40" width="6.85546875" style="269" customWidth="1"/>
    <col min="41" max="41" width="6.140625" style="269" customWidth="1"/>
    <col min="42" max="42" width="3" style="269" customWidth="1"/>
    <col min="43" max="43" width="5.85546875" style="269" customWidth="1"/>
    <col min="44" max="45" width="8.42578125" style="269" customWidth="1"/>
    <col min="46" max="46" width="25.5703125" style="269" customWidth="1"/>
    <col min="47" max="47" width="7.5703125" style="269" customWidth="1"/>
    <col min="48" max="48" width="7" style="269" customWidth="1"/>
    <col min="49" max="49" width="6.140625" style="269" customWidth="1"/>
    <col min="50" max="50" width="2.85546875" style="269" customWidth="1"/>
    <col min="51" max="51" width="3" style="269" customWidth="1"/>
    <col min="52" max="52" width="6.5703125" style="269" customWidth="1"/>
    <col min="53" max="53" width="7.28515625" style="269" customWidth="1"/>
    <col min="54" max="54" width="8.7109375" style="269" customWidth="1"/>
    <col min="55" max="55" width="25.7109375" style="269" customWidth="1"/>
    <col min="56" max="58" width="7.140625" style="269" customWidth="1"/>
    <col min="59" max="59" width="3.140625" style="269" customWidth="1"/>
    <col min="60" max="60" width="6.85546875" style="269" customWidth="1"/>
    <col min="61" max="61" width="12.85546875" style="269" customWidth="1"/>
    <col min="62" max="62" width="2.42578125" style="269" customWidth="1"/>
    <col min="63" max="63" width="6.140625" style="269" customWidth="1"/>
    <col min="64" max="65" width="6.5703125" style="269" customWidth="1"/>
    <col min="66" max="67" width="6.7109375" style="269" customWidth="1"/>
    <col min="68" max="68" width="10.28515625" style="269" customWidth="1"/>
    <col min="69" max="70" width="3.7109375" style="269" customWidth="1"/>
    <col min="71" max="72" width="9" style="269" customWidth="1"/>
    <col min="73" max="73" width="8.7109375" style="269" customWidth="1"/>
    <col min="74" max="74" width="8.42578125" style="269" customWidth="1"/>
    <col min="75" max="75" width="9.42578125" style="269" customWidth="1"/>
    <col min="76" max="76" width="10.85546875" style="269" customWidth="1"/>
    <col min="77" max="77" width="9" style="269" customWidth="1"/>
    <col min="78" max="78" width="4.140625" style="269" customWidth="1"/>
    <col min="79" max="79" width="9.42578125" style="269" customWidth="1"/>
    <col min="80" max="80" width="8.7109375" style="269" customWidth="1"/>
    <col min="81" max="81" width="9.85546875" style="269" customWidth="1"/>
    <col min="82" max="82" width="10.140625" style="269" customWidth="1"/>
    <col min="83" max="83" width="9.140625" style="269" customWidth="1"/>
    <col min="84" max="84" width="2.42578125" style="269" customWidth="1"/>
    <col min="85" max="85" width="14.7109375" style="269" customWidth="1"/>
    <col min="86" max="86" width="18.7109375" style="269" hidden="1" customWidth="1"/>
    <col min="87" max="87" width="16.5703125" style="269" hidden="1" customWidth="1"/>
    <col min="88" max="89" width="5.42578125" customWidth="1"/>
    <col min="90" max="90" width="12.5703125" style="269" customWidth="1"/>
    <col min="91" max="91" width="14" style="269" customWidth="1"/>
    <col min="92" max="92" width="32.28515625" style="269" customWidth="1"/>
    <col min="93" max="93" width="5.85546875" style="269" hidden="1" customWidth="1"/>
    <col min="94" max="95" width="13.28515625" style="269" customWidth="1"/>
    <col min="96" max="111" width="0" style="269" hidden="1" customWidth="1"/>
    <col min="112" max="16384" width="11.42578125" style="269"/>
  </cols>
  <sheetData>
    <row r="1" spans="1:111" ht="28.5" thickBot="1">
      <c r="A1"/>
      <c r="B1"/>
      <c r="C1"/>
      <c r="D1" s="1074" t="s">
        <v>72</v>
      </c>
      <c r="E1" s="1075"/>
      <c r="F1" s="1075"/>
      <c r="G1" s="1076"/>
      <c r="H1" s="81"/>
      <c r="I1" s="1085" t="s">
        <v>95</v>
      </c>
      <c r="J1" s="1086"/>
      <c r="K1" s="1086"/>
      <c r="L1" s="1086"/>
      <c r="M1" s="1087"/>
      <c r="N1"/>
      <c r="R1"/>
      <c r="S1" s="1074" t="s">
        <v>72</v>
      </c>
      <c r="T1" s="1075"/>
      <c r="U1" s="1075"/>
      <c r="V1" s="1076"/>
      <c r="W1" s="81"/>
      <c r="X1" s="1085" t="s">
        <v>95</v>
      </c>
      <c r="Y1" s="1086"/>
      <c r="Z1" s="1086"/>
      <c r="AA1" s="1086"/>
      <c r="AB1" s="1086"/>
      <c r="AC1" s="1087"/>
      <c r="AD1"/>
      <c r="AZ1"/>
      <c r="BA1" s="1074" t="s">
        <v>72</v>
      </c>
      <c r="BB1" s="1075"/>
      <c r="BC1" s="1075"/>
      <c r="BD1" s="1076"/>
      <c r="BE1" s="81"/>
      <c r="BF1" s="1085" t="s">
        <v>95</v>
      </c>
      <c r="BG1" s="1086"/>
      <c r="BH1" s="1086"/>
      <c r="BI1" s="1086"/>
      <c r="BJ1" s="1086"/>
      <c r="BK1" s="1087"/>
    </row>
    <row r="2" spans="1:111" ht="15.7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</row>
    <row r="3" spans="1:111" ht="28.5" thickBot="1">
      <c r="A3" s="142" t="s">
        <v>80</v>
      </c>
      <c r="B3" s="947">
        <f ca="1">TODAY()</f>
        <v>44239</v>
      </c>
      <c r="C3" s="948"/>
      <c r="D3" s="945">
        <f ca="1">YEAR(NOW())</f>
        <v>2021</v>
      </c>
      <c r="E3" s="946"/>
      <c r="F3" s="81"/>
      <c r="G3" s="941" t="s">
        <v>145</v>
      </c>
      <c r="H3" s="941"/>
      <c r="I3" s="81"/>
      <c r="J3" s="925" t="s">
        <v>141</v>
      </c>
      <c r="K3" s="926"/>
      <c r="L3" s="926"/>
      <c r="M3" s="927"/>
      <c r="N3" s="707"/>
      <c r="Q3" s="148" t="s">
        <v>80</v>
      </c>
      <c r="R3" s="757"/>
      <c r="S3" s="947">
        <f ca="1">TODAY()</f>
        <v>44239</v>
      </c>
      <c r="T3" s="948"/>
      <c r="U3" s="945">
        <f ca="1">YEAR(NOW())</f>
        <v>2021</v>
      </c>
      <c r="V3" s="946"/>
      <c r="W3" s="81"/>
      <c r="X3" s="941" t="s">
        <v>145</v>
      </c>
      <c r="Y3" s="941"/>
      <c r="Z3" s="81"/>
      <c r="AA3" s="925" t="s">
        <v>141</v>
      </c>
      <c r="AB3" s="926"/>
      <c r="AC3" s="927"/>
      <c r="AD3"/>
      <c r="AZ3" s="142" t="s">
        <v>80</v>
      </c>
      <c r="BA3" s="947">
        <f ca="1">TODAY()</f>
        <v>44239</v>
      </c>
      <c r="BB3" s="948"/>
      <c r="BC3" s="945">
        <f ca="1">YEAR(NOW())</f>
        <v>2021</v>
      </c>
      <c r="BD3" s="946"/>
      <c r="BE3" s="81"/>
      <c r="BF3" s="941" t="s">
        <v>145</v>
      </c>
      <c r="BG3" s="941"/>
      <c r="BH3" s="81"/>
      <c r="BI3" s="925" t="s">
        <v>141</v>
      </c>
      <c r="BJ3" s="926"/>
      <c r="BK3" s="927"/>
    </row>
    <row r="4" spans="1:111" ht="28.5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R4" s="142"/>
      <c r="S4" s="731"/>
      <c r="T4" s="731"/>
      <c r="U4" s="720"/>
      <c r="V4" s="720"/>
      <c r="W4" s="81"/>
      <c r="X4" s="700"/>
      <c r="Y4" s="700"/>
      <c r="Z4" s="81"/>
      <c r="AA4" s="707"/>
      <c r="AB4" s="707"/>
      <c r="AC4" s="707"/>
      <c r="AD4"/>
      <c r="AZ4" s="142"/>
      <c r="BA4" s="731"/>
      <c r="BB4" s="731"/>
      <c r="BC4" s="720"/>
      <c r="BD4" s="720"/>
      <c r="BE4" s="81"/>
      <c r="BF4" s="700"/>
      <c r="BG4" s="700"/>
      <c r="BH4" s="81"/>
      <c r="BI4" s="707"/>
      <c r="BJ4" s="707"/>
      <c r="BK4" s="707"/>
    </row>
    <row r="5" spans="1:111" ht="27" thickBot="1">
      <c r="A5" s="702"/>
      <c r="B5" s="148"/>
      <c r="C5" s="148"/>
      <c r="D5" s="148"/>
      <c r="E5" s="1118" t="s">
        <v>123</v>
      </c>
      <c r="F5" s="1119"/>
      <c r="G5" s="1118" t="s">
        <v>93</v>
      </c>
      <c r="H5" s="1120"/>
      <c r="I5" s="1120"/>
      <c r="J5" s="1119"/>
      <c r="K5" s="151"/>
      <c r="L5" s="151"/>
      <c r="M5" s="151"/>
      <c r="N5" s="151"/>
      <c r="R5" s="142"/>
      <c r="S5" s="731"/>
      <c r="T5" s="731"/>
      <c r="U5" s="720"/>
      <c r="V5" s="1118" t="s">
        <v>123</v>
      </c>
      <c r="W5" s="1119"/>
      <c r="X5" s="1118" t="s">
        <v>93</v>
      </c>
      <c r="Y5" s="1120"/>
      <c r="Z5" s="1120"/>
      <c r="AA5" s="1119"/>
      <c r="AB5" s="707"/>
      <c r="AC5" s="707"/>
      <c r="AD5"/>
      <c r="AZ5" s="142"/>
      <c r="BA5" s="731"/>
      <c r="BB5" s="731"/>
      <c r="BC5" s="720"/>
      <c r="BD5" s="1118" t="s">
        <v>123</v>
      </c>
      <c r="BE5" s="1119"/>
      <c r="BF5" s="1118" t="s">
        <v>93</v>
      </c>
      <c r="BG5" s="1120"/>
      <c r="BH5" s="1120"/>
      <c r="BI5" s="1119"/>
      <c r="BJ5" s="707"/>
      <c r="BK5" s="707"/>
    </row>
    <row r="6" spans="1:111" ht="31.5" customHeight="1" thickBo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111" ht="35.25" customHeight="1">
      <c r="A7" s="42"/>
      <c r="B7" s="42"/>
      <c r="C7" s="511"/>
      <c r="D7" s="148"/>
      <c r="E7" s="148"/>
      <c r="F7" s="1117" t="s">
        <v>195</v>
      </c>
      <c r="G7" s="1117"/>
      <c r="H7" s="1117"/>
      <c r="I7" s="42"/>
      <c r="J7" s="42"/>
      <c r="K7" s="930">
        <v>2</v>
      </c>
      <c r="L7" s="932" t="s">
        <v>64</v>
      </c>
      <c r="M7" s="118"/>
      <c r="N7" s="118"/>
      <c r="R7" s="613"/>
      <c r="S7" s="148"/>
      <c r="T7" s="148"/>
      <c r="U7" s="148"/>
      <c r="V7" s="1117" t="s">
        <v>195</v>
      </c>
      <c r="W7" s="1117"/>
      <c r="X7" s="1117"/>
      <c r="AB7" s="151"/>
      <c r="AC7" s="151"/>
      <c r="AD7" s="151"/>
      <c r="AE7"/>
      <c r="AF7"/>
      <c r="AG7"/>
      <c r="AH7"/>
      <c r="AI7"/>
      <c r="AJ7" s="594"/>
      <c r="AK7" s="594"/>
      <c r="AL7" s="649"/>
      <c r="AM7" s="650"/>
      <c r="AN7" s="522"/>
      <c r="AO7" s="522"/>
      <c r="AP7" s="522"/>
      <c r="AQ7" s="13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1170" t="s">
        <v>157</v>
      </c>
      <c r="BI7" s="1171"/>
      <c r="BJ7" s="1171"/>
      <c r="BK7" s="1171"/>
      <c r="BL7" s="1171"/>
      <c r="BM7" s="1171"/>
      <c r="BN7" s="1171"/>
      <c r="BO7" s="1171"/>
      <c r="BP7" s="1172"/>
      <c r="BQ7"/>
      <c r="BR7"/>
      <c r="BS7" s="1164" t="s">
        <v>157</v>
      </c>
      <c r="BT7" s="1165"/>
      <c r="BU7" s="1165"/>
      <c r="BV7" s="1165"/>
      <c r="BW7" s="1165"/>
      <c r="BX7" s="1165"/>
      <c r="BY7" s="1165"/>
      <c r="BZ7" s="1165"/>
      <c r="CA7" s="1165"/>
      <c r="CB7" s="1165"/>
      <c r="CC7" s="1165"/>
      <c r="CD7" s="1165"/>
      <c r="CE7" s="1165"/>
      <c r="CF7" s="1165"/>
      <c r="CG7" s="1166"/>
      <c r="CH7" s="379"/>
      <c r="CI7" s="379"/>
      <c r="CL7" s="1158" t="s">
        <v>182</v>
      </c>
      <c r="CM7" s="1159"/>
      <c r="CN7" s="1159"/>
      <c r="CO7" s="1159"/>
      <c r="CP7" s="1159"/>
      <c r="CQ7" s="1160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26"/>
      <c r="DE7" s="526"/>
      <c r="DF7" s="526"/>
      <c r="DG7" s="527"/>
    </row>
    <row r="8" spans="1:111" ht="25.5" customHeight="1" thickBot="1">
      <c r="A8" s="42"/>
      <c r="B8" s="148"/>
      <c r="C8" s="148"/>
      <c r="D8" s="148"/>
      <c r="E8" s="42"/>
      <c r="F8" s="42"/>
      <c r="G8" s="148"/>
      <c r="H8" s="153"/>
      <c r="I8" s="42"/>
      <c r="J8" s="139"/>
      <c r="K8" s="931"/>
      <c r="L8" s="933"/>
      <c r="M8" s="42"/>
      <c r="N8" s="42"/>
      <c r="R8" s="64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 s="594"/>
      <c r="AK8" s="594"/>
      <c r="AL8" s="594"/>
      <c r="AM8" s="379"/>
      <c r="AN8" s="523"/>
      <c r="AO8" s="523"/>
      <c r="AP8" s="523"/>
      <c r="AQ8" s="139"/>
      <c r="AR8" s="379"/>
      <c r="AS8" s="379"/>
      <c r="AT8" s="379"/>
      <c r="AU8" s="379"/>
      <c r="AV8" s="379"/>
      <c r="AW8" s="379"/>
      <c r="AX8" s="379"/>
      <c r="AY8" s="379"/>
      <c r="AZ8" s="379"/>
      <c r="BA8" s="379"/>
      <c r="BB8" s="379"/>
      <c r="BC8" s="379"/>
      <c r="BD8" s="379"/>
      <c r="BE8" s="379"/>
      <c r="BF8" s="379"/>
      <c r="BG8" s="379"/>
      <c r="BH8" s="1173"/>
      <c r="BI8" s="1174"/>
      <c r="BJ8" s="1174"/>
      <c r="BK8" s="1174"/>
      <c r="BL8" s="1174"/>
      <c r="BM8" s="1174"/>
      <c r="BN8" s="1174"/>
      <c r="BO8" s="1174"/>
      <c r="BP8" s="1175"/>
      <c r="BQ8"/>
      <c r="BR8"/>
      <c r="BS8" s="1167"/>
      <c r="BT8" s="1168"/>
      <c r="BU8" s="1168"/>
      <c r="BV8" s="1168"/>
      <c r="BW8" s="1168"/>
      <c r="BX8" s="1168"/>
      <c r="BY8" s="1168"/>
      <c r="BZ8" s="1168"/>
      <c r="CA8" s="1168"/>
      <c r="CB8" s="1168"/>
      <c r="CC8" s="1168"/>
      <c r="CD8" s="1168"/>
      <c r="CE8" s="1168"/>
      <c r="CF8" s="1168"/>
      <c r="CG8" s="1169"/>
      <c r="CH8" s="379"/>
      <c r="CI8" s="379"/>
      <c r="CL8" s="1161"/>
      <c r="CM8" s="1162"/>
      <c r="CN8" s="1162"/>
      <c r="CO8" s="1162"/>
      <c r="CP8" s="1162"/>
      <c r="CQ8" s="1163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609"/>
      <c r="DE8" s="609"/>
      <c r="DF8" s="609"/>
      <c r="DG8" s="610"/>
    </row>
    <row r="9" spans="1:111" ht="24" customHeight="1" thickBot="1">
      <c r="A9" s="42"/>
      <c r="B9" s="42"/>
      <c r="C9" s="42"/>
      <c r="D9" s="42"/>
      <c r="E9" s="42"/>
      <c r="F9" s="42"/>
      <c r="G9" s="42"/>
      <c r="H9" s="42"/>
      <c r="I9" s="42"/>
      <c r="J9" s="491"/>
      <c r="K9" t="s">
        <v>69</v>
      </c>
      <c r="L9" s="705"/>
      <c r="M9" s="42"/>
      <c r="N9" s="42"/>
      <c r="R9" s="593"/>
      <c r="S9" s="608"/>
      <c r="T9" s="608"/>
      <c r="U9" s="594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594"/>
      <c r="AK9" s="594"/>
      <c r="AL9" s="608"/>
      <c r="AM9" s="523"/>
      <c r="AN9" s="523"/>
      <c r="AO9" s="523"/>
      <c r="AP9" s="523"/>
      <c r="AQ9" s="13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520"/>
      <c r="BI9" s="520"/>
      <c r="BJ9" s="520"/>
      <c r="BK9" s="73"/>
      <c r="BL9" s="73"/>
      <c r="BM9" s="73"/>
      <c r="BN9" s="73"/>
      <c r="BO9" s="73"/>
      <c r="BP9" s="73"/>
      <c r="BQ9" s="520"/>
      <c r="BR9" s="520"/>
      <c r="BS9" s="520"/>
      <c r="BT9" s="520"/>
      <c r="BU9" s="520"/>
      <c r="BV9" s="520"/>
      <c r="BW9" s="520"/>
      <c r="BX9" s="520"/>
      <c r="BY9" s="520"/>
      <c r="BZ9" s="520"/>
      <c r="CA9" s="520"/>
      <c r="CB9" s="520"/>
      <c r="CC9" s="520"/>
      <c r="CD9" s="520"/>
      <c r="CE9" s="520"/>
      <c r="CF9" s="520"/>
      <c r="CG9" s="638"/>
      <c r="CH9" s="379"/>
      <c r="CI9" s="379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609"/>
      <c r="DE9" s="609"/>
      <c r="DF9" s="609"/>
      <c r="DG9" s="610"/>
    </row>
    <row r="10" spans="1:111" ht="32.25" customHeight="1" thickBot="1">
      <c r="A10" s="967" t="s">
        <v>22</v>
      </c>
      <c r="B10" s="968"/>
      <c r="C10" s="968"/>
      <c r="D10" s="968"/>
      <c r="E10" s="968"/>
      <c r="F10" s="969"/>
      <c r="G10" s="934">
        <v>5</v>
      </c>
      <c r="H10" s="935"/>
      <c r="I10" s="736"/>
      <c r="J10"/>
      <c r="K10"/>
      <c r="L10" s="705"/>
      <c r="M10" s="42"/>
      <c r="N10" s="42"/>
      <c r="R10" s="595"/>
      <c r="S10" s="1149" t="s">
        <v>168</v>
      </c>
      <c r="T10" s="1150"/>
      <c r="U10" s="1150"/>
      <c r="V10" s="1150"/>
      <c r="W10" s="1150"/>
      <c r="X10" s="1151"/>
      <c r="Y10" s="524"/>
      <c r="Z10" s="524"/>
      <c r="AA10" s="1152" t="s">
        <v>170</v>
      </c>
      <c r="AB10" s="1153"/>
      <c r="AC10" s="1153"/>
      <c r="AD10" s="1153"/>
      <c r="AE10" s="1153"/>
      <c r="AF10" s="1154"/>
      <c r="AG10" s="524"/>
      <c r="AH10" s="524"/>
      <c r="AI10" s="524"/>
      <c r="AJ10" s="1143" t="s">
        <v>171</v>
      </c>
      <c r="AK10" s="1144"/>
      <c r="AL10" s="1144"/>
      <c r="AM10" s="1144"/>
      <c r="AN10" s="1144"/>
      <c r="AO10" s="1145"/>
      <c r="AP10" s="524"/>
      <c r="AR10" s="1146" t="s">
        <v>172</v>
      </c>
      <c r="AS10" s="1147"/>
      <c r="AT10" s="1147"/>
      <c r="AU10" s="1147"/>
      <c r="AV10" s="1147"/>
      <c r="AW10" s="1148"/>
      <c r="AX10" s="58"/>
      <c r="AY10" s="58"/>
      <c r="BA10" s="1155" t="s">
        <v>181</v>
      </c>
      <c r="BB10" s="1156"/>
      <c r="BC10" s="1156"/>
      <c r="BD10" s="1156"/>
      <c r="BE10" s="1156"/>
      <c r="BF10" s="1157"/>
      <c r="BG10" s="524"/>
      <c r="BH10" s="524"/>
      <c r="BJ10" s="524"/>
      <c r="BK10" s="1132" t="s">
        <v>179</v>
      </c>
      <c r="BL10" s="1133"/>
      <c r="BM10" s="1133"/>
      <c r="BN10" s="1133"/>
      <c r="BO10" s="1134"/>
      <c r="BP10" s="1130" t="s">
        <v>178</v>
      </c>
      <c r="BS10" s="1132" t="s">
        <v>159</v>
      </c>
      <c r="BT10" s="1133"/>
      <c r="BU10" s="1133"/>
      <c r="BV10" s="1133"/>
      <c r="BW10" s="1134"/>
      <c r="BX10" s="1130" t="s">
        <v>193</v>
      </c>
      <c r="BY10" s="1130" t="s">
        <v>160</v>
      </c>
      <c r="BZ10" s="524"/>
      <c r="CA10" s="1132" t="s">
        <v>194</v>
      </c>
      <c r="CB10" s="1133"/>
      <c r="CC10" s="1133"/>
      <c r="CD10" s="1134"/>
      <c r="CE10" s="533"/>
      <c r="CF10" s="611"/>
      <c r="CG10" s="657" t="s">
        <v>162</v>
      </c>
      <c r="CH10" s="524"/>
      <c r="CI10" s="526"/>
      <c r="CL10" s="1135" t="s">
        <v>163</v>
      </c>
      <c r="CM10" s="1137" t="s">
        <v>164</v>
      </c>
      <c r="CN10" s="1139" t="s">
        <v>165</v>
      </c>
      <c r="CO10" s="527"/>
      <c r="CP10" s="663" t="s">
        <v>162</v>
      </c>
      <c r="CQ10" s="1141" t="s">
        <v>160</v>
      </c>
      <c r="CR10" s="1127" t="s">
        <v>161</v>
      </c>
      <c r="CS10" s="1128"/>
      <c r="CT10" s="1128"/>
      <c r="CU10" s="1129"/>
      <c r="CV10" s="1127" t="s">
        <v>158</v>
      </c>
      <c r="CW10" s="1128"/>
      <c r="CX10" s="1128"/>
      <c r="CY10" s="1129"/>
      <c r="CZ10" s="1127" t="s">
        <v>159</v>
      </c>
      <c r="DA10" s="1128"/>
      <c r="DB10" s="1128"/>
      <c r="DC10" s="1129"/>
      <c r="DD10" s="1127" t="s">
        <v>166</v>
      </c>
      <c r="DE10" s="1128"/>
      <c r="DF10" s="1128"/>
      <c r="DG10" s="1129"/>
    </row>
    <row r="11" spans="1:111" ht="24.95" customHeight="1" thickBot="1">
      <c r="A11" s="967" t="s">
        <v>55</v>
      </c>
      <c r="B11" s="968"/>
      <c r="C11" s="968"/>
      <c r="D11" s="968"/>
      <c r="E11" s="968"/>
      <c r="F11" s="969"/>
      <c r="G11" s="936">
        <v>4</v>
      </c>
      <c r="H11" s="937"/>
      <c r="I11" s="736"/>
      <c r="J11"/>
      <c r="K11"/>
      <c r="L11" s="42"/>
      <c r="M11" s="42"/>
      <c r="N11" s="42"/>
      <c r="R11" s="596" t="s">
        <v>6</v>
      </c>
      <c r="S11" s="612" t="s">
        <v>167</v>
      </c>
      <c r="T11" s="699" t="s">
        <v>177</v>
      </c>
      <c r="U11" s="639" t="s">
        <v>99</v>
      </c>
      <c r="V11" s="598" t="s">
        <v>5</v>
      </c>
      <c r="W11" s="732" t="s">
        <v>177</v>
      </c>
      <c r="X11" s="637" t="s">
        <v>169</v>
      </c>
      <c r="Y11" s="524"/>
      <c r="Z11" s="596" t="s">
        <v>6</v>
      </c>
      <c r="AA11" s="612" t="s">
        <v>167</v>
      </c>
      <c r="AB11" s="699" t="s">
        <v>177</v>
      </c>
      <c r="AC11" s="640" t="s">
        <v>99</v>
      </c>
      <c r="AD11" s="598" t="s">
        <v>5</v>
      </c>
      <c r="AE11" s="732" t="s">
        <v>177</v>
      </c>
      <c r="AF11" s="637" t="s">
        <v>169</v>
      </c>
      <c r="AI11" s="596" t="s">
        <v>6</v>
      </c>
      <c r="AJ11" s="612" t="s">
        <v>167</v>
      </c>
      <c r="AK11" s="699" t="s">
        <v>177</v>
      </c>
      <c r="AL11" s="640" t="s">
        <v>99</v>
      </c>
      <c r="AM11" s="598" t="s">
        <v>5</v>
      </c>
      <c r="AN11" s="636" t="s">
        <v>177</v>
      </c>
      <c r="AO11" s="637" t="s">
        <v>169</v>
      </c>
      <c r="AQ11" s="596" t="s">
        <v>6</v>
      </c>
      <c r="AR11" s="612" t="s">
        <v>167</v>
      </c>
      <c r="AS11" s="699" t="s">
        <v>177</v>
      </c>
      <c r="AT11" s="640" t="s">
        <v>99</v>
      </c>
      <c r="AU11" s="598" t="s">
        <v>5</v>
      </c>
      <c r="AV11" s="732" t="s">
        <v>177</v>
      </c>
      <c r="AW11" s="637" t="s">
        <v>169</v>
      </c>
      <c r="AX11" s="528"/>
      <c r="AY11" s="528"/>
      <c r="AZ11" s="596" t="s">
        <v>6</v>
      </c>
      <c r="BA11" s="612" t="s">
        <v>167</v>
      </c>
      <c r="BB11" s="699" t="s">
        <v>177</v>
      </c>
      <c r="BC11" s="640" t="s">
        <v>99</v>
      </c>
      <c r="BD11" s="598" t="s">
        <v>5</v>
      </c>
      <c r="BE11" s="636" t="s">
        <v>177</v>
      </c>
      <c r="BF11" s="637" t="s">
        <v>169</v>
      </c>
      <c r="BG11" s="528"/>
      <c r="BH11" s="524"/>
      <c r="BI11" s="640" t="s">
        <v>99</v>
      </c>
      <c r="BJ11" s="524"/>
      <c r="BK11" s="529" t="s">
        <v>38</v>
      </c>
      <c r="BL11" s="530" t="s">
        <v>39</v>
      </c>
      <c r="BM11" s="530" t="s">
        <v>173</v>
      </c>
      <c r="BN11" s="531" t="s">
        <v>174</v>
      </c>
      <c r="BO11" s="620" t="s">
        <v>180</v>
      </c>
      <c r="BP11" s="1131"/>
      <c r="BS11" s="529" t="s">
        <v>38</v>
      </c>
      <c r="BT11" s="530" t="s">
        <v>39</v>
      </c>
      <c r="BU11" s="530" t="s">
        <v>173</v>
      </c>
      <c r="BV11" s="531" t="s">
        <v>174</v>
      </c>
      <c r="BW11" s="530" t="s">
        <v>180</v>
      </c>
      <c r="BX11" s="1131"/>
      <c r="BY11" s="1131"/>
      <c r="BZ11" s="524"/>
      <c r="CA11" s="529" t="s">
        <v>38</v>
      </c>
      <c r="CB11" s="530" t="s">
        <v>39</v>
      </c>
      <c r="CC11" s="530" t="s">
        <v>173</v>
      </c>
      <c r="CD11" s="620" t="s">
        <v>174</v>
      </c>
      <c r="CE11" s="530" t="s">
        <v>180</v>
      </c>
      <c r="CF11" s="611"/>
      <c r="CG11" s="658" t="s">
        <v>169</v>
      </c>
      <c r="CH11" s="532" t="s">
        <v>175</v>
      </c>
      <c r="CI11" s="533" t="s">
        <v>176</v>
      </c>
      <c r="CL11" s="1136"/>
      <c r="CM11" s="1138"/>
      <c r="CN11" s="1140"/>
      <c r="CO11" s="610"/>
      <c r="CP11" s="664" t="s">
        <v>169</v>
      </c>
      <c r="CQ11" s="1142"/>
      <c r="CR11" s="534" t="s">
        <v>38</v>
      </c>
      <c r="CS11" s="535" t="s">
        <v>39</v>
      </c>
      <c r="CT11" s="535" t="s">
        <v>173</v>
      </c>
      <c r="CU11" s="536" t="s">
        <v>174</v>
      </c>
      <c r="CV11" s="534" t="s">
        <v>38</v>
      </c>
      <c r="CW11" s="535" t="s">
        <v>39</v>
      </c>
      <c r="CX11" s="535" t="s">
        <v>173</v>
      </c>
      <c r="CY11" s="536" t="s">
        <v>174</v>
      </c>
      <c r="CZ11" s="534" t="s">
        <v>38</v>
      </c>
      <c r="DA11" s="535" t="s">
        <v>39</v>
      </c>
      <c r="DB11" s="535" t="s">
        <v>173</v>
      </c>
      <c r="DC11" s="536" t="s">
        <v>174</v>
      </c>
      <c r="DD11" s="534" t="s">
        <v>38</v>
      </c>
      <c r="DE11" s="535" t="s">
        <v>39</v>
      </c>
      <c r="DF11" s="535" t="s">
        <v>173</v>
      </c>
      <c r="DG11" s="536" t="s">
        <v>174</v>
      </c>
    </row>
    <row r="12" spans="1:111" ht="24.95" customHeight="1" thickBot="1">
      <c r="A12" s="42"/>
      <c r="B12" s="42"/>
      <c r="C12" s="42"/>
      <c r="D12" s="42"/>
      <c r="E12" s="42"/>
      <c r="F12" s="42"/>
      <c r="G12" s="42"/>
      <c r="H12" s="42"/>
      <c r="I12" s="21"/>
      <c r="J12" s="22"/>
      <c r="K12" s="22"/>
      <c r="L12" s="22"/>
      <c r="M12" s="22"/>
      <c r="N12" s="22"/>
      <c r="O12" s="23" t="s">
        <v>52</v>
      </c>
      <c r="R12" s="595"/>
      <c r="S12" s="524"/>
      <c r="T12" s="524"/>
      <c r="U12" s="524"/>
      <c r="V12" s="526"/>
      <c r="W12" s="611"/>
      <c r="X12" s="611"/>
      <c r="Y12" s="524"/>
      <c r="Z12" s="524"/>
      <c r="AA12" s="524"/>
      <c r="AB12" s="524"/>
      <c r="AC12" s="524"/>
      <c r="AD12" s="524"/>
      <c r="AE12" s="524"/>
      <c r="AF12" s="611"/>
      <c r="AI12" s="524"/>
      <c r="AJ12" s="524"/>
      <c r="AK12" s="524"/>
      <c r="AL12" s="524"/>
      <c r="AM12" s="524"/>
      <c r="AN12" s="524"/>
      <c r="AO12" s="611"/>
      <c r="AQ12" s="524"/>
      <c r="AR12" s="524"/>
      <c r="AS12" s="524"/>
      <c r="AT12" s="524"/>
      <c r="AU12" s="524"/>
      <c r="AV12" s="524"/>
      <c r="AW12" s="611"/>
      <c r="AX12" s="611"/>
      <c r="AY12" s="611"/>
      <c r="AZ12" s="524"/>
      <c r="BA12" s="524"/>
      <c r="BB12" s="524"/>
      <c r="BC12" s="524"/>
      <c r="BD12" s="524"/>
      <c r="BE12" s="524"/>
      <c r="BF12" s="611"/>
      <c r="BG12" s="611"/>
      <c r="BH12" s="524"/>
      <c r="BI12" s="524"/>
      <c r="BJ12" s="524"/>
      <c r="BK12" s="524"/>
      <c r="BL12" s="524"/>
      <c r="BM12" s="524"/>
      <c r="BN12" s="524"/>
      <c r="BO12" s="524"/>
      <c r="BP12" s="524"/>
      <c r="BS12" s="524"/>
      <c r="BT12" s="524"/>
      <c r="BU12" s="524"/>
      <c r="BV12" s="524"/>
      <c r="BW12" s="524"/>
      <c r="BX12" s="524"/>
      <c r="BY12" s="524"/>
      <c r="BZ12" s="524"/>
      <c r="CA12" s="524"/>
      <c r="CB12" s="524"/>
      <c r="CC12" s="524"/>
      <c r="CD12" s="524"/>
      <c r="CE12" s="524"/>
      <c r="CF12" s="524"/>
      <c r="CG12" s="524"/>
      <c r="CH12" s="524"/>
      <c r="CI12" s="524"/>
      <c r="CM12" s="524"/>
      <c r="CN12" s="524"/>
      <c r="CO12" s="524"/>
      <c r="CP12" s="514"/>
      <c r="CQ12" s="661"/>
      <c r="CT12" s="524"/>
      <c r="CU12" s="524"/>
      <c r="CV12" s="524"/>
      <c r="CW12" s="524"/>
      <c r="CX12" s="524"/>
      <c r="CY12" s="524"/>
      <c r="CZ12" s="524"/>
      <c r="DA12" s="524"/>
      <c r="DB12" s="524"/>
      <c r="DC12" s="524"/>
      <c r="DD12" s="524"/>
      <c r="DE12" s="524"/>
      <c r="DF12" s="524"/>
      <c r="DG12" s="524"/>
    </row>
    <row r="13" spans="1:111" ht="24.95" customHeight="1" thickBot="1">
      <c r="A13" s="42"/>
      <c r="B13" s="42"/>
      <c r="C13" s="42"/>
      <c r="D13" s="42"/>
      <c r="E13" s="42"/>
      <c r="F13" s="42"/>
      <c r="G13" s="42"/>
      <c r="H13" s="42"/>
      <c r="I13" s="24"/>
      <c r="J13" s="82" t="s">
        <v>50</v>
      </c>
      <c r="K13" s="1176" t="s">
        <v>53</v>
      </c>
      <c r="L13" s="1177"/>
      <c r="M13" s="1178"/>
      <c r="N13" s="26" t="s">
        <v>54</v>
      </c>
      <c r="O13" s="27" t="s">
        <v>74</v>
      </c>
      <c r="R13" s="1124">
        <v>1</v>
      </c>
      <c r="S13" s="538">
        <v>1</v>
      </c>
      <c r="T13" s="539">
        <f>+S14</f>
        <v>2</v>
      </c>
      <c r="U13" s="85" t="str">
        <f>IF(ISNA(MATCH($S13,$O$14:$O$18,0)),"",INDEX($K$14:$K$18,MATCH($S13,$O$14:$O$18,0)))</f>
        <v>A</v>
      </c>
      <c r="V13" s="737">
        <v>6</v>
      </c>
      <c r="W13" s="605">
        <f>+V14</f>
        <v>12</v>
      </c>
      <c r="X13" s="537">
        <f>IF(V13+V14=0,0,IF(V13=V14,2,IF(V13&gt;V14,3,1)))</f>
        <v>1</v>
      </c>
      <c r="Y13" s="611"/>
      <c r="Z13" s="1124">
        <v>2</v>
      </c>
      <c r="AA13" s="538">
        <v>1</v>
      </c>
      <c r="AB13" s="539">
        <f>+AA14</f>
        <v>5</v>
      </c>
      <c r="AC13" s="540" t="str">
        <f>+U13</f>
        <v>A</v>
      </c>
      <c r="AD13" s="538">
        <v>6</v>
      </c>
      <c r="AE13" s="605">
        <f>+AD14</f>
        <v>2</v>
      </c>
      <c r="AF13" s="537">
        <f>IF(AD13+AD14=0,0,IF(AD13=AD14,2,IF(AD13&gt;AD14,3,1)))</f>
        <v>3</v>
      </c>
      <c r="AG13" s="641"/>
      <c r="AH13" s="641"/>
      <c r="AI13" s="1124">
        <v>3</v>
      </c>
      <c r="AJ13" s="538">
        <v>1</v>
      </c>
      <c r="AK13" s="541">
        <f>+AJ14</f>
        <v>4</v>
      </c>
      <c r="AL13" s="538" t="str">
        <f>+U13</f>
        <v>A</v>
      </c>
      <c r="AM13" s="538">
        <v>13</v>
      </c>
      <c r="AN13" s="651">
        <f>+AM14</f>
        <v>5</v>
      </c>
      <c r="AO13" s="537">
        <f>IF(AM13+AM14=0,0,IF(AM13=AM14,2,IF(AM13&gt;AM14,3,1)))</f>
        <v>3</v>
      </c>
      <c r="AP13" s="641"/>
      <c r="AQ13" s="1124">
        <v>4</v>
      </c>
      <c r="AR13" s="538">
        <v>1</v>
      </c>
      <c r="AS13" s="539">
        <f>+AR14</f>
        <v>3</v>
      </c>
      <c r="AT13" s="542" t="str">
        <f>+U13</f>
        <v>A</v>
      </c>
      <c r="AU13" s="538">
        <v>13</v>
      </c>
      <c r="AV13" s="654">
        <f>+AU14</f>
        <v>9</v>
      </c>
      <c r="AW13" s="537">
        <f>IF(AU13+AU14=0,0,IF(AU13=AU14,2,IF(AU13&gt;AU14,3,1)))</f>
        <v>3</v>
      </c>
      <c r="AX13" s="543"/>
      <c r="AY13" s="543"/>
      <c r="AZ13" s="1124">
        <v>5</v>
      </c>
      <c r="BA13" s="538">
        <v>5</v>
      </c>
      <c r="BB13" s="539">
        <f>+BA14</f>
        <v>4</v>
      </c>
      <c r="BC13" s="542" t="str">
        <f>+U17</f>
        <v>E</v>
      </c>
      <c r="BD13" s="538">
        <v>13</v>
      </c>
      <c r="BE13" s="654">
        <f>+BD14</f>
        <v>9</v>
      </c>
      <c r="BF13" s="537">
        <f>IF(BD13+BD14=0,0,IF(BD13=BD14,2,IF(BD13&gt;BD14,3,1)))</f>
        <v>3</v>
      </c>
      <c r="BG13" s="543"/>
      <c r="BH13" s="597">
        <v>1</v>
      </c>
      <c r="BI13" s="544" t="str">
        <f t="shared" ref="BI13:BI18" si="0">+U13</f>
        <v>A</v>
      </c>
      <c r="BJ13" s="545"/>
      <c r="BK13" s="546">
        <f>VLOOKUP(BI13,$U$7:$V$24,2,0)</f>
        <v>6</v>
      </c>
      <c r="BL13" s="546">
        <f>VLOOKUP(BI13,$AC$7:$AD$24,2,0)</f>
        <v>6</v>
      </c>
      <c r="BM13" s="546">
        <f>VLOOKUP(BI13,$AL$7:$AM$24,2,0)</f>
        <v>13</v>
      </c>
      <c r="BN13" s="547">
        <f>VLOOKUP(BI13,$AT$7:$AU$24,2,0)</f>
        <v>13</v>
      </c>
      <c r="BO13" s="630">
        <f>VLOOKUP(BI13,$BC$13:$BF$18,2,0)</f>
        <v>0</v>
      </c>
      <c r="BP13" s="548">
        <f ca="1">SUMIF(BK13:BO13,"&lt;&gt;#N/A",BK13:BN13)</f>
        <v>38</v>
      </c>
      <c r="BQ13" s="510"/>
      <c r="BR13" s="510"/>
      <c r="BS13" s="549">
        <f>VLOOKUP(BI13,$U$7:$W$24,3,0)</f>
        <v>12</v>
      </c>
      <c r="BT13" s="546">
        <f>VLOOKUP(BI13,$AC$7:$AE$24,3,0)</f>
        <v>2</v>
      </c>
      <c r="BU13" s="546">
        <f>VLOOKUP(BI13,$AL$7:$AN$24,3,0)</f>
        <v>5</v>
      </c>
      <c r="BV13" s="547">
        <f>VLOOKUP(BI13,$AT$7:$AV$24,3,0)</f>
        <v>9</v>
      </c>
      <c r="BW13" s="624">
        <f>VLOOKUP(BI13,$BC$13:$BF$18,3,0)</f>
        <v>0</v>
      </c>
      <c r="BX13" s="619">
        <f ca="1">SUMIF(BS13:BW13,"&lt;&gt;#N/A",BS13:BV13)</f>
        <v>28</v>
      </c>
      <c r="BY13" s="550">
        <f t="shared" ref="BY13:BY17" ca="1" si="1">SUM(BP13-BX13)</f>
        <v>10</v>
      </c>
      <c r="BZ13" s="524"/>
      <c r="CA13" s="551" t="str">
        <f>IF(BK13=BS13,"N",IF(BK13&gt;BS13,"V",IF(BK13&lt;BS13,"D")))</f>
        <v>D</v>
      </c>
      <c r="CB13" s="552" t="str">
        <f>IF(BL13=BT13,"N",IF(BL13&gt;BT13,"V",IF(BL13&lt;BT13,"D")))</f>
        <v>V</v>
      </c>
      <c r="CC13" s="552" t="str">
        <f>IF(BM13=BU13,"N",IF(BM13&gt;BU13,"V",IF(BM13&lt;BU13,"D")))</f>
        <v>V</v>
      </c>
      <c r="CD13" s="556" t="str">
        <f>IF(BN13=BV13,"N",IF(BN13&gt;BV13,"V",IF(BN13&lt;BV13,"D")))</f>
        <v>V</v>
      </c>
      <c r="CE13" s="631" t="str">
        <f>IF(BO13=BW13," ",IF(BO13&gt;BW13,"V",IF(BO13&lt;BW13,"D")))</f>
        <v xml:space="preserve"> </v>
      </c>
      <c r="CF13" s="611"/>
      <c r="CG13" s="659">
        <f>VLOOKUP(BI13,$U$7:$X$18,4,0)+VLOOKUP(BI13,$AC$7:$AF$18,4,0)+VLOOKUP(BI13,$AL$7:$AO$18,4,0)+VLOOKUP(BI13,$AT$7:$AW$18,4,0)+VLOOKUP(BI13,$BC$13:$BF$18,4,0)</f>
        <v>10</v>
      </c>
      <c r="CH13" s="747">
        <f ca="1">IF(OR(BI13="",CG13="",CG13=""),"",RANK(CG13,$CG$13:$CG$18)+SUM(-BY13/100)-(+BP13/10000)-(+BX13/100000)+COUNTIF(BI$13:BI$24,"&lt;="&amp;BI13+1)/10000+ROW()/100000000)</f>
        <v>0.89592013000000004</v>
      </c>
      <c r="CI13" s="524">
        <f ca="1">IF(BI13="","",SMALL(CH$13:CH$24,ROWS(BP$13:BP13)))</f>
        <v>0.72499014999999989</v>
      </c>
      <c r="CL13" s="642">
        <f ca="1">IF(CI13="","",1)</f>
        <v>1</v>
      </c>
      <c r="CM13" s="553">
        <f ca="1">IF(OR(BH13="",BP13="",BX13=""),"",INDEX($BH$7:$BH$24,MATCH(CI13,$CH$7:$CH$24,0)))</f>
        <v>3</v>
      </c>
      <c r="CN13" s="554" t="str">
        <f ca="1">IF(OR(BI13="",BP13="",BX13=""),"",INDEX($BI$7:$BI$24,MATCH(CI13,$CH$7:$CH$24,0)))</f>
        <v>C</v>
      </c>
      <c r="CO13" s="537" t="str">
        <f t="shared" ref="CO13:CO18" ca="1" si="2">IF(OR(BJ13="",BP13="",BX13=""),"",INDEX($BJ$7:$BJ$24,MATCH(CI13,$CH$7:$CH$24,0)))</f>
        <v/>
      </c>
      <c r="CP13" s="665">
        <f t="shared" ref="CP13:CP17" ca="1" si="3">IF(OR(CG13="",BT13="",CA13=""),"",INDEX($CG$7:$CG$24,MATCH(CI13,$CH$7:$CH$24,0)))</f>
        <v>10</v>
      </c>
      <c r="CQ13" s="662">
        <f t="shared" ref="CQ13:CQ17" ca="1" si="4">IF(OR(BY13=""),"",INDEX($BY$7:$BY$24,MATCH(CI13,$CH$7:$CH$24,0)))</f>
        <v>27</v>
      </c>
      <c r="CR13" s="555" t="str">
        <f t="shared" ref="CR13:CR18" ca="1" si="5">IF(OR(CA13="",CH13="",CI13=""),"",INDEX($CA$7:$CA$24,MATCH(CI13,$CH$7:$CH$24,0)))</f>
        <v>V</v>
      </c>
      <c r="CS13" s="552" t="str">
        <f t="shared" ref="CS13:CS18" ca="1" si="6">IF(OR(CB13="",CI13="",CH13=""),"",INDEX($CB$7:$CB$24,MATCH(CI13,$CH$7:$CH$24,0)))</f>
        <v xml:space="preserve"> </v>
      </c>
      <c r="CT13" s="552" t="str">
        <f t="shared" ref="CT13:CT18" ca="1" si="7">IF(OR(CC13="",CH13="",CI13=""),"",INDEX($CC$7:$CC$24,MATCH(CI13,$CH$7:$CH$24,0)))</f>
        <v>V</v>
      </c>
      <c r="CU13" s="556" t="str">
        <f t="shared" ref="CU13:CU18" ca="1" si="8">IF(OR(CD13="",CI13="",CH13=""),"",INDEX($CD$7:$CD$24,MATCH(CI13,$CH$7:$CH$24,0)))</f>
        <v>D</v>
      </c>
      <c r="CV13" s="557">
        <f t="shared" ref="CV13:CV18" ca="1" si="9">IF(OR(BK13="",BP13="",BX13=""),"",INDEX($BK$7:$BK$24,MATCH(CI13,$CH$7:$CH$24,0)))</f>
        <v>13</v>
      </c>
      <c r="CW13" s="558">
        <f ca="1">IF(OR(BL13="",BP13="",BX13=""),"",INDEX($BL$7:$BL$24,MATCH(CI13,$CH$7:$CH$24,0)))</f>
        <v>0</v>
      </c>
      <c r="CX13" s="558">
        <f t="shared" ref="CX13:CX18" ca="1" si="10">IF(OR(BM13="",BP13="",BX13=""),"",INDEX($BM$7:$BM$24,MATCH(CI13,$CH$7:$CH$24,0)))</f>
        <v>13</v>
      </c>
      <c r="CY13" s="559">
        <f t="shared" ref="CY13:CY18" ca="1" si="11">IF(OR(BN13="",BP13="",BX13=""),"",INDEX($BN$7:$BN$24,MATCH(CI13,$CH$7:$CH$24,0)))</f>
        <v>9</v>
      </c>
      <c r="CZ13" s="557">
        <f t="shared" ref="CZ13:CZ18" ca="1" si="12">IF(OR(BS13="",BP13="",BX13=""),"",INDEX($BS$7:$BS$24,MATCH(CI13,$CH$7:$CH$24,0)))</f>
        <v>2</v>
      </c>
      <c r="DA13" s="558">
        <f t="shared" ref="DA13:DA18" ca="1" si="13">IF(OR(BT13="",BP13="",BX13=""),"",INDEX($BT$7:$BT$24,MATCH(CI13,$CH$7:$CH$24,0)))</f>
        <v>0</v>
      </c>
      <c r="DB13" s="558">
        <f t="shared" ref="DB13:DB18" ca="1" si="14">IF(OR(BU13="",BP13="",BX13=""),"",INDEX($BU$7:$BU$24,MATCH(CI13,$CH$7:$CH$24,0)))</f>
        <v>2</v>
      </c>
      <c r="DC13" s="556">
        <f t="shared" ref="DC13:DC18" ca="1" si="15">IF(OR(BV13="",BP13="",BX13=""),"",INDEX($BV$7:$BV$24,MATCH(CI13,$CH$7:$CH$24,0)))</f>
        <v>13</v>
      </c>
      <c r="DD13" s="557">
        <f t="shared" ref="DD13:DD18" ca="1" si="16">VLOOKUP(CM13,$S$7:$T$24,2,0)</f>
        <v>4</v>
      </c>
      <c r="DE13" s="558" t="str">
        <f t="shared" ref="DE13:DE18" ca="1" si="17">VLOOKUP(CM13,$AA$7:$AB$24,2,0)</f>
        <v>Ex.</v>
      </c>
      <c r="DF13" s="558">
        <f t="shared" ref="DF13:DF18" ca="1" si="18">VLOOKUP(CM13,$AJ$7:$AK$24,2,0)</f>
        <v>5</v>
      </c>
      <c r="DG13" s="560">
        <f t="shared" ref="DG13:DG18" ca="1" si="19">VLOOKUP(CM13,$AR$7:$AS$24,2,0)</f>
        <v>1</v>
      </c>
    </row>
    <row r="14" spans="1:111" ht="24.95" customHeight="1" thickBot="1">
      <c r="A14" s="139"/>
      <c r="B14" s="139"/>
      <c r="C14" s="922" t="s">
        <v>66</v>
      </c>
      <c r="D14" s="923"/>
      <c r="E14" s="206" t="s">
        <v>38</v>
      </c>
      <c r="F14" s="58"/>
      <c r="G14" s="42"/>
      <c r="H14" s="42"/>
      <c r="I14" s="34">
        <v>1</v>
      </c>
      <c r="J14" s="29"/>
      <c r="K14" s="1179" t="s">
        <v>14</v>
      </c>
      <c r="L14" s="1180"/>
      <c r="M14" s="1181"/>
      <c r="N14" s="83"/>
      <c r="O14" s="30">
        <v>1</v>
      </c>
      <c r="R14" s="1125"/>
      <c r="S14" s="598">
        <v>2</v>
      </c>
      <c r="T14" s="562">
        <f>+S13</f>
        <v>1</v>
      </c>
      <c r="U14" s="88" t="str">
        <f t="shared" ref="U14:U17" si="20">IF(ISNA(MATCH($S14,$O$14:$O$18,0)),"",INDEX($K$14:$K$18,MATCH($S14,$O$14:$O$18,0)))</f>
        <v>B</v>
      </c>
      <c r="V14" s="738">
        <v>12</v>
      </c>
      <c r="W14" s="607">
        <f>+V13</f>
        <v>6</v>
      </c>
      <c r="X14" s="561">
        <f>IF(V13+V14=0,0,IF(V13=V14,2,IF(V13&lt;V14,3,1)))</f>
        <v>3</v>
      </c>
      <c r="Y14" s="564"/>
      <c r="Z14" s="1125"/>
      <c r="AA14" s="612">
        <v>5</v>
      </c>
      <c r="AB14" s="562">
        <f>+AA13</f>
        <v>1</v>
      </c>
      <c r="AC14" s="563" t="str">
        <f>+U17</f>
        <v>E</v>
      </c>
      <c r="AD14" s="612">
        <v>2</v>
      </c>
      <c r="AE14" s="606">
        <f>+AD13</f>
        <v>6</v>
      </c>
      <c r="AF14" s="565">
        <f>IF(AD13+AD14=0,0,IF(AD13=AD14,2,IF(AD13&lt;AD14,3,1)))</f>
        <v>1</v>
      </c>
      <c r="AG14" s="643"/>
      <c r="AH14" s="641"/>
      <c r="AI14" s="1125"/>
      <c r="AJ14" s="612">
        <v>4</v>
      </c>
      <c r="AK14" s="566">
        <f>+AJ13</f>
        <v>1</v>
      </c>
      <c r="AL14" s="561" t="str">
        <f>+U16</f>
        <v>D</v>
      </c>
      <c r="AM14" s="612">
        <v>5</v>
      </c>
      <c r="AN14" s="652">
        <f>+AM13</f>
        <v>13</v>
      </c>
      <c r="AO14" s="565">
        <f>IF(AM13+AM14=0,0,IF(AM13=AM14,2,IF(AM13&lt;AM14,3,1)))</f>
        <v>1</v>
      </c>
      <c r="AP14" s="643"/>
      <c r="AQ14" s="1126"/>
      <c r="AR14" s="525">
        <v>3</v>
      </c>
      <c r="AS14" s="567">
        <f>+AR13</f>
        <v>1</v>
      </c>
      <c r="AT14" s="568" t="str">
        <f>+U15</f>
        <v>C</v>
      </c>
      <c r="AU14" s="525">
        <v>9</v>
      </c>
      <c r="AV14" s="655">
        <f>+AU13</f>
        <v>13</v>
      </c>
      <c r="AW14" s="565">
        <f>IF(AU13+AU14=0,0,IF(AU13=AU14,2,IF(AU13&lt;AU14,3,1)))</f>
        <v>1</v>
      </c>
      <c r="AX14" s="611"/>
      <c r="AY14" s="611"/>
      <c r="AZ14" s="1126"/>
      <c r="BA14" s="525">
        <v>4</v>
      </c>
      <c r="BB14" s="567">
        <f>+BA13</f>
        <v>5</v>
      </c>
      <c r="BC14" s="568" t="str">
        <f>+U16</f>
        <v>D</v>
      </c>
      <c r="BD14" s="525">
        <v>9</v>
      </c>
      <c r="BE14" s="655">
        <f>+BD13</f>
        <v>13</v>
      </c>
      <c r="BF14" s="565">
        <f>IF(BD13+BD14=0,0,IF(BD13=BD14,2,IF(BD13&lt;BD14,3,1)))</f>
        <v>1</v>
      </c>
      <c r="BG14" s="611"/>
      <c r="BH14" s="599">
        <v>2</v>
      </c>
      <c r="BI14" s="569" t="str">
        <f t="shared" si="0"/>
        <v>B</v>
      </c>
      <c r="BJ14" s="570"/>
      <c r="BK14" s="571">
        <f>VLOOKUP(BI14,$U$7:$V$24,2,0)</f>
        <v>12</v>
      </c>
      <c r="BL14" s="571">
        <f>VLOOKUP(BI14,$AC$7:$AD$24,2,0)</f>
        <v>4</v>
      </c>
      <c r="BM14" s="614">
        <f>VLOOKUP(BI14,$AL$7:$AM$24,2,0)</f>
        <v>0</v>
      </c>
      <c r="BN14" s="572">
        <f>VLOOKUP(BI14,$AT$7:$AU$24,2,0)</f>
        <v>4</v>
      </c>
      <c r="BO14" s="572">
        <f>VLOOKUP(BI14,$BC$13:$BF$18,2,0)</f>
        <v>4</v>
      </c>
      <c r="BP14" s="573">
        <f ca="1">SUMIF(BK14:BO14,"&lt;&gt;#N/A",BK14:BN14)</f>
        <v>24</v>
      </c>
      <c r="BQ14" s="510"/>
      <c r="BR14" s="510"/>
      <c r="BS14" s="570">
        <f>VLOOKUP(BI14,$U$7:$W$24,3,0)</f>
        <v>6</v>
      </c>
      <c r="BT14" s="571">
        <f>VLOOKUP(BI14,$AC$7:$AE$24,3,0)</f>
        <v>9</v>
      </c>
      <c r="BU14" s="614">
        <f>VLOOKUP(BI14,$AL$7:$AN$24,3,0)</f>
        <v>0</v>
      </c>
      <c r="BV14" s="572">
        <f>VLOOKUP(BI14,$AT$7:$AV$24,3,0)</f>
        <v>13</v>
      </c>
      <c r="BW14" s="571">
        <f t="shared" ref="BW14:BW17" si="21">VLOOKUP(BI14,$BC$13:$BF$18,3,0)</f>
        <v>13</v>
      </c>
      <c r="BX14" s="618">
        <f ca="1">SUMIF(BS14:BW14,"&lt;&gt;#N/A",BS14:BV14)</f>
        <v>41</v>
      </c>
      <c r="BY14" s="573">
        <f t="shared" ca="1" si="1"/>
        <v>-17</v>
      </c>
      <c r="BZ14" s="524"/>
      <c r="CA14" s="574" t="str">
        <f>IF(BK14=BS14,"N",IF(BK14&gt;BS14,"V",IF(BK14&lt;BS14,"D")))</f>
        <v>V</v>
      </c>
      <c r="CB14" s="575" t="str">
        <f>IF(BL14=BT14,"N",IF(BL14&gt;BT14,"V",IF(BL14&lt;BT14,"D")))</f>
        <v>D</v>
      </c>
      <c r="CC14" s="614" t="str">
        <f>IF(BM14=BU14," ",IF(BM14&gt;BU14,"V",IF(BM14&lt;BU14,"D")))</f>
        <v xml:space="preserve"> </v>
      </c>
      <c r="CD14" s="581" t="str">
        <f>IF(BN14=BV14,"N",IF(BN14&gt;BV14,"V",IF(BN14&lt;BV14,"D")))</f>
        <v>D</v>
      </c>
      <c r="CE14" s="576" t="str">
        <f>IF(BO14=BW14,"N",IF(BO14&gt;BW14,"V",IF(BO14&lt;BW14,"D")))</f>
        <v>D</v>
      </c>
      <c r="CF14" s="611"/>
      <c r="CG14" s="660">
        <f>VLOOKUP(BI14,$U$7:$X$18,4,0)+VLOOKUP(BI14,$AC$7:$AF$18,4,0)+VLOOKUP(BI14,$AL$7:$AO$18,4,0)+VLOOKUP(BI14,$AT$7:$AW$18,4,0)+VLOOKUP(BI14,$BC$13:$BF$18,4,0)</f>
        <v>6</v>
      </c>
      <c r="CH14" s="747">
        <f t="shared" ref="CH14:CH17" ca="1" si="22">IF(OR(BI14="",CG14="",CG14=""),"",RANK(CG14,$CG$13:$CG$18)+SUM(-BY14/100)-(+BP14/10000)-(+BX14/100000)+COUNTIF(BI$13:BI$24,"&lt;="&amp;BI14+1)/10000+ROW()/100000000)</f>
        <v>4.1671901400000007</v>
      </c>
      <c r="CI14" s="524">
        <f ca="1">IF(BI14="","",SMALL(CH$13:CH$24,ROWS(BP$13:BP14)))</f>
        <v>0.89592013000000004</v>
      </c>
      <c r="CL14" s="644">
        <f ca="1">IF(CI14="","",IF(AND(CP13=CP14,CQ13=CQ14),CL13,$CL$13+1))</f>
        <v>2</v>
      </c>
      <c r="CM14" s="577">
        <f ca="1">IF(OR(BH14="",BP14="",BX14=""),"",INDEX($BH$7:$BH$24,MATCH(CI14,$CH$7:$CH$24,0)))</f>
        <v>1</v>
      </c>
      <c r="CN14" s="578" t="str">
        <f ca="1">IF(OR(BI14="",BP14="",BX14=""),"",INDEX($BI$7:$BI$24,MATCH(CI14,$CH$7:$CH$24,0)))</f>
        <v>A</v>
      </c>
      <c r="CO14" s="579" t="str">
        <f t="shared" ca="1" si="2"/>
        <v/>
      </c>
      <c r="CP14" s="665">
        <f t="shared" ca="1" si="3"/>
        <v>10</v>
      </c>
      <c r="CQ14" s="662">
        <f t="shared" ca="1" si="4"/>
        <v>10</v>
      </c>
      <c r="CR14" s="580" t="str">
        <f t="shared" ca="1" si="5"/>
        <v>D</v>
      </c>
      <c r="CS14" s="575" t="str">
        <f t="shared" ca="1" si="6"/>
        <v>V</v>
      </c>
      <c r="CT14" s="575" t="str">
        <f t="shared" ca="1" si="7"/>
        <v>V</v>
      </c>
      <c r="CU14" s="581" t="str">
        <f t="shared" ca="1" si="8"/>
        <v>V</v>
      </c>
      <c r="CV14" s="574">
        <f t="shared" ca="1" si="9"/>
        <v>6</v>
      </c>
      <c r="CW14" s="575">
        <f ca="1">IF(OR(BK14="",BP14="",BX14=""),"",INDEX($BL$7:$BL$24,MATCH(CI14,$CH$7:$CH$24,0)))</f>
        <v>6</v>
      </c>
      <c r="CX14" s="575">
        <f t="shared" ca="1" si="10"/>
        <v>13</v>
      </c>
      <c r="CY14" s="581">
        <f t="shared" ca="1" si="11"/>
        <v>13</v>
      </c>
      <c r="CZ14" s="574">
        <f t="shared" ca="1" si="12"/>
        <v>12</v>
      </c>
      <c r="DA14" s="575">
        <f t="shared" ca="1" si="13"/>
        <v>2</v>
      </c>
      <c r="DB14" s="575">
        <f t="shared" ca="1" si="14"/>
        <v>5</v>
      </c>
      <c r="DC14" s="581">
        <f t="shared" ca="1" si="15"/>
        <v>9</v>
      </c>
      <c r="DD14" s="582">
        <f t="shared" ca="1" si="16"/>
        <v>2</v>
      </c>
      <c r="DE14" s="583">
        <f t="shared" ca="1" si="17"/>
        <v>5</v>
      </c>
      <c r="DF14" s="583">
        <f t="shared" ca="1" si="18"/>
        <v>4</v>
      </c>
      <c r="DG14" s="584">
        <f t="shared" ca="1" si="19"/>
        <v>3</v>
      </c>
    </row>
    <row r="15" spans="1:111" ht="24.95" customHeight="1" thickBot="1">
      <c r="A15" s="42"/>
      <c r="B15" s="42"/>
      <c r="C15" s="42"/>
      <c r="D15" s="42"/>
      <c r="E15" s="208"/>
      <c r="F15" s="58"/>
      <c r="G15" s="42"/>
      <c r="H15" s="42"/>
      <c r="I15" s="35">
        <v>2</v>
      </c>
      <c r="J15" s="31"/>
      <c r="K15" s="1182" t="s">
        <v>15</v>
      </c>
      <c r="L15" s="1183"/>
      <c r="M15" s="1184"/>
      <c r="N15" s="86"/>
      <c r="O15" s="32">
        <v>2</v>
      </c>
      <c r="R15" s="1124">
        <v>3</v>
      </c>
      <c r="S15" s="600">
        <v>3</v>
      </c>
      <c r="T15" s="539">
        <f>+S16</f>
        <v>4</v>
      </c>
      <c r="U15" s="89" t="str">
        <f t="shared" si="20"/>
        <v>C</v>
      </c>
      <c r="V15" s="737">
        <v>13</v>
      </c>
      <c r="W15" s="606">
        <f>+V16</f>
        <v>2</v>
      </c>
      <c r="X15" s="585">
        <f>IF(V15+V16=0,0,IF(V15=V16,2,IF(V15&gt;V16,3,1)))</f>
        <v>3</v>
      </c>
      <c r="Y15" s="589"/>
      <c r="Z15" s="1126">
        <v>4</v>
      </c>
      <c r="AA15" s="586">
        <v>2</v>
      </c>
      <c r="AB15" s="587">
        <f>+AA16</f>
        <v>4</v>
      </c>
      <c r="AC15" s="588" t="str">
        <f>+U14</f>
        <v>B</v>
      </c>
      <c r="AD15" s="538">
        <v>4</v>
      </c>
      <c r="AE15" s="605">
        <f>+AD16</f>
        <v>9</v>
      </c>
      <c r="AF15" s="537">
        <f>IF(AD15+AD16=0,0,IF(AD15=AD16,2,IF(AD15&gt;AD16,3,1)))</f>
        <v>1</v>
      </c>
      <c r="AG15" s="645"/>
      <c r="AH15" s="641"/>
      <c r="AI15" s="1124">
        <v>5</v>
      </c>
      <c r="AJ15" s="538">
        <v>3</v>
      </c>
      <c r="AK15" s="541">
        <f>+AJ16</f>
        <v>5</v>
      </c>
      <c r="AL15" s="538" t="str">
        <f>+U15</f>
        <v>C</v>
      </c>
      <c r="AM15" s="538">
        <v>13</v>
      </c>
      <c r="AN15" s="605">
        <f>+AM16</f>
        <v>2</v>
      </c>
      <c r="AO15" s="537">
        <f>IF(AM15+AM16=0,0,IF(AM15=AM16,2,IF(AM15&gt;AM16,3,1)))</f>
        <v>3</v>
      </c>
      <c r="AP15" s="645"/>
      <c r="AQ15" s="1124">
        <v>6</v>
      </c>
      <c r="AR15" s="538">
        <v>2</v>
      </c>
      <c r="AS15" s="539">
        <f>+AR16</f>
        <v>5</v>
      </c>
      <c r="AT15" s="542" t="str">
        <f>+U14</f>
        <v>B</v>
      </c>
      <c r="AU15" s="538">
        <v>4</v>
      </c>
      <c r="AV15" s="654">
        <f>+AU16</f>
        <v>13</v>
      </c>
      <c r="AW15" s="537">
        <f>IF(AU15+AU16=0,0,IF(AU15=AU16,2,IF(AU15&gt;AU16,3,1)))</f>
        <v>1</v>
      </c>
      <c r="AX15" s="543"/>
      <c r="AY15" s="543"/>
      <c r="AZ15" s="1124">
        <v>7</v>
      </c>
      <c r="BA15" s="538">
        <v>2</v>
      </c>
      <c r="BB15" s="539">
        <f>+BA16</f>
        <v>3</v>
      </c>
      <c r="BC15" s="542" t="str">
        <f>+U14</f>
        <v>B</v>
      </c>
      <c r="BD15" s="538">
        <v>4</v>
      </c>
      <c r="BE15" s="654">
        <f>+BD16</f>
        <v>13</v>
      </c>
      <c r="BF15" s="537">
        <f>IF(BD15+BD16=0,0,IF(BD15=BD16,2,IF(BD15&gt;BD16,3,1)))</f>
        <v>1</v>
      </c>
      <c r="BG15" s="543"/>
      <c r="BH15" s="599">
        <v>3</v>
      </c>
      <c r="BI15" s="569" t="str">
        <f t="shared" si="0"/>
        <v>C</v>
      </c>
      <c r="BJ15" s="570"/>
      <c r="BK15" s="571">
        <f>VLOOKUP(BI15,$U$7:$V$24,2,0)</f>
        <v>13</v>
      </c>
      <c r="BL15" s="614">
        <f>VLOOKUP(BI15,$AC$7:$AD$24,2,0)</f>
        <v>0</v>
      </c>
      <c r="BM15" s="571">
        <f>VLOOKUP(BI15,$AL$7:$AM$24,2,0)</f>
        <v>13</v>
      </c>
      <c r="BN15" s="572">
        <f>VLOOKUP(BI15,$AT$7:$AU$24,2,0)</f>
        <v>9</v>
      </c>
      <c r="BO15" s="572">
        <f>VLOOKUP(BI15,$BC$13:$BF$18,2,0)</f>
        <v>13</v>
      </c>
      <c r="BP15" s="573">
        <f ca="1">SUMIF(BK15:BO15,"&lt;&gt;#N/A",BK15:BN15)</f>
        <v>48</v>
      </c>
      <c r="BQ15" s="510"/>
      <c r="BR15" s="510"/>
      <c r="BS15" s="570">
        <f>VLOOKUP(BI15,$U$7:$W$24,3,0)</f>
        <v>2</v>
      </c>
      <c r="BT15" s="614">
        <f>VLOOKUP(BI15,$AC$7:$AE$24,3,0)</f>
        <v>0</v>
      </c>
      <c r="BU15" s="571">
        <f>VLOOKUP(BI15,$AL$7:$AN$24,3,0)</f>
        <v>2</v>
      </c>
      <c r="BV15" s="572">
        <f>VLOOKUP(BI15,$AT$7:$AV$24,3,0)</f>
        <v>13</v>
      </c>
      <c r="BW15" s="571">
        <f t="shared" si="21"/>
        <v>4</v>
      </c>
      <c r="BX15" s="618">
        <f ca="1">SUMIF(BS15:BW15,"&lt;&gt;#N/A",BS15:BV15)</f>
        <v>21</v>
      </c>
      <c r="BY15" s="573">
        <f t="shared" ca="1" si="1"/>
        <v>27</v>
      </c>
      <c r="BZ15" s="524"/>
      <c r="CA15" s="574" t="str">
        <f>IF(BK15=BS15,"N",IF(BK15&gt;BS15,"V",IF(BK15&lt;BS15,"D")))</f>
        <v>V</v>
      </c>
      <c r="CB15" s="614" t="str">
        <f>IF(BL15=BT15," ",IF(BL15&gt;BT15,"V",IF(BL15&lt;BT15,"D")))</f>
        <v xml:space="preserve"> </v>
      </c>
      <c r="CC15" s="575" t="str">
        <f>IF(BM15=BU15,"N",IF(BM15&gt;BU15,"V",IF(BM15&lt;BU15,"D")))</f>
        <v>V</v>
      </c>
      <c r="CD15" s="581" t="str">
        <f>IF(BN15=BV15,"N",IF(BN15&gt;BV15,"V",IF(BN15&lt;BV15,"D")))</f>
        <v>D</v>
      </c>
      <c r="CE15" s="576" t="str">
        <f>IF(BO15=BW15,"N",IF(BO15&gt;BW15,"V",IF(BO15&lt;BW15,"D")))</f>
        <v>V</v>
      </c>
      <c r="CF15" s="611"/>
      <c r="CG15" s="660">
        <f>VLOOKUP(BI15,$U$7:$X$18,4,0)+VLOOKUP(BI15,$AC$7:$AF$18,4,0)+VLOOKUP(BI15,$AL$7:$AO$18,4,0)+VLOOKUP(BI15,$AT$7:$AW$18,4,0)+VLOOKUP(BI15,$BC$13:$BF$18,4,0)</f>
        <v>10</v>
      </c>
      <c r="CH15" s="747">
        <f t="shared" ca="1" si="22"/>
        <v>0.72499014999999989</v>
      </c>
      <c r="CI15" s="524">
        <f ca="1">IF(BI15="","",SMALL(CH$13:CH$24,ROWS(BP$13:BP15)))</f>
        <v>3.0166801699999999</v>
      </c>
      <c r="CL15" s="644">
        <f ca="1">IF(CI15="","",IF(AND(CP14=CP15,CQ14=CQ15),CL14,$CL$13+2))</f>
        <v>3</v>
      </c>
      <c r="CM15" s="577">
        <f ca="1">IF(OR(BH15="",BP15="",BX15=""),"",INDEX($BH$7:$BH$24,MATCH(CI15,$CH$7:$CH$24,0)))</f>
        <v>5</v>
      </c>
      <c r="CN15" s="578" t="str">
        <f ca="1">IF(OR(BI15="",BP15="",BX15=""),"",INDEX($BI$7:$BI$24,MATCH(CI15,$CH$7:$CH$24,0)))</f>
        <v>E</v>
      </c>
      <c r="CO15" s="579" t="str">
        <f t="shared" ca="1" si="2"/>
        <v/>
      </c>
      <c r="CP15" s="665">
        <f t="shared" ca="1" si="3"/>
        <v>8</v>
      </c>
      <c r="CQ15" s="662">
        <f t="shared" ca="1" si="4"/>
        <v>-2</v>
      </c>
      <c r="CR15" s="580" t="str">
        <f t="shared" ca="1" si="5"/>
        <v xml:space="preserve"> </v>
      </c>
      <c r="CS15" s="575" t="str">
        <f t="shared" ca="1" si="6"/>
        <v>D</v>
      </c>
      <c r="CT15" s="575" t="str">
        <f t="shared" ca="1" si="7"/>
        <v>D</v>
      </c>
      <c r="CU15" s="581" t="str">
        <f t="shared" ca="1" si="8"/>
        <v>V</v>
      </c>
      <c r="CV15" s="574">
        <f t="shared" ca="1" si="9"/>
        <v>0</v>
      </c>
      <c r="CW15" s="575">
        <f ca="1">IF(OR(BK15="",BP15="",BX15=""),"",INDEX($BL$7:$BL$24,MATCH(CI15,$CH$7:$CH$24,0)))</f>
        <v>2</v>
      </c>
      <c r="CX15" s="575">
        <f t="shared" ca="1" si="10"/>
        <v>2</v>
      </c>
      <c r="CY15" s="581">
        <f t="shared" ca="1" si="11"/>
        <v>13</v>
      </c>
      <c r="CZ15" s="574">
        <f t="shared" ca="1" si="12"/>
        <v>0</v>
      </c>
      <c r="DA15" s="575">
        <f t="shared" ca="1" si="13"/>
        <v>6</v>
      </c>
      <c r="DB15" s="575">
        <f t="shared" ca="1" si="14"/>
        <v>13</v>
      </c>
      <c r="DC15" s="581">
        <f t="shared" ca="1" si="15"/>
        <v>4</v>
      </c>
      <c r="DD15" s="582" t="str">
        <f t="shared" ca="1" si="16"/>
        <v>Ex.</v>
      </c>
      <c r="DE15" s="583">
        <f t="shared" ca="1" si="17"/>
        <v>1</v>
      </c>
      <c r="DF15" s="583">
        <f t="shared" ca="1" si="18"/>
        <v>3</v>
      </c>
      <c r="DG15" s="584">
        <f t="shared" ca="1" si="19"/>
        <v>2</v>
      </c>
    </row>
    <row r="16" spans="1:111" ht="24.95" customHeight="1" thickBot="1">
      <c r="A16" s="922" t="s">
        <v>61</v>
      </c>
      <c r="B16" s="924"/>
      <c r="C16" s="924"/>
      <c r="D16" s="923"/>
      <c r="E16" s="266">
        <v>5</v>
      </c>
      <c r="F16" s="58"/>
      <c r="G16" s="42"/>
      <c r="H16" s="42"/>
      <c r="I16" s="35">
        <v>3</v>
      </c>
      <c r="J16" s="31"/>
      <c r="K16" s="1182" t="s">
        <v>49</v>
      </c>
      <c r="L16" s="1183"/>
      <c r="M16" s="1184"/>
      <c r="N16" s="86"/>
      <c r="O16" s="32">
        <v>3</v>
      </c>
      <c r="R16" s="1125"/>
      <c r="S16" s="612">
        <v>4</v>
      </c>
      <c r="T16" s="562">
        <f>+S15</f>
        <v>3</v>
      </c>
      <c r="U16" s="91" t="str">
        <f t="shared" si="20"/>
        <v>D</v>
      </c>
      <c r="V16" s="739">
        <v>2</v>
      </c>
      <c r="W16" s="606">
        <f>+V15</f>
        <v>13</v>
      </c>
      <c r="X16" s="565">
        <f>IF(V15+V16=0,0,IF(V15=V16,2,IF(V15&lt;V16,3,1)))</f>
        <v>1</v>
      </c>
      <c r="Y16" s="564"/>
      <c r="Z16" s="1126"/>
      <c r="AA16" s="525">
        <v>4</v>
      </c>
      <c r="AB16" s="567">
        <f>+AA15</f>
        <v>2</v>
      </c>
      <c r="AC16" s="590" t="str">
        <f>+U16</f>
        <v>D</v>
      </c>
      <c r="AD16" s="612">
        <v>9</v>
      </c>
      <c r="AE16" s="607">
        <f>+AD15</f>
        <v>4</v>
      </c>
      <c r="AF16" s="561">
        <f>IF(AD15+AD16=0,0,IF(AD15=AD16,2,IF(AD15&lt;AD16,3,1)))</f>
        <v>3</v>
      </c>
      <c r="AG16" s="643"/>
      <c r="AH16" s="641"/>
      <c r="AI16" s="1125"/>
      <c r="AJ16" s="612">
        <v>5</v>
      </c>
      <c r="AK16" s="566">
        <f>+AJ15</f>
        <v>3</v>
      </c>
      <c r="AL16" s="561" t="str">
        <f>+U17</f>
        <v>E</v>
      </c>
      <c r="AM16" s="612">
        <v>2</v>
      </c>
      <c r="AN16" s="607">
        <f>+AM15</f>
        <v>13</v>
      </c>
      <c r="AO16" s="561">
        <f>IF(AM15+AM16=0,0,IF(AM15=AM16,2,IF(AM15&lt;AM16,3,1)))</f>
        <v>1</v>
      </c>
      <c r="AP16" s="643"/>
      <c r="AQ16" s="1125"/>
      <c r="AR16" s="612">
        <v>5</v>
      </c>
      <c r="AS16" s="562">
        <f>+AR15</f>
        <v>2</v>
      </c>
      <c r="AT16" s="591" t="str">
        <f>+U17</f>
        <v>E</v>
      </c>
      <c r="AU16" s="612">
        <v>13</v>
      </c>
      <c r="AV16" s="656">
        <f>+AU15</f>
        <v>4</v>
      </c>
      <c r="AW16" s="561">
        <f>IF(AU15+AU16=0,0,IF(AU15=AU16,2,IF(AU15&lt;AU16,3,1)))</f>
        <v>3</v>
      </c>
      <c r="AX16" s="611"/>
      <c r="AY16" s="611"/>
      <c r="AZ16" s="1125"/>
      <c r="BA16" s="612">
        <v>3</v>
      </c>
      <c r="BB16" s="562">
        <f>+BA15</f>
        <v>2</v>
      </c>
      <c r="BC16" s="591" t="str">
        <f>+U15</f>
        <v>C</v>
      </c>
      <c r="BD16" s="612">
        <v>13</v>
      </c>
      <c r="BE16" s="656">
        <f>+BD15</f>
        <v>4</v>
      </c>
      <c r="BF16" s="561">
        <f>IF(BD15+BD16=0,0,IF(BD15=BD16,2,IF(BD15&lt;BD16,3,1)))</f>
        <v>3</v>
      </c>
      <c r="BG16" s="611"/>
      <c r="BH16" s="601">
        <v>4</v>
      </c>
      <c r="BI16" s="569" t="str">
        <f t="shared" si="0"/>
        <v>D</v>
      </c>
      <c r="BJ16" s="570"/>
      <c r="BK16" s="571">
        <f>VLOOKUP(BI16,$U$7:$V$24,2,0)</f>
        <v>2</v>
      </c>
      <c r="BL16" s="571">
        <f>VLOOKUP(BI16,$AC$7:$AD$24,2,0)</f>
        <v>9</v>
      </c>
      <c r="BM16" s="571">
        <f>VLOOKUP(BI16,$AL$7:$AM$24,2,0)</f>
        <v>5</v>
      </c>
      <c r="BN16" s="615">
        <f>VLOOKUP(BI16,$AT$7:$AU$24,2,0)</f>
        <v>0</v>
      </c>
      <c r="BO16" s="572">
        <f>VLOOKUP(BI16,$BC$13:$BF$18,2,0)</f>
        <v>9</v>
      </c>
      <c r="BP16" s="573">
        <f ca="1">SUMIF(BK16:BO16,"&lt;&gt;#N/A",BK16:BN16)</f>
        <v>25</v>
      </c>
      <c r="BQ16" s="510"/>
      <c r="BR16" s="510"/>
      <c r="BS16" s="570">
        <f>VLOOKUP(BI16,$U$7:$W$24,3,0)</f>
        <v>13</v>
      </c>
      <c r="BT16" s="571">
        <f>VLOOKUP(BI16,$AC$7:$AE$24,3,0)</f>
        <v>4</v>
      </c>
      <c r="BU16" s="571">
        <f>VLOOKUP(BI16,$AL$7:$AN$24,3,0)</f>
        <v>13</v>
      </c>
      <c r="BV16" s="615">
        <f>VLOOKUP(BI16,$AT$7:$AV$24,3,0)</f>
        <v>0</v>
      </c>
      <c r="BW16" s="571">
        <f t="shared" si="21"/>
        <v>13</v>
      </c>
      <c r="BX16" s="618">
        <f ca="1">SUMIF(BS16:BW16,"&lt;&gt;#N/A",BS16:BV16)</f>
        <v>43</v>
      </c>
      <c r="BY16" s="573">
        <f t="shared" ca="1" si="1"/>
        <v>-18</v>
      </c>
      <c r="BZ16" s="524"/>
      <c r="CA16" s="574" t="str">
        <f>IF(BK16=BS16,"N",IF(BK16&gt;BS16,"V",IF(BK16&lt;BS16,"D")))</f>
        <v>D</v>
      </c>
      <c r="CB16" s="575" t="str">
        <f>IF(BL16=BT16,"N",IF(BL16&gt;BT16,"V",IF(BL16&lt;BT16,"D")))</f>
        <v>V</v>
      </c>
      <c r="CC16" s="575" t="str">
        <f>IF(BM16=BU16,"N",IF(BM16&gt;BU16,"V",IF(BM16&lt;BU16,"D")))</f>
        <v>D</v>
      </c>
      <c r="CD16" s="615" t="str">
        <f>IF(BN16=BV16," ",IF(BN16&gt;BV16,"V",IF(BN16&lt;BV16,"D")))</f>
        <v xml:space="preserve"> </v>
      </c>
      <c r="CE16" s="576" t="str">
        <f>IF(BO16=BW16,"N",IF(BO16&gt;BW16,"V",IF(BO16&lt;BW16,"D")))</f>
        <v>D</v>
      </c>
      <c r="CF16" s="611"/>
      <c r="CG16" s="660">
        <f>VLOOKUP(BI16,$U$7:$X$18,4,0)+VLOOKUP(BI16,$AC$7:$AF$18,4,0)+VLOOKUP(BI16,$AL$7:$AO$18,4,0)+VLOOKUP(BI16,$AT$7:$AW$18,4,0)+VLOOKUP(BI16,$BC$13:$BF$18,4,0)</f>
        <v>6</v>
      </c>
      <c r="CH16" s="747">
        <f t="shared" ca="1" si="22"/>
        <v>4.1770701599999995</v>
      </c>
      <c r="CI16" s="524">
        <f ca="1">IF(BI16="","",SMALL(CH$13:CH$24,ROWS(BP$13:BP16)))</f>
        <v>4.1671901400000007</v>
      </c>
      <c r="CL16" s="644">
        <f ca="1">IF(CI16="","",IF(AND(CP15=CP16,CQ15=CQ16),CL15,$CL$13+3))</f>
        <v>4</v>
      </c>
      <c r="CM16" s="577">
        <f ca="1">IF(OR(BH16="",BP16="",BX16=""),"",INDEX($BH$7:$BH$24,MATCH(CI16,$CH$7:$CH$24,0)))</f>
        <v>2</v>
      </c>
      <c r="CN16" s="578" t="str">
        <f ca="1">IF(OR(BI16="",BP16="",BX16=""),"",INDEX($BI$7:$BI$24,MATCH(CI16,$CH$7:$CH$24,0)))</f>
        <v>B</v>
      </c>
      <c r="CO16" s="579" t="str">
        <f t="shared" ca="1" si="2"/>
        <v/>
      </c>
      <c r="CP16" s="665">
        <f t="shared" ca="1" si="3"/>
        <v>6</v>
      </c>
      <c r="CQ16" s="662">
        <f t="shared" ca="1" si="4"/>
        <v>-17</v>
      </c>
      <c r="CR16" s="580" t="str">
        <f t="shared" ca="1" si="5"/>
        <v>V</v>
      </c>
      <c r="CS16" s="575" t="str">
        <f t="shared" ca="1" si="6"/>
        <v>D</v>
      </c>
      <c r="CT16" s="575" t="str">
        <f t="shared" ca="1" si="7"/>
        <v xml:space="preserve"> </v>
      </c>
      <c r="CU16" s="581" t="str">
        <f t="shared" ca="1" si="8"/>
        <v>D</v>
      </c>
      <c r="CV16" s="574">
        <f t="shared" ca="1" si="9"/>
        <v>12</v>
      </c>
      <c r="CW16" s="575">
        <f ca="1">IF(OR(BK16="",BP16="",BX16=""),"",INDEX($BL$7:$BL$24,MATCH(CI16,$CH$7:$CH$24,0)))</f>
        <v>4</v>
      </c>
      <c r="CX16" s="575">
        <f t="shared" ca="1" si="10"/>
        <v>0</v>
      </c>
      <c r="CY16" s="581">
        <f t="shared" ca="1" si="11"/>
        <v>4</v>
      </c>
      <c r="CZ16" s="574">
        <f t="shared" ca="1" si="12"/>
        <v>6</v>
      </c>
      <c r="DA16" s="575">
        <f t="shared" ca="1" si="13"/>
        <v>9</v>
      </c>
      <c r="DB16" s="575">
        <f t="shared" ca="1" si="14"/>
        <v>0</v>
      </c>
      <c r="DC16" s="581">
        <f t="shared" ca="1" si="15"/>
        <v>13</v>
      </c>
      <c r="DD16" s="582">
        <f t="shared" ca="1" si="16"/>
        <v>1</v>
      </c>
      <c r="DE16" s="583">
        <f t="shared" ca="1" si="17"/>
        <v>4</v>
      </c>
      <c r="DF16" s="583" t="str">
        <f t="shared" ca="1" si="18"/>
        <v>Ex.</v>
      </c>
      <c r="DG16" s="584">
        <f t="shared" ca="1" si="19"/>
        <v>5</v>
      </c>
    </row>
    <row r="17" spans="1:111" ht="24.95" customHeight="1" thickBot="1">
      <c r="A17" s="922" t="s">
        <v>73</v>
      </c>
      <c r="B17" s="924"/>
      <c r="C17" s="924"/>
      <c r="D17" s="923"/>
      <c r="E17" s="268">
        <v>4</v>
      </c>
      <c r="F17" s="58"/>
      <c r="G17" s="42"/>
      <c r="H17" s="42"/>
      <c r="I17" s="36">
        <v>4</v>
      </c>
      <c r="J17" s="31"/>
      <c r="K17" s="1182" t="s">
        <v>40</v>
      </c>
      <c r="L17" s="1183"/>
      <c r="M17" s="1184"/>
      <c r="N17" s="86"/>
      <c r="O17" s="32">
        <v>4</v>
      </c>
      <c r="R17" s="1121"/>
      <c r="S17" s="586">
        <v>5</v>
      </c>
      <c r="T17" s="587" t="str">
        <f>+S18</f>
        <v>Ex.</v>
      </c>
      <c r="U17" s="742" t="str">
        <f t="shared" si="20"/>
        <v>E</v>
      </c>
      <c r="V17" s="740"/>
      <c r="W17" s="605"/>
      <c r="X17" s="666"/>
      <c r="Y17" s="589"/>
      <c r="Z17" s="1123"/>
      <c r="AA17" s="538">
        <v>3</v>
      </c>
      <c r="AB17" s="539" t="str">
        <f>+AA18</f>
        <v>Ex.</v>
      </c>
      <c r="AC17" s="540" t="str">
        <f>+U15</f>
        <v>C</v>
      </c>
      <c r="AD17" s="667"/>
      <c r="AE17" s="606"/>
      <c r="AF17" s="668"/>
      <c r="AG17" s="645"/>
      <c r="AH17" s="641"/>
      <c r="AI17" s="1121"/>
      <c r="AJ17" s="586">
        <v>2</v>
      </c>
      <c r="AK17" s="592" t="str">
        <f>+AJ18</f>
        <v>Ex.</v>
      </c>
      <c r="AL17" s="746" t="str">
        <f>+U14</f>
        <v>B</v>
      </c>
      <c r="AM17" s="667"/>
      <c r="AN17" s="652"/>
      <c r="AO17" s="668"/>
      <c r="AP17" s="645"/>
      <c r="AQ17" s="1121"/>
      <c r="AR17" s="586">
        <v>4</v>
      </c>
      <c r="AS17" s="587" t="str">
        <f>+AR18</f>
        <v>Ex.</v>
      </c>
      <c r="AT17" s="746" t="str">
        <f>+U16</f>
        <v>D</v>
      </c>
      <c r="AU17" s="669"/>
      <c r="AV17" s="655"/>
      <c r="AW17" s="668"/>
      <c r="AX17" s="543"/>
      <c r="AY17" s="543"/>
      <c r="AZ17" s="1126"/>
      <c r="BA17" s="586">
        <v>1</v>
      </c>
      <c r="BB17" s="587" t="str">
        <f>+BA18</f>
        <v>Ex.</v>
      </c>
      <c r="BC17" s="746" t="str">
        <f>+U13</f>
        <v>A</v>
      </c>
      <c r="BD17" s="669"/>
      <c r="BE17" s="655"/>
      <c r="BF17" s="668"/>
      <c r="BG17" s="543"/>
      <c r="BH17" s="601">
        <v>5</v>
      </c>
      <c r="BI17" s="569" t="str">
        <f t="shared" si="0"/>
        <v>E</v>
      </c>
      <c r="BJ17" s="570"/>
      <c r="BK17" s="614">
        <f>VLOOKUP(BI17,$U$7:$V$24,2,0)</f>
        <v>0</v>
      </c>
      <c r="BL17" s="571">
        <f>VLOOKUP(BI17,$AC$7:$AD$24,2,0)</f>
        <v>2</v>
      </c>
      <c r="BM17" s="571">
        <f>VLOOKUP(BI17,$AL$7:$AM$24,2,0)</f>
        <v>2</v>
      </c>
      <c r="BN17" s="572">
        <f>VLOOKUP(BI17,$AT$7:$AU$24,2,0)</f>
        <v>13</v>
      </c>
      <c r="BO17" s="572">
        <f>VLOOKUP(BI17,$BC$13:$BF$18,2,0)</f>
        <v>13</v>
      </c>
      <c r="BP17" s="573">
        <f ca="1">SUMIF(BK17:BO17,"&lt;&gt;#N/A",BK17:BN17)</f>
        <v>30</v>
      </c>
      <c r="BQ17" s="510"/>
      <c r="BR17" s="510"/>
      <c r="BS17" s="616">
        <f>VLOOKUP(BI17,$U$7:$W$24,3,0)</f>
        <v>0</v>
      </c>
      <c r="BT17" s="571">
        <f>VLOOKUP(BI17,$AC$7:$AE$24,3,0)</f>
        <v>6</v>
      </c>
      <c r="BU17" s="571">
        <f>VLOOKUP(BI17,$AL$7:$AN$24,3,0)</f>
        <v>13</v>
      </c>
      <c r="BV17" s="572">
        <f>VLOOKUP(BI17,$AT$7:$AV$24,3,0)</f>
        <v>4</v>
      </c>
      <c r="BW17" s="571">
        <f t="shared" si="21"/>
        <v>9</v>
      </c>
      <c r="BX17" s="618">
        <f ca="1">SUMIF(BS17:BW17,"&lt;&gt;#N/A",BS17:BV17)</f>
        <v>32</v>
      </c>
      <c r="BY17" s="573">
        <f t="shared" ca="1" si="1"/>
        <v>-2</v>
      </c>
      <c r="BZ17" s="524"/>
      <c r="CA17" s="616" t="str">
        <f>IF(BK17=BS17," ",IF(BK17&gt;BS17,"V",IF(BK17&lt;BS17,"D")))</f>
        <v xml:space="preserve"> </v>
      </c>
      <c r="CB17" s="575" t="str">
        <f>IF(BL17=BT17,"N",IF(BL17&gt;BT17,"V",IF(BL17&lt;BT17,"D")))</f>
        <v>D</v>
      </c>
      <c r="CC17" s="575" t="str">
        <f>IF(BM17=BU17,"N",IF(BM17&gt;BU17,"V",IF(BM17&lt;BU17,"D")))</f>
        <v>D</v>
      </c>
      <c r="CD17" s="581" t="str">
        <f>IF(BN17=BV17,"N",IF(BN17&gt;BV17,"V",IF(BN17&lt;BV17,"D")))</f>
        <v>V</v>
      </c>
      <c r="CE17" s="576" t="str">
        <f>IF(BO17=BW17,"N",IF(BO17&gt;BW17,"V",IF(BO17&lt;BW17,"D")))</f>
        <v>V</v>
      </c>
      <c r="CF17" s="611"/>
      <c r="CG17" s="660">
        <f>VLOOKUP(BI17,$U$7:$X$18,4,0)+VLOOKUP(BI17,$AC$7:$AF$18,4,0)+VLOOKUP(BI17,$AL$7:$AO$18,4,0)+VLOOKUP(BI17,$AT$7:$AW$18,4,0)+VLOOKUP(BI17,$BC$13:$BF$18,4,0)</f>
        <v>8</v>
      </c>
      <c r="CH17" s="747">
        <f t="shared" ca="1" si="22"/>
        <v>3.0166801699999999</v>
      </c>
      <c r="CI17" s="524">
        <f ca="1">IF(BI17="","",SMALL(CH$13:CH$24,ROWS(BP$13:BP17)))</f>
        <v>4.1770701599999995</v>
      </c>
      <c r="CL17" s="646">
        <f ca="1">IF(CI17="","",IF(AND(CP16=CP17,CQ16=CQ17),CL16,$CL$13+4))</f>
        <v>5</v>
      </c>
      <c r="CM17" s="577">
        <f ca="1">IF(OR(BH17="",BP17="",BX17=""),"",INDEX($BH$7:$BH$24,MATCH(CI17,$CH$7:$CH$24,0)))</f>
        <v>4</v>
      </c>
      <c r="CN17" s="635" t="str">
        <f ca="1">IF(OR(BI17="",BP17="",BX17=""),"",INDEX($BI$7:$BI$24,MATCH(CI17,$CH$7:$CH$24,0)))</f>
        <v>D</v>
      </c>
      <c r="CO17" s="579" t="str">
        <f t="shared" ca="1" si="2"/>
        <v/>
      </c>
      <c r="CP17" s="665">
        <f t="shared" ca="1" si="3"/>
        <v>6</v>
      </c>
      <c r="CQ17" s="662">
        <f t="shared" ca="1" si="4"/>
        <v>-18</v>
      </c>
      <c r="CR17" s="580" t="str">
        <f t="shared" ca="1" si="5"/>
        <v>D</v>
      </c>
      <c r="CS17" s="575" t="str">
        <f t="shared" ca="1" si="6"/>
        <v>V</v>
      </c>
      <c r="CT17" s="575" t="str">
        <f t="shared" ca="1" si="7"/>
        <v>D</v>
      </c>
      <c r="CU17" s="581" t="str">
        <f t="shared" ca="1" si="8"/>
        <v xml:space="preserve"> </v>
      </c>
      <c r="CV17" s="574">
        <f t="shared" ca="1" si="9"/>
        <v>2</v>
      </c>
      <c r="CW17" s="575">
        <f ca="1">IF(OR(BK17="",BP17="",BX17=""),"",INDEX($BL$7:$BL$24,MATCH(CI17,$CH$7:$CH$24,0)))</f>
        <v>9</v>
      </c>
      <c r="CX17" s="575">
        <f t="shared" ca="1" si="10"/>
        <v>5</v>
      </c>
      <c r="CY17" s="581">
        <f t="shared" ca="1" si="11"/>
        <v>0</v>
      </c>
      <c r="CZ17" s="574">
        <f t="shared" ca="1" si="12"/>
        <v>13</v>
      </c>
      <c r="DA17" s="575">
        <f t="shared" ca="1" si="13"/>
        <v>4</v>
      </c>
      <c r="DB17" s="575">
        <f t="shared" ca="1" si="14"/>
        <v>13</v>
      </c>
      <c r="DC17" s="581">
        <f t="shared" ca="1" si="15"/>
        <v>0</v>
      </c>
      <c r="DD17" s="582">
        <f t="shared" ca="1" si="16"/>
        <v>3</v>
      </c>
      <c r="DE17" s="583">
        <f t="shared" ca="1" si="17"/>
        <v>2</v>
      </c>
      <c r="DF17" s="583">
        <f t="shared" ca="1" si="18"/>
        <v>1</v>
      </c>
      <c r="DG17" s="584" t="str">
        <f t="shared" ca="1" si="19"/>
        <v>Ex.</v>
      </c>
    </row>
    <row r="18" spans="1:111" ht="24.95" customHeight="1" thickBot="1">
      <c r="A18" s="110"/>
      <c r="B18" s="110"/>
      <c r="C18" s="155"/>
      <c r="D18" s="156"/>
      <c r="E18" s="139"/>
      <c r="F18" s="42"/>
      <c r="G18" s="42"/>
      <c r="H18" s="157"/>
      <c r="I18" s="189">
        <v>5</v>
      </c>
      <c r="J18" s="190"/>
      <c r="K18" s="1185" t="s">
        <v>41</v>
      </c>
      <c r="L18" s="1186"/>
      <c r="M18" s="1187"/>
      <c r="N18" s="191"/>
      <c r="O18" s="192">
        <v>5</v>
      </c>
      <c r="R18" s="1122"/>
      <c r="S18" s="703" t="s">
        <v>196</v>
      </c>
      <c r="T18" s="562">
        <f>+S17</f>
        <v>5</v>
      </c>
      <c r="U18" s="743" t="str">
        <f>+S18</f>
        <v>Ex.</v>
      </c>
      <c r="V18" s="741"/>
      <c r="W18" s="607"/>
      <c r="X18" s="629"/>
      <c r="Y18" s="564"/>
      <c r="Z18" s="1122"/>
      <c r="AA18" s="612" t="str">
        <f>+S18</f>
        <v>Ex.</v>
      </c>
      <c r="AB18" s="562">
        <f>+AA17</f>
        <v>3</v>
      </c>
      <c r="AC18" s="744" t="str">
        <f>+S18</f>
        <v>Ex.</v>
      </c>
      <c r="AD18" s="607"/>
      <c r="AE18" s="607"/>
      <c r="AF18" s="629"/>
      <c r="AG18" s="643"/>
      <c r="AH18" s="641"/>
      <c r="AI18" s="1122"/>
      <c r="AJ18" s="612" t="str">
        <f>+S18</f>
        <v>Ex.</v>
      </c>
      <c r="AK18" s="566">
        <f>+AJ17</f>
        <v>2</v>
      </c>
      <c r="AL18" s="745" t="str">
        <f>+S18</f>
        <v>Ex.</v>
      </c>
      <c r="AM18" s="607"/>
      <c r="AN18" s="653"/>
      <c r="AO18" s="629"/>
      <c r="AP18" s="643"/>
      <c r="AQ18" s="1122"/>
      <c r="AR18" s="612" t="str">
        <f>+S18</f>
        <v>Ex.</v>
      </c>
      <c r="AS18" s="562">
        <f>+AR17</f>
        <v>4</v>
      </c>
      <c r="AT18" s="745" t="str">
        <f>+S18</f>
        <v>Ex.</v>
      </c>
      <c r="AU18" s="607"/>
      <c r="AV18" s="656"/>
      <c r="AW18" s="629"/>
      <c r="AX18" s="611"/>
      <c r="AY18" s="611"/>
      <c r="AZ18" s="1125"/>
      <c r="BA18" s="612" t="str">
        <f>+AA18</f>
        <v>Ex.</v>
      </c>
      <c r="BB18" s="562">
        <f>+BA17</f>
        <v>1</v>
      </c>
      <c r="BC18" s="745" t="str">
        <f>+AA18</f>
        <v>Ex.</v>
      </c>
      <c r="BD18" s="607"/>
      <c r="BE18" s="656"/>
      <c r="BF18" s="629"/>
      <c r="BG18" s="611"/>
      <c r="BH18" s="602">
        <v>6</v>
      </c>
      <c r="BI18" s="603" t="str">
        <f t="shared" si="0"/>
        <v>Ex.</v>
      </c>
      <c r="BJ18" s="604"/>
      <c r="BK18" s="626"/>
      <c r="BL18" s="626"/>
      <c r="BM18" s="626"/>
      <c r="BN18" s="627"/>
      <c r="BO18" s="627"/>
      <c r="BP18" s="629"/>
      <c r="BQ18" s="510"/>
      <c r="BR18" s="510"/>
      <c r="BS18" s="625"/>
      <c r="BT18" s="626"/>
      <c r="BU18" s="626"/>
      <c r="BV18" s="627"/>
      <c r="BW18" s="626"/>
      <c r="BX18" s="628"/>
      <c r="BY18" s="629"/>
      <c r="BZ18" s="524"/>
      <c r="CA18" s="625" t="str">
        <f>IF(BK18=BS18," ",IF(BK18&gt;BS18,"V",IF(BK18&lt;BS18,"D")))</f>
        <v xml:space="preserve"> </v>
      </c>
      <c r="CB18" s="626" t="str">
        <f>IF(BL18=BT18," ",IF(BL18&gt;BT18,"V",IF(BL18&lt;BT18,"D")))</f>
        <v xml:space="preserve"> </v>
      </c>
      <c r="CC18" s="621" t="str">
        <f>IF(BM18=BU18," ",IF(BM18&gt;BU18,"V",IF(BM18&lt;BU18,"D")))</f>
        <v xml:space="preserve"> </v>
      </c>
      <c r="CD18" s="622" t="str">
        <f>IF(BN18=BV18," ",IF(BN18&gt;BV18,"V",IF(BN18&lt;BV18,"D")))</f>
        <v xml:space="preserve"> </v>
      </c>
      <c r="CE18" s="623" t="str">
        <f>IF(BO18=BW18," ",IF(BO18&gt;BW18,"V",IF(BO18&lt;BW18,"D")))</f>
        <v xml:space="preserve"> </v>
      </c>
      <c r="CF18" s="611"/>
      <c r="CG18" s="629"/>
      <c r="CH18" s="524" t="str">
        <f>IF(OR(BI18="",CG18="",CG18=""),"",RANK(CG18,$CG$13:$CG$18)+SUM(-BY18/100)-(+BP18/10000)+COUNTIF(BI$13:BI$24,"&lt;="&amp;BI18+1)/10000+ROW()/100000)</f>
        <v/>
      </c>
      <c r="CI18" s="524"/>
      <c r="CL18" s="647"/>
      <c r="CM18" s="632"/>
      <c r="CN18" s="617"/>
      <c r="CO18" s="633" t="str">
        <f t="shared" si="2"/>
        <v/>
      </c>
      <c r="CP18" s="634"/>
      <c r="CQ18" s="614"/>
      <c r="CR18" s="580" t="str">
        <f t="shared" si="5"/>
        <v/>
      </c>
      <c r="CS18" s="575" t="str">
        <f t="shared" si="6"/>
        <v/>
      </c>
      <c r="CT18" s="575" t="str">
        <f t="shared" si="7"/>
        <v/>
      </c>
      <c r="CU18" s="581" t="str">
        <f t="shared" si="8"/>
        <v/>
      </c>
      <c r="CV18" s="574" t="str">
        <f t="shared" si="9"/>
        <v/>
      </c>
      <c r="CW18" s="575" t="str">
        <f>IF(OR(BK18="",BP18="",BX18=""),"",INDEX($BL$7:$BL$24,MATCH(CI18,$CH$7:$CH$24,0)))</f>
        <v/>
      </c>
      <c r="CX18" s="575" t="str">
        <f t="shared" si="10"/>
        <v/>
      </c>
      <c r="CY18" s="581" t="str">
        <f t="shared" si="11"/>
        <v/>
      </c>
      <c r="CZ18" s="574" t="str">
        <f t="shared" si="12"/>
        <v/>
      </c>
      <c r="DA18" s="575" t="str">
        <f t="shared" si="13"/>
        <v/>
      </c>
      <c r="DB18" s="575" t="str">
        <f t="shared" si="14"/>
        <v/>
      </c>
      <c r="DC18" s="581" t="str">
        <f t="shared" si="15"/>
        <v/>
      </c>
      <c r="DD18" s="582" t="e">
        <f t="shared" si="16"/>
        <v>#N/A</v>
      </c>
      <c r="DE18" s="583" t="e">
        <f t="shared" si="17"/>
        <v>#N/A</v>
      </c>
      <c r="DF18" s="583" t="e">
        <f t="shared" si="18"/>
        <v>#N/A</v>
      </c>
      <c r="DG18" s="584" t="e">
        <f t="shared" si="19"/>
        <v>#N/A</v>
      </c>
    </row>
    <row r="19" spans="1:111" s="58" customFormat="1" ht="24.95" customHeight="1">
      <c r="A19" s="42"/>
      <c r="B19" s="1105" t="s">
        <v>84</v>
      </c>
      <c r="C19" s="1105"/>
      <c r="D19" s="1105"/>
      <c r="E19" s="42"/>
      <c r="F19" s="42"/>
      <c r="G19" s="42"/>
      <c r="H19" s="42"/>
      <c r="I19" s="42"/>
      <c r="J19" s="42"/>
      <c r="K19"/>
      <c r="L19"/>
      <c r="M19"/>
      <c r="N19"/>
      <c r="O19"/>
      <c r="P19"/>
      <c r="BY19" s="269">
        <f ca="1">SUM(BY13:BY18)</f>
        <v>0</v>
      </c>
      <c r="CG19" s="269">
        <f>SUM(CG13:CG18)</f>
        <v>40</v>
      </c>
      <c r="CJ19"/>
      <c r="CK19"/>
      <c r="CP19" s="269">
        <f ca="1">SUM(CP13:CP18)</f>
        <v>40</v>
      </c>
      <c r="CQ19" s="269">
        <f ca="1">SUM(CQ13:CQ18)</f>
        <v>0</v>
      </c>
    </row>
    <row r="20" spans="1:111" s="58" customFormat="1" ht="24.95" customHeight="1">
      <c r="K20"/>
      <c r="L20"/>
      <c r="M20"/>
      <c r="N20"/>
      <c r="O20"/>
      <c r="P20"/>
      <c r="CJ20"/>
      <c r="CK20"/>
    </row>
    <row r="21" spans="1:111" s="397" customFormat="1" ht="22.5" customHeight="1">
      <c r="K21" s="724"/>
      <c r="L21" s="724"/>
      <c r="M21" s="724"/>
      <c r="N21" s="724"/>
      <c r="O21" s="724"/>
      <c r="P21" s="396"/>
      <c r="CJ21" s="396"/>
      <c r="CK21" s="396"/>
    </row>
    <row r="22" spans="1:111" s="397" customFormat="1" ht="24.95" customHeight="1">
      <c r="A22" s="723"/>
      <c r="K22" s="724"/>
      <c r="L22" s="724"/>
      <c r="M22" s="724"/>
      <c r="N22" s="724"/>
      <c r="O22" s="724"/>
      <c r="P22" s="396"/>
      <c r="CK22" s="396"/>
      <c r="CL22" s="396"/>
    </row>
    <row r="23" spans="1:111" s="397" customFormat="1" ht="24.95" customHeight="1">
      <c r="A23" s="756" t="s">
        <v>197</v>
      </c>
      <c r="B23" s="408"/>
      <c r="C23" s="408"/>
      <c r="D23" s="408"/>
      <c r="K23" s="724"/>
      <c r="L23" s="724"/>
      <c r="M23" s="724"/>
      <c r="N23" s="724"/>
      <c r="O23" s="724"/>
      <c r="P23" s="396"/>
      <c r="CH23" s="397" t="s">
        <v>199</v>
      </c>
      <c r="CI23" s="396" t="s">
        <v>200</v>
      </c>
      <c r="CJ23" s="396"/>
    </row>
    <row r="24" spans="1:111" s="397" customFormat="1" ht="23.25">
      <c r="A24" s="756" t="s">
        <v>198</v>
      </c>
      <c r="B24" s="408"/>
      <c r="C24" s="408"/>
      <c r="D24" s="408"/>
      <c r="K24" s="724"/>
      <c r="L24" s="724"/>
      <c r="M24" s="724"/>
      <c r="N24" s="724"/>
      <c r="O24" s="724"/>
      <c r="P24" s="396"/>
      <c r="CI24" s="396"/>
      <c r="CJ24" s="396"/>
    </row>
    <row r="25" spans="1:111" s="724" customFormat="1">
      <c r="P25" s="396"/>
      <c r="CI25" s="396"/>
      <c r="CJ25" s="396"/>
    </row>
    <row r="26" spans="1:111" s="724" customFormat="1">
      <c r="P26" s="396"/>
      <c r="CI26" s="396"/>
      <c r="CJ26" s="396"/>
    </row>
    <row r="27" spans="1:111" s="724" customFormat="1">
      <c r="P27" s="396"/>
      <c r="CI27" s="396"/>
      <c r="CJ27" s="396"/>
    </row>
    <row r="28" spans="1:111" s="724" customFormat="1">
      <c r="P28" s="396"/>
      <c r="CI28" s="396"/>
      <c r="CJ28" s="396"/>
    </row>
    <row r="29" spans="1:111" s="724" customFormat="1">
      <c r="P29" s="396"/>
      <c r="CI29" s="396"/>
      <c r="CJ29" s="396"/>
    </row>
    <row r="30" spans="1:111" s="724" customFormat="1">
      <c r="P30" s="396"/>
      <c r="CI30" s="396"/>
      <c r="CJ30" s="396"/>
    </row>
    <row r="31" spans="1:111" s="724" customFormat="1">
      <c r="P31" s="396"/>
      <c r="CI31" s="396"/>
      <c r="CJ31" s="396"/>
    </row>
  </sheetData>
  <sheetProtection password="CFC3" sheet="1" objects="1" scenarios="1" formatCells="0" formatColumns="0" formatRows="0" insertColumns="0" insertRows="0" insertHyperlinks="0" deleteColumns="0" deleteRows="0" sort="0"/>
  <mergeCells count="79">
    <mergeCell ref="B19:D19"/>
    <mergeCell ref="K13:M13"/>
    <mergeCell ref="K14:M14"/>
    <mergeCell ref="K15:M15"/>
    <mergeCell ref="K16:M16"/>
    <mergeCell ref="K17:M17"/>
    <mergeCell ref="K18:M18"/>
    <mergeCell ref="A16:D16"/>
    <mergeCell ref="A17:D17"/>
    <mergeCell ref="C14:D14"/>
    <mergeCell ref="K7:K8"/>
    <mergeCell ref="L7:L8"/>
    <mergeCell ref="E5:F5"/>
    <mergeCell ref="G5:J5"/>
    <mergeCell ref="F7:H7"/>
    <mergeCell ref="A10:F10"/>
    <mergeCell ref="G10:H10"/>
    <mergeCell ref="A11:F11"/>
    <mergeCell ref="G11:H11"/>
    <mergeCell ref="D1:G1"/>
    <mergeCell ref="U3:V3"/>
    <mergeCell ref="X3:Y3"/>
    <mergeCell ref="I1:M1"/>
    <mergeCell ref="B3:C3"/>
    <mergeCell ref="D3:E3"/>
    <mergeCell ref="G3:H3"/>
    <mergeCell ref="J3:M3"/>
    <mergeCell ref="CL7:CQ8"/>
    <mergeCell ref="BS7:CG8"/>
    <mergeCell ref="V7:X7"/>
    <mergeCell ref="AA3:AC3"/>
    <mergeCell ref="BA1:BD1"/>
    <mergeCell ref="BF1:BK1"/>
    <mergeCell ref="BA3:BB3"/>
    <mergeCell ref="BC3:BD3"/>
    <mergeCell ref="BF3:BG3"/>
    <mergeCell ref="BI3:BK3"/>
    <mergeCell ref="BD5:BE5"/>
    <mergeCell ref="BF5:BI5"/>
    <mergeCell ref="BH7:BP8"/>
    <mergeCell ref="S1:V1"/>
    <mergeCell ref="X1:AC1"/>
    <mergeCell ref="S3:T3"/>
    <mergeCell ref="AZ17:AZ18"/>
    <mergeCell ref="BP10:BP11"/>
    <mergeCell ref="BX10:BX11"/>
    <mergeCell ref="BS10:BW10"/>
    <mergeCell ref="BK10:BO10"/>
    <mergeCell ref="BA10:BF10"/>
    <mergeCell ref="AZ13:AZ14"/>
    <mergeCell ref="AZ15:AZ16"/>
    <mergeCell ref="AJ10:AO10"/>
    <mergeCell ref="AR10:AW10"/>
    <mergeCell ref="V5:W5"/>
    <mergeCell ref="X5:AA5"/>
    <mergeCell ref="S10:X10"/>
    <mergeCell ref="AA10:AF10"/>
    <mergeCell ref="DD10:DG10"/>
    <mergeCell ref="BY10:BY11"/>
    <mergeCell ref="CA10:CD10"/>
    <mergeCell ref="CL10:CL11"/>
    <mergeCell ref="CM10:CM11"/>
    <mergeCell ref="CN10:CN11"/>
    <mergeCell ref="CZ10:DC10"/>
    <mergeCell ref="CQ10:CQ11"/>
    <mergeCell ref="CR10:CU10"/>
    <mergeCell ref="CV10:CY10"/>
    <mergeCell ref="R17:R18"/>
    <mergeCell ref="Z17:Z18"/>
    <mergeCell ref="AI17:AI18"/>
    <mergeCell ref="AQ17:AQ18"/>
    <mergeCell ref="R13:R14"/>
    <mergeCell ref="Z13:Z14"/>
    <mergeCell ref="AI13:AI14"/>
    <mergeCell ref="AQ13:AQ14"/>
    <mergeCell ref="R15:R16"/>
    <mergeCell ref="Z15:Z16"/>
    <mergeCell ref="AI15:AI16"/>
    <mergeCell ref="AQ15:AQ16"/>
  </mergeCells>
  <conditionalFormatting sqref="AJ13:AJ18">
    <cfRule type="duplicateValues" dxfId="702" priority="18"/>
  </conditionalFormatting>
  <conditionalFormatting sqref="CA13:CG18">
    <cfRule type="containsText" dxfId="701" priority="14" operator="containsText" text="D">
      <formula>NOT(ISERROR(SEARCH("D",CA13)))</formula>
    </cfRule>
    <cfRule type="containsText" dxfId="700" priority="15" operator="containsText" text="N">
      <formula>NOT(ISERROR(SEARCH("N",CA13)))</formula>
    </cfRule>
    <cfRule type="containsText" dxfId="699" priority="16" operator="containsText" text="V">
      <formula>NOT(ISERROR(SEARCH("V",CA13)))</formula>
    </cfRule>
    <cfRule type="containsText" dxfId="698" priority="17" operator="containsText" text="V">
      <formula>NOT(ISERROR(SEARCH("V",CA13)))</formula>
    </cfRule>
  </conditionalFormatting>
  <conditionalFormatting sqref="CG13:CG18">
    <cfRule type="cellIs" dxfId="697" priority="13" operator="equal">
      <formula>12</formula>
    </cfRule>
  </conditionalFormatting>
  <conditionalFormatting sqref="CL13:CL18">
    <cfRule type="duplicateValues" dxfId="696" priority="12"/>
  </conditionalFormatting>
  <conditionalFormatting sqref="CR13:CU18">
    <cfRule type="containsText" dxfId="695" priority="9" operator="containsText" text="N">
      <formula>NOT(ISERROR(SEARCH("N",CR13)))</formula>
    </cfRule>
    <cfRule type="containsText" dxfId="694" priority="10" operator="containsText" text="D">
      <formula>NOT(ISERROR(SEARCH("D",CR13)))</formula>
    </cfRule>
    <cfRule type="containsText" dxfId="693" priority="11" operator="containsText" text="V">
      <formula>NOT(ISERROR(SEARCH("V",CR13)))</formula>
    </cfRule>
  </conditionalFormatting>
  <conditionalFormatting sqref="AA13:AA18">
    <cfRule type="duplicateValues" dxfId="692" priority="8"/>
  </conditionalFormatting>
  <conditionalFormatting sqref="T13:T18">
    <cfRule type="duplicateValues" dxfId="691" priority="7"/>
  </conditionalFormatting>
  <conditionalFormatting sqref="AB13:AB18">
    <cfRule type="duplicateValues" dxfId="690" priority="6"/>
  </conditionalFormatting>
  <conditionalFormatting sqref="AC17">
    <cfRule type="expression" dxfId="689" priority="2">
      <formula>(OR($G$10+$G$9=5))</formula>
    </cfRule>
  </conditionalFormatting>
  <conditionalFormatting sqref="AC18">
    <cfRule type="containsText" dxfId="688" priority="1" operator="containsText" text="Ex.">
      <formula>NOT(ISERROR(SEARCH("Ex.",AC18)))</formula>
    </cfRule>
  </conditionalFormatting>
  <dataValidations count="5">
    <dataValidation type="list" allowBlank="1" showInputMessage="1" showErrorMessage="1" sqref="X5:AA5 BF5:BI5">
      <formula1>INDIRECT($V$5)</formula1>
    </dataValidation>
    <dataValidation type="list" allowBlank="1" showInputMessage="1" showErrorMessage="1" sqref="V5 E5 BD5">
      <formula1>Catégorie</formula1>
    </dataValidation>
    <dataValidation type="list" allowBlank="1" showInputMessage="1" showErrorMessage="1" sqref="AA3:AA4 BI3:BI4">
      <formula1>INDIRECT($X$3)</formula1>
    </dataValidation>
    <dataValidation type="list" allowBlank="1" showInputMessage="1" showErrorMessage="1" sqref="J3:N3">
      <formula1>INDIRECT($G$3)</formula1>
    </dataValidation>
    <dataValidation type="list" allowBlank="1" showInputMessage="1" showErrorMessage="1" sqref="G5:J5">
      <formula1>INDIRECT($E$5)</formula1>
    </dataValidation>
  </dataValidations>
  <pageMargins left="0.12" right="0.2" top="0.35433070866141736" bottom="0.51181102362204722" header="0.19685039370078741" footer="0.31496062992125984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"/>
  <dimension ref="A1:CU60"/>
  <sheetViews>
    <sheetView tabSelected="1" topLeftCell="A4" zoomScale="70" zoomScaleNormal="70" zoomScaleSheetLayoutView="80" workbookViewId="0">
      <selection activeCell="P3" sqref="P3"/>
    </sheetView>
  </sheetViews>
  <sheetFormatPr baseColWidth="10" defaultRowHeight="15"/>
  <cols>
    <col min="1" max="1" width="7" style="58" customWidth="1"/>
    <col min="2" max="2" width="11.5703125" style="58" customWidth="1"/>
    <col min="3" max="3" width="9.42578125" style="58" customWidth="1"/>
    <col min="4" max="4" width="8.5703125" style="58" customWidth="1"/>
    <col min="5" max="5" width="7.28515625" style="58" customWidth="1"/>
    <col min="6" max="6" width="6.7109375" style="58" customWidth="1"/>
    <col min="7" max="7" width="8.28515625" style="58" customWidth="1"/>
    <col min="8" max="8" width="6" style="58" customWidth="1"/>
    <col min="9" max="9" width="10.42578125" style="58" customWidth="1"/>
    <col min="10" max="10" width="9.140625" style="58" customWidth="1"/>
    <col min="11" max="11" width="6.5703125" style="58" customWidth="1"/>
    <col min="12" max="12" width="17.5703125" style="58" customWidth="1"/>
    <col min="13" max="13" width="11.7109375" style="58" customWidth="1"/>
    <col min="14" max="14" width="12.5703125" style="58" customWidth="1"/>
    <col min="15" max="15" width="9.85546875" style="58" customWidth="1"/>
    <col min="16" max="16" width="8.5703125" style="58" customWidth="1"/>
    <col min="17" max="17" width="8.28515625" style="58" customWidth="1"/>
    <col min="18" max="18" width="19.42578125" style="58" customWidth="1"/>
    <col min="19" max="20" width="9.5703125" style="58" customWidth="1"/>
    <col min="21" max="21" width="10.42578125" style="58" customWidth="1"/>
    <col min="22" max="22" width="5.140625" style="58" customWidth="1"/>
    <col min="23" max="23" width="7.140625" style="58" customWidth="1"/>
    <col min="24" max="24" width="8" style="58" customWidth="1"/>
    <col min="25" max="25" width="8.85546875" style="58" customWidth="1"/>
    <col min="26" max="26" width="9.85546875" style="58" customWidth="1"/>
    <col min="27" max="27" width="9.42578125" style="58" customWidth="1"/>
    <col min="28" max="28" width="10.28515625" style="58" customWidth="1"/>
    <col min="29" max="29" width="10.140625" style="58" customWidth="1"/>
    <col min="30" max="30" width="8.7109375" style="58" customWidth="1"/>
    <col min="31" max="31" width="5" customWidth="1"/>
    <col min="32" max="32" width="9" style="58" customWidth="1"/>
    <col min="33" max="33" width="10.5703125" style="58" hidden="1" customWidth="1"/>
    <col min="34" max="34" width="9.7109375" style="58" customWidth="1"/>
    <col min="35" max="36" width="9.5703125" style="58" customWidth="1"/>
    <col min="37" max="37" width="19.7109375" style="58" customWidth="1"/>
    <col min="38" max="38" width="8.85546875" style="58" customWidth="1"/>
    <col min="39" max="39" width="8.42578125" style="58" customWidth="1"/>
    <col min="40" max="40" width="8.85546875" style="58" customWidth="1"/>
    <col min="41" max="41" width="7.7109375" style="58" customWidth="1"/>
    <col min="42" max="42" width="8" style="58" customWidth="1"/>
    <col min="43" max="43" width="8.7109375" style="58" customWidth="1"/>
    <col min="44" max="44" width="9.5703125" style="58" customWidth="1"/>
    <col min="45" max="45" width="22.42578125" style="58" customWidth="1"/>
    <col min="46" max="46" width="9.42578125" style="58" customWidth="1"/>
    <col min="47" max="47" width="9.140625" customWidth="1"/>
    <col min="48" max="48" width="8.28515625" style="58" customWidth="1"/>
    <col min="49" max="49" width="0" style="58" hidden="1" customWidth="1"/>
    <col min="50" max="50" width="6.5703125" style="58" customWidth="1"/>
    <col min="51" max="51" width="8.85546875" style="58" customWidth="1"/>
    <col min="52" max="52" width="5.85546875" style="58" customWidth="1"/>
    <col min="53" max="53" width="10.140625" style="58" customWidth="1"/>
    <col min="54" max="54" width="8" style="58" customWidth="1"/>
    <col min="55" max="55" width="9" style="58" customWidth="1"/>
    <col min="56" max="56" width="8.5703125" style="58" customWidth="1"/>
    <col min="57" max="57" width="7.42578125" style="58" customWidth="1"/>
    <col min="58" max="58" width="9.7109375" style="684" customWidth="1"/>
    <col min="59" max="59" width="9" style="58" customWidth="1"/>
    <col min="60" max="61" width="9.140625" style="58" customWidth="1"/>
    <col min="62" max="62" width="8.85546875" style="58" customWidth="1"/>
    <col min="63" max="63" width="10.5703125" style="58" customWidth="1"/>
    <col min="64" max="64" width="8.140625" style="684" customWidth="1"/>
    <col min="65" max="65" width="9.140625" style="397" customWidth="1"/>
    <col min="66" max="66" width="9.7109375" style="58" customWidth="1"/>
    <col min="67" max="67" width="7.7109375" style="58" customWidth="1"/>
    <col min="68" max="68" width="9.5703125" style="58" customWidth="1"/>
    <col min="69" max="69" width="9.28515625" style="58" customWidth="1"/>
    <col min="70" max="70" width="8.140625" style="58" customWidth="1"/>
    <col min="71" max="71" width="7.42578125" style="58" customWidth="1"/>
    <col min="72" max="72" width="8.85546875" style="58" customWidth="1"/>
    <col min="73" max="75" width="11.42578125" style="58"/>
    <col min="76" max="76" width="9.140625" style="58" customWidth="1"/>
    <col min="77" max="77" width="11.85546875" style="58" customWidth="1"/>
    <col min="78" max="78" width="11.42578125" style="58"/>
    <col min="79" max="79" width="8.85546875" style="58" customWidth="1"/>
    <col min="80" max="83" width="11.42578125" style="58"/>
    <col min="84" max="84" width="10.42578125" style="58" customWidth="1"/>
    <col min="85" max="86" width="11.42578125" style="58"/>
    <col min="87" max="87" width="17.28515625" style="58" hidden="1" customWidth="1"/>
    <col min="88" max="88" width="18.42578125" style="58" hidden="1" customWidth="1"/>
    <col min="89" max="89" width="5.85546875" style="58" customWidth="1"/>
    <col min="90" max="90" width="11.42578125" style="58"/>
    <col min="91" max="91" width="15.28515625" style="58" customWidth="1"/>
    <col min="92" max="92" width="21.42578125" style="58" customWidth="1"/>
    <col min="93" max="93" width="4.28515625" style="58" hidden="1" customWidth="1"/>
    <col min="94" max="94" width="13.28515625" style="58" bestFit="1" customWidth="1"/>
    <col min="95" max="95" width="11.42578125" style="58"/>
    <col min="96" max="96" width="9.28515625" style="58" customWidth="1"/>
    <col min="97" max="16384" width="11.42578125" style="58"/>
  </cols>
  <sheetData>
    <row r="1" spans="1:72" ht="37.5" customHeight="1" thickBot="1">
      <c r="A1" s="1074" t="s">
        <v>72</v>
      </c>
      <c r="B1" s="1075"/>
      <c r="C1" s="1075"/>
      <c r="D1" s="1075"/>
      <c r="E1" s="1075"/>
      <c r="F1" s="1076"/>
      <c r="G1" s="81"/>
      <c r="H1" s="1085" t="s">
        <v>95</v>
      </c>
      <c r="I1" s="1086"/>
      <c r="J1" s="1086"/>
      <c r="K1" s="1086"/>
      <c r="L1" s="1087"/>
      <c r="M1" s="140"/>
      <c r="N1" s="42"/>
      <c r="O1" s="42"/>
      <c r="P1" s="42"/>
      <c r="Q1" s="42"/>
      <c r="R1" s="42"/>
      <c r="S1" s="42"/>
      <c r="T1" s="42"/>
      <c r="U1" s="42"/>
      <c r="V1" s="42"/>
      <c r="W1" s="42"/>
      <c r="X1"/>
      <c r="Y1"/>
      <c r="Z1"/>
      <c r="AA1"/>
      <c r="AB1"/>
      <c r="AC1"/>
      <c r="AD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U1" s="58"/>
      <c r="BL1" s="58"/>
      <c r="BM1" s="58"/>
    </row>
    <row r="2" spans="1:72" ht="2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140"/>
      <c r="N2" s="42"/>
      <c r="O2" s="42"/>
      <c r="P2" s="42"/>
      <c r="Q2" s="42"/>
      <c r="R2" s="42"/>
      <c r="S2" s="42"/>
      <c r="T2" s="42"/>
      <c r="U2" s="42"/>
      <c r="V2" s="42"/>
      <c r="W2" s="42"/>
      <c r="X2"/>
      <c r="Y2"/>
      <c r="Z2"/>
      <c r="AA2"/>
      <c r="AB2"/>
      <c r="AC2"/>
      <c r="AD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U2" s="58"/>
      <c r="BL2" s="397"/>
      <c r="BM2" s="58"/>
      <c r="BO2" s="728">
        <f>+H10</f>
        <v>73</v>
      </c>
    </row>
    <row r="3" spans="1:72" ht="28.5" thickBot="1">
      <c r="A3" s="702" t="s">
        <v>80</v>
      </c>
      <c r="B3" s="947">
        <f ca="1">TODAY()</f>
        <v>44239</v>
      </c>
      <c r="C3" s="948"/>
      <c r="D3" s="945">
        <f ca="1">YEAR(NOW())</f>
        <v>2021</v>
      </c>
      <c r="E3" s="946"/>
      <c r="F3" s="81"/>
      <c r="G3" s="941" t="s">
        <v>145</v>
      </c>
      <c r="H3" s="941"/>
      <c r="I3" s="925" t="s">
        <v>143</v>
      </c>
      <c r="J3" s="927"/>
      <c r="K3"/>
      <c r="L3" s="42"/>
      <c r="M3" s="140"/>
      <c r="N3" s="42"/>
      <c r="O3" s="42"/>
      <c r="P3" s="42"/>
      <c r="Q3" s="42"/>
      <c r="R3" s="42"/>
      <c r="S3" s="42"/>
      <c r="T3" s="42"/>
      <c r="U3" s="42"/>
      <c r="V3" s="42"/>
      <c r="W3" s="42"/>
      <c r="X3"/>
      <c r="Y3"/>
      <c r="Z3"/>
      <c r="AA3"/>
      <c r="AB3"/>
      <c r="AC3"/>
      <c r="AD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U3" s="58"/>
      <c r="BD3" s="684"/>
      <c r="BF3" s="58"/>
      <c r="BJ3" s="684"/>
      <c r="BK3" s="397"/>
      <c r="BL3" s="397"/>
      <c r="BM3" s="58"/>
    </row>
    <row r="4" spans="1:72" ht="21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140"/>
      <c r="N4" s="42"/>
      <c r="O4" s="42"/>
      <c r="P4" s="42"/>
      <c r="Q4" s="42"/>
      <c r="R4" s="42"/>
      <c r="S4" s="42"/>
      <c r="T4" s="42"/>
      <c r="U4" s="42"/>
      <c r="V4" s="42"/>
      <c r="W4" s="42"/>
      <c r="X4"/>
      <c r="Y4"/>
      <c r="Z4"/>
      <c r="AA4"/>
      <c r="AB4"/>
      <c r="AC4"/>
      <c r="AD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U4" s="58"/>
      <c r="AZ4" s="1024" t="s">
        <v>137</v>
      </c>
      <c r="BA4" s="1025"/>
      <c r="BB4" s="1025"/>
      <c r="BC4" s="1025"/>
      <c r="BD4" s="1026"/>
      <c r="BE4" s="490"/>
      <c r="BF4" s="1024" t="s">
        <v>102</v>
      </c>
      <c r="BG4" s="1025"/>
      <c r="BH4" s="1025"/>
      <c r="BI4" s="1025"/>
      <c r="BJ4" s="1026"/>
      <c r="BK4" s="684"/>
      <c r="BL4" s="397"/>
      <c r="BM4" s="1023" t="s">
        <v>42</v>
      </c>
      <c r="BN4" s="1023"/>
      <c r="BO4" s="1023"/>
      <c r="BP4" s="1023"/>
      <c r="BQ4" s="1023"/>
      <c r="BR4" s="1023"/>
      <c r="BS4" s="1023"/>
    </row>
    <row r="5" spans="1:72" ht="27" thickBot="1">
      <c r="A5" s="682"/>
      <c r="B5" s="148"/>
      <c r="C5" s="1235" t="s">
        <v>124</v>
      </c>
      <c r="D5" s="1235"/>
      <c r="E5" s="1235"/>
      <c r="F5" s="750"/>
      <c r="G5" s="729" t="s">
        <v>130</v>
      </c>
      <c r="H5"/>
      <c r="I5"/>
      <c r="J5"/>
      <c r="K5" s="151"/>
      <c r="L5" s="42"/>
      <c r="M5" s="140"/>
      <c r="N5" s="42"/>
      <c r="O5" s="42"/>
      <c r="P5" s="42"/>
      <c r="Q5" s="42"/>
      <c r="R5" s="42"/>
      <c r="S5" s="42"/>
      <c r="T5" s="42"/>
      <c r="U5" s="42"/>
      <c r="V5" s="42"/>
      <c r="W5" s="42"/>
      <c r="X5"/>
      <c r="Y5"/>
      <c r="Z5"/>
      <c r="AA5"/>
      <c r="AB5"/>
      <c r="AC5"/>
      <c r="AD5"/>
      <c r="AF5"/>
      <c r="AG5"/>
      <c r="AH5"/>
      <c r="AI5"/>
      <c r="AJ5"/>
      <c r="AK5"/>
      <c r="AL5"/>
      <c r="AR5"/>
      <c r="AS5"/>
      <c r="AU5" s="58"/>
      <c r="AZ5" s="343"/>
      <c r="BA5" s="343"/>
      <c r="BB5" s="343"/>
      <c r="BC5" s="344"/>
      <c r="BD5" s="343"/>
      <c r="BE5" s="490"/>
      <c r="BF5" s="58"/>
      <c r="BH5" s="269" t="s">
        <v>138</v>
      </c>
      <c r="BI5" s="270"/>
      <c r="BK5" s="684"/>
      <c r="BL5" s="397"/>
      <c r="BM5" s="58"/>
      <c r="BQ5" s="512" t="str">
        <f>+E11</f>
        <v>3</v>
      </c>
    </row>
    <row r="6" spans="1:72" ht="16.5" thickBo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140"/>
      <c r="N6" s="42"/>
      <c r="O6" s="42"/>
      <c r="P6" s="42"/>
      <c r="Q6" s="42"/>
      <c r="R6" s="42"/>
      <c r="S6" s="42"/>
      <c r="T6" s="42"/>
      <c r="U6" s="42"/>
      <c r="V6" s="42"/>
      <c r="W6" s="42"/>
      <c r="X6"/>
      <c r="Y6"/>
      <c r="Z6"/>
      <c r="AA6"/>
      <c r="AB6"/>
      <c r="AC6"/>
      <c r="AD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U6" s="58"/>
      <c r="AZ6" s="343" t="s">
        <v>103</v>
      </c>
      <c r="BA6" s="343"/>
      <c r="BB6" s="346" t="s">
        <v>99</v>
      </c>
      <c r="BC6" s="346"/>
      <c r="BD6" s="346" t="s">
        <v>100</v>
      </c>
      <c r="BE6" s="490"/>
      <c r="BF6" s="58"/>
      <c r="BK6" s="684"/>
      <c r="BL6" s="724"/>
      <c r="BM6" s="58"/>
    </row>
    <row r="7" spans="1:72" ht="24.95" customHeight="1" thickBot="1">
      <c r="A7" s="42"/>
      <c r="B7" s="42"/>
      <c r="C7" s="511"/>
      <c r="D7" s="148"/>
      <c r="E7" s="148"/>
      <c r="F7" s="148"/>
      <c r="G7" s="148"/>
      <c r="H7" s="905" t="s">
        <v>217</v>
      </c>
      <c r="I7" s="906"/>
      <c r="J7" s="709"/>
      <c r="K7" s="42"/>
      <c r="L7" s="42"/>
      <c r="M7" s="140"/>
      <c r="N7" s="42"/>
      <c r="O7" s="42"/>
      <c r="P7" s="42"/>
      <c r="Q7" s="42"/>
      <c r="R7" s="42"/>
      <c r="S7" s="42"/>
      <c r="T7" s="143"/>
      <c r="AB7"/>
      <c r="AE7" s="58"/>
      <c r="AJ7" s="270"/>
      <c r="AR7"/>
      <c r="AU7" s="58"/>
      <c r="AZ7" s="989">
        <v>1</v>
      </c>
      <c r="BA7" s="996" t="str">
        <f>IF(H9+H10=61,AU11,IF(H9+H10=62,AU11,IF(H9+H10=63,AU11,IF(H9+H10=64,AU11,IF(OR(AND(H10&gt;64,H10&lt;71))," ",IF(OR(AND(H10&gt;70,H10&lt;77)),AU11))))))</f>
        <v>B</v>
      </c>
      <c r="BB7" s="997"/>
      <c r="BC7" s="998"/>
      <c r="BD7" s="347">
        <v>1</v>
      </c>
      <c r="BE7" s="490" t="str">
        <f>IF(BD7=BD8,"résultat",IF(BD7&gt;BD8,BA7,BA8))</f>
        <v>B</v>
      </c>
      <c r="BF7" s="58"/>
      <c r="BI7" s="270"/>
      <c r="BK7" s="684"/>
      <c r="BL7" s="724"/>
      <c r="BM7" s="58"/>
    </row>
    <row r="8" spans="1:72" ht="24.95" customHeight="1" thickBot="1">
      <c r="A8" s="42"/>
      <c r="B8" s="148"/>
      <c r="C8" s="148"/>
      <c r="D8" s="148"/>
      <c r="E8" s="42"/>
      <c r="F8" s="42"/>
      <c r="G8" s="148"/>
      <c r="H8" s="907" t="s">
        <v>205</v>
      </c>
      <c r="I8" s="906"/>
      <c r="J8" s="139"/>
      <c r="K8" s="42"/>
      <c r="L8" s="42"/>
      <c r="M8" s="140"/>
      <c r="N8" s="42"/>
      <c r="O8" s="42"/>
      <c r="P8" s="42"/>
      <c r="Q8" s="42"/>
      <c r="R8" s="42"/>
      <c r="S8" s="42"/>
      <c r="T8" s="143"/>
      <c r="V8" s="1028" t="s">
        <v>47</v>
      </c>
      <c r="W8" s="1029"/>
      <c r="X8" s="1029"/>
      <c r="Y8" s="1029"/>
      <c r="Z8" s="1029"/>
      <c r="AA8" s="1030"/>
      <c r="AB8"/>
      <c r="AC8"/>
      <c r="AE8" s="1046" t="s">
        <v>48</v>
      </c>
      <c r="AF8" s="1047"/>
      <c r="AG8" s="1047"/>
      <c r="AH8" s="1047"/>
      <c r="AI8" s="1047"/>
      <c r="AJ8" s="1048"/>
      <c r="AK8" s="329"/>
      <c r="AM8" s="1043" t="s">
        <v>184</v>
      </c>
      <c r="AN8" s="1044"/>
      <c r="AO8" s="1044"/>
      <c r="AP8" s="1044"/>
      <c r="AQ8" s="1044"/>
      <c r="AS8"/>
      <c r="AT8" s="1027" t="s">
        <v>56</v>
      </c>
      <c r="AU8" s="1027"/>
      <c r="AV8" s="1027"/>
      <c r="AW8" s="1027"/>
      <c r="AX8" s="1027"/>
      <c r="AZ8" s="990"/>
      <c r="BA8" s="999" t="str">
        <f>IF(H9+H10=61,AU17,IF(JJ9+H10=62,AU17,IF(JJ9+H10=63,AU17,IF(JJ9+H10=64,AU17,IF(OR(AND(H10&gt;64,H10&lt;71))," ",IF(OR(AND(H10&gt;70,H10&lt;77)),AU17))))))</f>
        <v>G</v>
      </c>
      <c r="BB8" s="1000"/>
      <c r="BC8" s="1001"/>
      <c r="BD8" s="348">
        <v>0</v>
      </c>
      <c r="BE8" s="490" t="str">
        <f>IF(BD7=BD8,"résultat",IF(BD7&lt;BD8,BA7,BA8))</f>
        <v>G</v>
      </c>
      <c r="BF8" s="343" t="s">
        <v>103</v>
      </c>
      <c r="BG8" s="343"/>
      <c r="BH8" s="346" t="s">
        <v>99</v>
      </c>
      <c r="BI8" s="346"/>
      <c r="BJ8" s="346" t="s">
        <v>100</v>
      </c>
      <c r="BK8" s="684"/>
      <c r="BL8" s="725"/>
      <c r="BM8" s="58"/>
    </row>
    <row r="9" spans="1:72" ht="24.95" customHeight="1" thickBot="1">
      <c r="A9" s="42"/>
      <c r="B9" s="42"/>
      <c r="C9" s="42"/>
      <c r="D9" s="42"/>
      <c r="E9" s="42"/>
      <c r="F9" s="42"/>
      <c r="G9" s="42"/>
      <c r="H9" s="42"/>
      <c r="I9" s="42"/>
      <c r="J9" s="491"/>
      <c r="K9" s="491"/>
      <c r="L9" s="21"/>
      <c r="M9" s="22"/>
      <c r="N9" s="22"/>
      <c r="O9" s="22"/>
      <c r="P9" s="22"/>
      <c r="Q9" s="22"/>
      <c r="R9" s="735" t="s">
        <v>52</v>
      </c>
      <c r="S9" s="22"/>
      <c r="T9" s="143"/>
      <c r="V9" s="497" t="s">
        <v>98</v>
      </c>
      <c r="W9" s="497" t="s">
        <v>64</v>
      </c>
      <c r="X9" s="497"/>
      <c r="Y9" s="1236" t="s">
        <v>99</v>
      </c>
      <c r="Z9" s="1237"/>
      <c r="AA9" s="499" t="s">
        <v>100</v>
      </c>
      <c r="AB9"/>
      <c r="AC9" s="279"/>
      <c r="AD9" s="277" t="s">
        <v>98</v>
      </c>
      <c r="AE9" s="277" t="s">
        <v>64</v>
      </c>
      <c r="AF9" s="277"/>
      <c r="AG9" s="277"/>
      <c r="AH9" s="1198" t="s">
        <v>99</v>
      </c>
      <c r="AI9" s="1198"/>
      <c r="AJ9" s="278" t="s">
        <v>100</v>
      </c>
      <c r="AK9" s="278"/>
      <c r="AL9" s="279"/>
      <c r="AM9" s="279"/>
      <c r="AN9" s="279"/>
      <c r="AO9" s="279"/>
      <c r="AP9" s="279"/>
      <c r="AQ9" s="279"/>
      <c r="AR9" s="279"/>
      <c r="AS9"/>
      <c r="AT9"/>
      <c r="AV9"/>
      <c r="AW9"/>
      <c r="AX9"/>
      <c r="AZ9" s="349"/>
      <c r="BA9" s="349"/>
      <c r="BB9" s="349"/>
      <c r="BC9" s="350"/>
      <c r="BD9" s="349"/>
      <c r="BE9" s="345"/>
      <c r="BF9" s="819">
        <v>2</v>
      </c>
      <c r="BG9" s="1192" t="str">
        <f>IF(OR(AND(H10&gt;60,H10&lt;66)),BE7,IF(OR(AND(H10&gt;64,H10&lt;71))," ",IF(OR(AND(H10&gt;70,H10&lt;77)),BE7)))</f>
        <v>B</v>
      </c>
      <c r="BH9" s="1193"/>
      <c r="BI9" s="1194"/>
      <c r="BJ9" s="347">
        <v>1</v>
      </c>
      <c r="BK9" s="490" t="str">
        <f>IF(BJ9=BJ10,"résultat",IF(BJ9&gt;BJ10,BG9,BG10))</f>
        <v>B</v>
      </c>
      <c r="BL9" s="725"/>
      <c r="BM9"/>
      <c r="BN9"/>
      <c r="BO9"/>
      <c r="BP9"/>
      <c r="BQ9"/>
      <c r="BR9"/>
      <c r="BS9"/>
      <c r="BT9"/>
    </row>
    <row r="10" spans="1:72" ht="24.95" customHeight="1" thickTop="1" thickBot="1">
      <c r="A10" s="486" t="s">
        <v>22</v>
      </c>
      <c r="B10" s="487"/>
      <c r="C10" s="487"/>
      <c r="D10" s="487"/>
      <c r="E10" s="1233" t="str">
        <f>LEFT(H10,1)</f>
        <v>7</v>
      </c>
      <c r="F10" s="935"/>
      <c r="G10" s="42"/>
      <c r="H10" s="965">
        <v>73</v>
      </c>
      <c r="I10" s="1230"/>
      <c r="J10" s="42"/>
      <c r="K10" s="42"/>
      <c r="L10" s="24"/>
      <c r="M10" s="82" t="s">
        <v>50</v>
      </c>
      <c r="N10" s="1176" t="s">
        <v>53</v>
      </c>
      <c r="O10" s="1253"/>
      <c r="P10" s="1254" t="s">
        <v>54</v>
      </c>
      <c r="Q10" s="1255"/>
      <c r="R10" s="789" t="s">
        <v>74</v>
      </c>
      <c r="S10" s="28"/>
      <c r="T10" s="672">
        <v>1</v>
      </c>
      <c r="U10" s="959" t="str">
        <f>CONCATENATE(E16,E17)</f>
        <v>42</v>
      </c>
      <c r="V10" s="695">
        <v>1</v>
      </c>
      <c r="W10" s="692">
        <v>1</v>
      </c>
      <c r="X10" s="280" t="s">
        <v>14</v>
      </c>
      <c r="Y10" s="1238" t="str">
        <f>IF(ISNA(MATCH($T10,$R$11:$R$17,0)),"",INDEX($N$11:$N$17,MATCH($T10,$R$11:$R$17,0)))</f>
        <v>A</v>
      </c>
      <c r="Z10" s="1239"/>
      <c r="AA10" s="281">
        <v>1</v>
      </c>
      <c r="AB10"/>
      <c r="AC10" s="689"/>
      <c r="AD10" s="979">
        <v>1</v>
      </c>
      <c r="AE10" s="758">
        <v>2</v>
      </c>
      <c r="AF10" s="1199" t="str">
        <f>IF(H10+J9=61,IF(AA10=AA11,"résultat",IF(AA10&gt;AA11,Y10,Y11)),IF(J9+H10=62,IF(AA10=AA11,"résultat",IF(AA10&gt;AA11,Y10,Y11)),IF(J9+H10=63,IF(AA10=AA11,"résultat",IF(AA10&gt;AA11,Y10,Y11)),IF(J9+H10=64,IF(AA10=AA11,"résultat",IF(AA10&gt;AA11,Y10,Y11)),IF(J9+H10=65," ",IF(H10+J9=66," ",IF(J9+H10=67," ",IF(J9+H10=68," ",IF(J9+H10=69," ",IF(J9+H10=70," ",IF(J9+H10=71,IF(AA10=AA11,"résultat",IF(AA10&gt;AA11,Y10,Y11)),IF(J9+H10=72,IF(AA10=AA11,"résultat",IF(AA10&gt;AA11,Y10,Y11)),IF(J9+H10=73,IF(AA10=AA11,"résultat",IF(AA10&gt;AA11,Y10,Y11)),IF(J9+H10=74,IF(AA10=AA11,"résultat",IF(AA10&gt;AA11,Y10,Y11)),IF(J9+H10=75,IF(AA10=AA11,"résultat",IF(AA10&gt;AA11,Y10,Y11)),IF(J9+H10=76,IF(AA10=AA11,"résultat",IF(AA10&gt;AA11,Y10,Y11))))))))))))))))))</f>
        <v>B</v>
      </c>
      <c r="AG10" s="1200"/>
      <c r="AH10" s="1200"/>
      <c r="AI10" s="1201"/>
      <c r="AJ10" s="281">
        <v>1</v>
      </c>
      <c r="AK10" s="325"/>
      <c r="AM10" s="419"/>
      <c r="AN10" s="419"/>
      <c r="AO10" s="419"/>
      <c r="AP10" s="323"/>
      <c r="AQ10" s="419"/>
      <c r="AR10" s="419"/>
      <c r="AS10"/>
      <c r="AT10" s="520"/>
      <c r="AU10" s="520"/>
      <c r="AV10" s="520"/>
      <c r="AW10" s="520"/>
      <c r="AX10" s="520"/>
      <c r="AZ10" s="349"/>
      <c r="BA10" s="349"/>
      <c r="BB10" s="349"/>
      <c r="BC10" s="350"/>
      <c r="BD10" s="349"/>
      <c r="BE10" s="345"/>
      <c r="BF10" s="820"/>
      <c r="BG10" s="1017" t="str">
        <f>IF(OR(AND(H10&gt;60,H10&lt;66)),BE12,IF(OR(AND(H10&gt;64,H10&lt;71))," ",IF(OR(AND(H10&gt;70,H10&lt;77)),BE12)))</f>
        <v>C</v>
      </c>
      <c r="BH10" s="1018"/>
      <c r="BI10" s="1019"/>
      <c r="BJ10" s="348">
        <v>0</v>
      </c>
      <c r="BK10" s="490" t="str">
        <f>IF(BJ9=BJ10,"résultat",IF(BJ9&lt;BJ10,BG9,BG10))</f>
        <v>C</v>
      </c>
      <c r="BL10" s="397"/>
      <c r="BM10" s="58"/>
    </row>
    <row r="11" spans="1:72" ht="24.95" customHeight="1" thickBot="1">
      <c r="A11" s="486" t="s">
        <v>55</v>
      </c>
      <c r="B11" s="487"/>
      <c r="C11" s="487"/>
      <c r="D11" s="487"/>
      <c r="E11" s="1234" t="str">
        <f>RIGHT(H10,1)</f>
        <v>3</v>
      </c>
      <c r="F11" s="937"/>
      <c r="G11" s="42"/>
      <c r="H11" s="1230"/>
      <c r="I11" s="1230"/>
      <c r="J11" s="42"/>
      <c r="K11" s="42"/>
      <c r="L11" s="34">
        <v>1</v>
      </c>
      <c r="M11" s="29"/>
      <c r="N11" s="1179" t="s">
        <v>14</v>
      </c>
      <c r="O11" s="1256"/>
      <c r="P11" s="1179"/>
      <c r="Q11" s="1256"/>
      <c r="R11" s="790">
        <v>1</v>
      </c>
      <c r="S11" s="42"/>
      <c r="T11" s="673">
        <v>2</v>
      </c>
      <c r="U11" s="960"/>
      <c r="V11" s="696"/>
      <c r="W11" s="693"/>
      <c r="X11" s="285" t="s">
        <v>15</v>
      </c>
      <c r="Y11" s="1240" t="str">
        <f>IF(ISNA(MATCH($T11,$R$11:$R$17,0)),"",INDEX($N$11:$N$17,MATCH($T11,$R$11:$R$17,0)))</f>
        <v>B</v>
      </c>
      <c r="Z11" s="1241"/>
      <c r="AA11" s="287">
        <v>2</v>
      </c>
      <c r="AB11"/>
      <c r="AC11" s="690"/>
      <c r="AD11" s="980"/>
      <c r="AE11" s="759"/>
      <c r="AF11" s="1202" t="str">
        <f>IF(H10+J9=61,IF(AA12&gt;AA13,Y12,Y13),IF(J9+H10=62,IF(AA12&gt;AA13,Y12,Y13),IF(J9+H10=63,IF(AA12&gt;AA13,Y12,Y13),IF(J9+H10=64,IF(AA12&gt;AA13,Y12,Y13),IF(J9+H10=65," ",IF(J9+H10=66," ",IF(J9+H10=67," ",IF(J9+H10=68," ",IF(J9+H10=69," ",IF(J9+H10=70," ",IF(J9+H10=71,IF(AA12&gt;AA13,Y12,Y13),IF(J9+H10=72,IF(AA12&gt;AA13,Y12,Y13),IF(J9+H10=73,IF(AA12&gt;AA13,Y12,Y13),IF(J9+H10=74,IF(AA12&gt;AA13,Y12,Y13),IF(J9+H10=75,IF(AA12&gt;AA13,Y12,Y13),IF(J9+H10=76,IF(AA12&gt;AA13,Y12,Y13)))))))))))))))))</f>
        <v>C</v>
      </c>
      <c r="AG11" s="1203"/>
      <c r="AH11" s="1203"/>
      <c r="AI11" s="1204"/>
      <c r="AJ11" s="287">
        <v>0</v>
      </c>
      <c r="AK11" s="356"/>
      <c r="AL11" s="762"/>
      <c r="AM11" s="992">
        <v>4</v>
      </c>
      <c r="AN11" s="1280" t="str">
        <f>IF(H9+H10=61,IF(AJ10=AJ11,"résultat",IF(AJ10&lt;AJ11,AF10,AF11)),IF(H9+H10=62,IF(AJ10=AJ11,"résultat",IF(AJ10&lt;AJ11,AF10,AF11)),IF(H9+H10=63,IF(AJ10=AJ11,"résultat",IF(AJ10&lt;AJ11,AF10,AF11)),IF(H9+H10=64,IF(AJ10=AJ11,"résultat",IF(AJ10&lt;AJ11,AF10,AF11)),IF(OR(AND(H10&gt;64,H10&lt;71))," ",IF(OR(AND(H10&gt;70,H10&lt;77)),IF(AJ10=AJ11,"résultat",IF(AJ10&lt;AJ11,AF10,AF11))))))))</f>
        <v>C</v>
      </c>
      <c r="AO11" s="1281"/>
      <c r="AP11" s="1282"/>
      <c r="AQ11" s="436">
        <v>2</v>
      </c>
      <c r="AR11" s="325"/>
      <c r="AS11"/>
      <c r="AT11" s="394">
        <v>1</v>
      </c>
      <c r="AU11" s="1286" t="str">
        <f>IF(H9+H10=61,IF(AJ10=AJ11,"résultat",IF(AJ10&gt;AJ11,AF10,AF11)),IF(H9+H10=62,IF(AJ10=AJ11,"résultat",IF(AJ10&gt;AJ11,AF10,AF11)),IF(H9+H10=63,IF(AJ10=AJ11,"résultat",IF(AJ10&gt;AJ11,AF10,AF11)),IF(H9+H10=64,IF(AJ10=AJ11,"résultat",IF(AJ10&gt;AJ11,AF10,AF11)),IF(H9+H10=65,IF(AJ10=AJ11,"résultat",IF(AJ10&gt;AJ11,AF10,AF11)),IF(OR(AND(H10&gt;61,H10&lt;71))," ",IF(OR(AND(H10&gt;70,H10&lt;77)),IF(AJ10=AJ11,"résultat",IF(AJ10&gt;AJ11,AF10,AF11)))))))))</f>
        <v>B</v>
      </c>
      <c r="AV11" s="1287"/>
      <c r="AW11" s="1287"/>
      <c r="AX11" s="1288"/>
      <c r="AZ11" s="349"/>
      <c r="BA11" s="349"/>
      <c r="BB11" s="349"/>
      <c r="BC11" s="350"/>
      <c r="BD11" s="349"/>
      <c r="BE11" s="345"/>
      <c r="BF11" s="58"/>
      <c r="BI11" s="270"/>
      <c r="BK11" s="345"/>
      <c r="BL11" s="726"/>
      <c r="BM11" s="141"/>
      <c r="BN11" s="141"/>
      <c r="BO11" s="141"/>
    </row>
    <row r="12" spans="1:72" ht="24.95" customHeight="1" thickBo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35">
        <v>2</v>
      </c>
      <c r="M12" s="31"/>
      <c r="N12" s="1182" t="s">
        <v>15</v>
      </c>
      <c r="O12" s="1244"/>
      <c r="P12" s="1182"/>
      <c r="Q12" s="1244"/>
      <c r="R12" s="791">
        <v>2</v>
      </c>
      <c r="S12" s="42"/>
      <c r="T12" s="673">
        <v>3</v>
      </c>
      <c r="U12" s="960"/>
      <c r="V12" s="696"/>
      <c r="W12" s="694">
        <v>3</v>
      </c>
      <c r="X12" s="289" t="s">
        <v>49</v>
      </c>
      <c r="Y12" s="1246" t="str">
        <f>IF(ISNA(MATCH($T12,$R$11:$R$17,0)),"",INDEX($N$11:$N$17,MATCH($T12,$R$11:$R$17,0)))</f>
        <v>C</v>
      </c>
      <c r="Z12" s="1247"/>
      <c r="AA12" s="290">
        <v>1</v>
      </c>
      <c r="AB12"/>
      <c r="AC12" s="690"/>
      <c r="AD12" s="980"/>
      <c r="AE12" s="760">
        <v>6</v>
      </c>
      <c r="AF12" s="1262" t="str">
        <f>IF(J9+H10=61,IF(AA10=AA11,"résultat",IF(AA10&lt;AA11,Y10,Y11)),IF(J9+H10=62,IF(AA10=AA11,"résultat",IF(AA10&lt;AA11,Y10,Y11)),IF(J9+H10=63,IF(AA10=AA11,"résultat",IF(AA10&lt;AA11,Y10,Y11)),IF(J9+H10=64,IF(AA10=AA11,"résultat",IF(AA10&lt;AA11,Y10,Y11)),IF(J9+H10=65," ",IF(J9+H10=66," ",IF(J9+H10=67," ",IF(J9+H10=68," ",IF(J9+H10=69," ",IF(J9+H10=70," ",IF(J9+H10=71,IF(AA10=AA11,"résultat",IF(AA10&lt;AA11,Y10,Y11)),IF(J9+H10=72,IF(AA10=AA11,"résultat",IF(AA10&lt;AA11,Y10,Y11)),IF(J9+H10=73,IF(AA10=AA11,"résultat",IF(AA10&lt;AA11,Y10,Y11)),IF(J9+H10=74,IF(AA10=AA11,"résultat",IF(AA10&lt;AA11,Y10,Y11)),IF(J9+H10=75,IF(AA10=AA11,"résultat",IF(AA10&lt;AA11,Y10,Y11)),IF(J9+H10=76,IF(AA10=AA11,"résultat",IF(AA10&lt;AA11,Y10,Y11))))))))))))))))))</f>
        <v>A</v>
      </c>
      <c r="AG12" s="1263"/>
      <c r="AH12" s="1263"/>
      <c r="AI12" s="1264"/>
      <c r="AJ12" s="290">
        <v>1</v>
      </c>
      <c r="AK12" s="356"/>
      <c r="AL12" s="763"/>
      <c r="AM12" s="993"/>
      <c r="AN12" s="1283" t="str">
        <f>IF(H9+H10=61,IF(AJ12=AJ13,"résultat",IF(AJ12&gt;AJ13,AF12,AF13)),IF(H9+H10=62,IF(AJ12=AJ13,"résultat",IF(AJ12&gt;AJ13,AF12,AF13)),IF(H9+H10=63,IF(AJ12=AJ13,"résultat",IF(AJ12&gt;AJ13,AF12,AF13)),IF(H9+H10=64,IF(AJ12=AJ13,"résultat",IF(AJ12&gt;AJ13,AF12,AF13)),IF(OR(AND(H10&gt;64,H10&lt;71))," ",IF(OR(AND(H10&gt;70,H10&lt;77)),IF(AJ12=AJ13,"résultat",IF(AJ12&gt;AJ13,AF12,AF13))))))))</f>
        <v>A</v>
      </c>
      <c r="AO12" s="1284"/>
      <c r="AP12" s="1285"/>
      <c r="AQ12" s="437">
        <v>0</v>
      </c>
      <c r="AR12" s="325"/>
      <c r="AS12"/>
      <c r="AT12" s="336">
        <v>2</v>
      </c>
      <c r="AU12" s="1289" t="str">
        <f>IF(H9+H10=61,IF(AQ11=AQ12,"résultat",IF(AQ11&gt;AQ12,AN11,AN12)),IF(H9+H10=62,IF(AQ11=AQ12,"résultat",IF(AQ11&gt;AQ12,AN11,AN12)),IF(H9+H10=63,IF(AQ11=AQ12,"résultat",IF(AQ11&gt;AQ12,AN11,AN12)),IF(H9+H10=64,IF(AQ11=AQ12,"résultat",IF(AQ11&gt;AQ12,AN11,AN12)),IF(OR(AND(H10&gt;64,H10&lt;71))," ",IF(OR(AND(H10&gt;70,H10&lt;77)),IF(AQ11=AQ12,"résultat",IF(AQ11&gt;AQ12,AN11,AN12))))))))</f>
        <v>C</v>
      </c>
      <c r="AV12" s="1290"/>
      <c r="AW12" s="1290"/>
      <c r="AX12" s="1291"/>
      <c r="AZ12" s="989">
        <v>3</v>
      </c>
      <c r="BA12" s="996" t="str">
        <f>IF(H9+H10=61,AU12,IF(H9+H10=62,AU12,IF(H9+H10=63,AU12,IF(H9+H10=64,AU12,IF(OR(AND(H10&gt;64,H10&lt;71))," ",IF(OR(AND(H10&gt;70,H10&lt;77)),AU12))))))</f>
        <v>C</v>
      </c>
      <c r="BB12" s="997"/>
      <c r="BC12" s="998"/>
      <c r="BD12" s="347">
        <v>2</v>
      </c>
      <c r="BE12" s="490" t="str">
        <f>IF(BD12=BD13,"résultat",IF(BD12&gt;BD13,BA12,BA13))</f>
        <v>C</v>
      </c>
      <c r="BF12" s="58"/>
      <c r="BI12" s="270"/>
      <c r="BK12" s="345"/>
      <c r="BL12" s="727"/>
      <c r="BM12" s="352">
        <v>1</v>
      </c>
      <c r="BN12" s="353"/>
      <c r="BO12" s="1020" t="str">
        <f>IF(OR(AND(H1&gt;61,H10&lt;65)),BK9,IF(OR(AND(H10&gt;64,H10&lt;71))," ",IF(OR(AND(H10&gt;70,H10&lt;77)),BK9)))</f>
        <v>B</v>
      </c>
      <c r="BP12" s="1021"/>
      <c r="BQ12" s="1021"/>
      <c r="BR12" s="1021"/>
      <c r="BS12" s="1022"/>
    </row>
    <row r="13" spans="1:72" ht="24.95" customHeight="1" thickBo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35">
        <v>3</v>
      </c>
      <c r="M13" s="31"/>
      <c r="N13" s="1182" t="s">
        <v>49</v>
      </c>
      <c r="O13" s="1244"/>
      <c r="P13" s="1182"/>
      <c r="Q13" s="1244"/>
      <c r="R13" s="791">
        <v>3</v>
      </c>
      <c r="S13" s="42"/>
      <c r="T13" s="674">
        <f>IF(OR(AND(H$10&gt;39,H10&lt;60),AND(H10&gt;69,H10&lt;80)),4,0)</f>
        <v>4</v>
      </c>
      <c r="U13" s="961"/>
      <c r="V13" s="697"/>
      <c r="W13" s="698"/>
      <c r="X13" s="482" t="s">
        <v>40</v>
      </c>
      <c r="Y13" s="1248" t="str">
        <f>IF(ISNA(MATCH($T13,$R$11:$R$17,0)),"OFFICE",INDEX($N$11:$N$17,MATCH($T13,$R$11:$R$17,0)))</f>
        <v>D</v>
      </c>
      <c r="Z13" s="1249"/>
      <c r="AA13" s="473">
        <v>0</v>
      </c>
      <c r="AB13"/>
      <c r="AC13" s="691"/>
      <c r="AD13" s="981"/>
      <c r="AE13" s="761"/>
      <c r="AF13" s="1265" t="str">
        <f>IF(J9+H10=61,IF($AA$12=$AA$13,"résultat",IF($AA$12&lt;$AA$13,$Y$12,$Y$13)),IF(J9+H10=62,IF($AA$12=$AA$13,"résultat",IF($AA$12&lt;$AA$13,$Y$12,$Y$13)),IF(J9+H10=63,IF($AA$12=$AA$13,"résultat",IF($AA$12&lt;$AA$13,$Y$12,$Y$13)),IF(J9+H10=64,IF($AA$12=$AA$13,"résultat",IF($AA$12&lt;$AA$13,$Y$12,$Y$13)),IF(J9+H10=65," ",IF(J9+H10=66," ",IF(J9+H10=67," ",IF(J9+H10=68," ",IF(J9+H10=69," ",IF(J9+H10=70," ",IF(J9+H10=71,IF($AA$12=$AA$13,"résultat",IF($AA$12&lt;$AA$13,$Y$12,$Y$13)),IF(J9+H10=72,IF($AA$12=$AA$13,"résultat",IF($AA$12&lt;$AA$13,$Y$12,$Y$13)),IF(J9+H10=73,IF($AA$12=$AA$13,"résultat",IF($AA$12&lt;$AA$13,$Y$12,$Y$13)),IF(J9+H10=74,IF($AA$12=$AA$13,"résultat",IF($AA$12&lt;$AA$13,$Y$12,$Y$13)),IF(J9+H10=75,IF($AA$12=$AA$13,"résultat",IF($AA$12&lt;$AA$13,$Y$12,$Y$13)),IF(J9+H10=76,IF($AA$12=$AA$13,"résultat",IF($AA$12&lt;$AA$13,$Y$12,$Y$13))))))))))))))))))</f>
        <v>D</v>
      </c>
      <c r="AG13" s="1266"/>
      <c r="AH13" s="1266"/>
      <c r="AI13" s="1267"/>
      <c r="AJ13" s="473">
        <v>0</v>
      </c>
      <c r="AK13" s="356"/>
      <c r="AL13" s="277"/>
      <c r="AM13" s="277"/>
      <c r="AN13" s="277"/>
      <c r="AO13" s="277"/>
      <c r="AP13" s="327"/>
      <c r="AQ13" s="277"/>
      <c r="AR13" s="277"/>
      <c r="AS13"/>
      <c r="AT13"/>
      <c r="AV13"/>
      <c r="AW13"/>
      <c r="AX13"/>
      <c r="AZ13" s="990"/>
      <c r="BA13" s="999" t="str">
        <f>IF(H9+H10=61,AU16,IF(H9+H10=62,AU16,IF(H9+H10=63,AU16,IF(H9+H10=64,AU16,IF(OR(AND(H10&gt;64,H10&lt;71))," ",IF(OR(AND(H10&gt;70,H10&lt;77)),AU16))))))</f>
        <v>F</v>
      </c>
      <c r="BB13" s="1000"/>
      <c r="BC13" s="1001"/>
      <c r="BD13" s="348">
        <v>0</v>
      </c>
      <c r="BE13" s="490" t="str">
        <f>IF(BD12=BD13,"résultat",IF(BD12&lt;BD13,BA12,BA13))</f>
        <v>F</v>
      </c>
      <c r="BF13" s="58"/>
      <c r="BI13" s="270"/>
      <c r="BK13" s="684"/>
      <c r="BL13" s="724"/>
      <c r="BM13" s="354">
        <v>2</v>
      </c>
      <c r="BN13" s="353"/>
      <c r="BO13" s="1003" t="str">
        <f>IF(OR(AND(H10&gt;61,H10&lt;65)),BK10,IF(OR(AND(H10&gt;64,H10&lt;72))," ",IF(OR(AND(H10&gt;70,H10&lt;77)),BK10," ")))</f>
        <v>C</v>
      </c>
      <c r="BP13" s="1004"/>
      <c r="BQ13" s="1004"/>
      <c r="BR13" s="1004"/>
      <c r="BS13" s="1005"/>
    </row>
    <row r="14" spans="1:72" ht="24.95" customHeight="1" thickTop="1" thickBot="1">
      <c r="A14" s="139"/>
      <c r="B14" s="139"/>
      <c r="C14" s="922" t="s">
        <v>66</v>
      </c>
      <c r="D14" s="923"/>
      <c r="E14" s="206" t="s">
        <v>38</v>
      </c>
      <c r="F14" s="207" t="s">
        <v>39</v>
      </c>
      <c r="G14" s="42"/>
      <c r="H14" s="930">
        <f>IF(D16=3,1,IF(D16=4,2,IF(D16=5,2,IF(D16=6,2,IF(D16=7,3,"0")))))</f>
        <v>3</v>
      </c>
      <c r="I14" s="932" t="s">
        <v>64</v>
      </c>
      <c r="J14" s="705"/>
      <c r="K14" s="705"/>
      <c r="L14" s="36">
        <v>4</v>
      </c>
      <c r="M14" s="31"/>
      <c r="N14" s="1182" t="s">
        <v>40</v>
      </c>
      <c r="O14" s="1244"/>
      <c r="P14" s="1182"/>
      <c r="Q14" s="1244"/>
      <c r="R14" s="791">
        <v>4</v>
      </c>
      <c r="S14" s="90"/>
      <c r="AB14"/>
      <c r="AE14" s="58"/>
      <c r="AS14"/>
      <c r="AT14"/>
      <c r="AV14"/>
      <c r="AW14"/>
      <c r="AX14"/>
      <c r="AZ14" s="379"/>
      <c r="BA14" s="380"/>
      <c r="BB14" s="379"/>
      <c r="BC14" s="490"/>
      <c r="BD14" s="269"/>
      <c r="BE14" s="490"/>
      <c r="BF14" s="58"/>
      <c r="BI14" s="270"/>
      <c r="BK14" s="684"/>
      <c r="BL14" s="724"/>
      <c r="BM14" s="421">
        <v>3</v>
      </c>
      <c r="BN14" s="353"/>
      <c r="BO14" s="1006" t="str">
        <f>IF(OR(AND(H10&gt;60,H10&lt;65)),BK18,IF(OR(AND(H10&gt;64,H10&lt;73))," ",IF(OR(AND(H10&gt;72,H10&lt;77)),BK18)))</f>
        <v>G</v>
      </c>
      <c r="BP14" s="1007"/>
      <c r="BQ14" s="1007"/>
      <c r="BR14" s="1007"/>
      <c r="BS14" s="1008"/>
    </row>
    <row r="15" spans="1:72" ht="24.95" customHeight="1" thickTop="1" thickBot="1">
      <c r="A15" s="42"/>
      <c r="B15" s="42"/>
      <c r="C15" s="42"/>
      <c r="D15" s="42"/>
      <c r="E15" s="208"/>
      <c r="F15" s="209"/>
      <c r="G15" s="42"/>
      <c r="H15" s="931"/>
      <c r="I15" s="933"/>
      <c r="J15" s="705"/>
      <c r="K15" s="705"/>
      <c r="L15" s="35">
        <v>5</v>
      </c>
      <c r="M15" s="31"/>
      <c r="N15" s="1182" t="s">
        <v>41</v>
      </c>
      <c r="O15" s="1244"/>
      <c r="P15" s="1182"/>
      <c r="Q15" s="1244"/>
      <c r="R15" s="791">
        <v>5</v>
      </c>
      <c r="S15" s="90"/>
      <c r="T15" s="675">
        <f>IF(OR(AND($H$10&gt;59,$H$10&lt;70),AND($H$10&gt;0,$H$10&lt;0),IF($H$10&gt;0,$H$10&lt;0)),4,IF(OR(AND($H$10&gt;69,$H$10&lt;80),AND($H$10&gt;0,$H$10&lt;0),IF($H$10&gt;0,$H$10&lt;0)),5,0))</f>
        <v>5</v>
      </c>
      <c r="U15" s="959" t="str">
        <f>CONCATENATE(F16,F17)</f>
        <v>32</v>
      </c>
      <c r="V15" s="979">
        <v>2</v>
      </c>
      <c r="W15" s="976">
        <v>5</v>
      </c>
      <c r="X15" s="676" t="s">
        <v>14</v>
      </c>
      <c r="Y15" s="1238" t="str">
        <f>IF(T15+S15=0," ",IF(ISNA(MATCH($T15,$R$11:$R$17,0)),"",INDEX($N$11:$N$17,MATCH($T15,$R$11:$R$17,0))))</f>
        <v>E</v>
      </c>
      <c r="Z15" s="1239"/>
      <c r="AA15" s="281">
        <v>3</v>
      </c>
      <c r="AB15"/>
      <c r="AC15" s="955"/>
      <c r="AD15" s="979">
        <v>2</v>
      </c>
      <c r="AE15" s="758">
        <v>8</v>
      </c>
      <c r="AF15" s="1268" t="str">
        <f>IF(J9+H10=61,IF(AA15=AA16,"résultat",IF(AA15&gt;AA16,Y15,Y16)),IF(J9+H10=62,IF(AA15=AA16,"résultat",IF(AA15&gt;AA16,Y15,Y16)),IF(J9+H10=63,IF(AA15=AA16,"résultat",IF(AA15&gt;AA16,Y15,Y16)),IF(J9+H10=64,IF(AA15=AA16,"résultat",IF(AA15&gt;AA16,Y15,Y16)),IF(J9+H10=65," ",IF(J9+H10=66," ",IF(J9+H10=67," ",IF(J9+H10=68," ",IF(J9+H10=69," ",IF(J9+H10=70," ",IF(J9+H10=71,IF(AA15=AA16,"résultat",IF(AA15&gt;AA16,Y15,Y16)),IF(J9+H10=72,IF(AA15=AA16,"résultat",IF(AA15&gt;AA16,Y15,Y16)),IF(J9+H10=73,IF(AA15=AA16,"résultat",IF(AA15&gt;AA16,Y15,Y16)),IF(J9+H10=74,IF(AA15=AA16,"résultat",IF(AA15&gt;AA16,Y15,Y16)),IF(J9+H10=75,IF(AA15=AA16,"résultat",IF(AA15&gt;AA16,Y15,Y16)),IF(J9+H10=76,IF(AA15=AA16,"résultat",IF(AA15&gt;AA16,Y15,Y16))))))))))))))))))</f>
        <v>F</v>
      </c>
      <c r="AG15" s="1269"/>
      <c r="AH15" s="1269"/>
      <c r="AI15" s="1270"/>
      <c r="AJ15" s="281">
        <v>1</v>
      </c>
      <c r="AK15" s="356"/>
      <c r="AL15" s="683"/>
      <c r="AM15" s="322"/>
      <c r="AN15" s="322"/>
      <c r="AO15" s="322"/>
      <c r="AP15" s="681"/>
      <c r="AQ15" s="322"/>
      <c r="AR15" s="322"/>
      <c r="AS15"/>
      <c r="AU15" s="58"/>
      <c r="BA15" s="270"/>
      <c r="BE15" s="490"/>
      <c r="BF15" s="58"/>
      <c r="BK15" s="351"/>
      <c r="BL15" s="397"/>
      <c r="BM15"/>
      <c r="BN15"/>
      <c r="BO15"/>
      <c r="BP15"/>
      <c r="BQ15"/>
      <c r="BR15"/>
      <c r="BS15"/>
    </row>
    <row r="16" spans="1:72" ht="24.95" customHeight="1" thickBot="1">
      <c r="A16" s="922" t="s">
        <v>61</v>
      </c>
      <c r="B16" s="924"/>
      <c r="C16" s="923"/>
      <c r="D16" s="196">
        <f>SUM(E16+F16)</f>
        <v>7</v>
      </c>
      <c r="E16" s="266" t="str">
        <f>IF(OR(AND(H10&gt;60,H10&lt;64)),"3",IF(OR(AND(H10&gt;40,H10&lt;45),AND(H10&gt;70,H10&lt;74)),"4","0"))</f>
        <v>4</v>
      </c>
      <c r="F16" s="267" t="str">
        <f>IF(OR(AND(H10&gt;60,H10&lt;64),AND(H10&gt;70,H10&lt;74)),"3","0")</f>
        <v>3</v>
      </c>
      <c r="G16" s="42"/>
      <c r="H16" s="42"/>
      <c r="I16" s="42"/>
      <c r="J16" s="513"/>
      <c r="K16" s="42"/>
      <c r="L16" s="36">
        <v>6</v>
      </c>
      <c r="M16" s="31"/>
      <c r="N16" s="1182" t="s">
        <v>87</v>
      </c>
      <c r="O16" s="1244"/>
      <c r="P16" s="1182"/>
      <c r="Q16" s="1244"/>
      <c r="R16" s="791">
        <v>6</v>
      </c>
      <c r="S16" s="90"/>
      <c r="T16" s="677">
        <f>IF(OR(AND($H$10&gt;59,$H$10&lt;70),AND($H$10&gt;0,$AE$9&lt;0),IF($H$10&gt;0,$H$10&lt;0)),5,IF(OR(AND($H$10&gt;69,$H$10&lt;80),AND($H$10&gt;0,$H$10&lt;0),IF($H$10&gt;0,$H$10&lt;0)),6,0))</f>
        <v>6</v>
      </c>
      <c r="U16" s="960"/>
      <c r="V16" s="980"/>
      <c r="W16" s="977"/>
      <c r="X16" s="87" t="s">
        <v>15</v>
      </c>
      <c r="Y16" s="1240" t="str">
        <f>IF(T16+S16=0," ",IF(ISNA(MATCH($T16,$R$11:$R$17,0)),"",INDEX($N$11:$N$17,MATCH($T16,$R$11:$R$17,0))))</f>
        <v>F</v>
      </c>
      <c r="Z16" s="1241"/>
      <c r="AA16" s="287">
        <v>4</v>
      </c>
      <c r="AB16"/>
      <c r="AC16" s="956"/>
      <c r="AD16" s="980"/>
      <c r="AE16" s="759"/>
      <c r="AF16" s="1271" t="str">
        <f>IF(J9+H10=61,IF(AA17=AA18,"résultat",IF(AA17&gt;AA18,Y17,Y18)),IF(J9+H10=62,IF(AA17=AA18,"résultat",IF(AA17&gt;AA18,Y17,Y18)),IF(J9+H10=63,IF(AA17=AA18,"résultat",IF(AA17&gt;AA18,Y17,Y18)),IF(J9+H10=64,IF(AA17=AA18,"résultat",IF(AA17&gt;AA18,Y17,Y18)),IF(J9+H10=65," ",IF(J9+H10=66," ",IF(J9+H10=67," ",IF(J9+H10=68," ",IF(J9+H10=69," ",IF(J9+H10=70," ",IF(J9+H10=71,IF(AA17=AA18,"résultat",IF(AA17&gt;AA18,Y17,Y18)),IF(J9+H10=72,IF(AA17=AA18,"résultat",IF(AA17&gt;AA18,Y17,Y18)),IF(J9+H10=73,IF(AA17=AA18,"résultat",IF(AA17&gt;AA18,Y17,Y18)),IF(J9+H10=74,IF(AA17=AA18,"résultat",IF(AA17&gt;AA18,Y17,Y18)),IF(J9+H10=75,IF(AA17=AA18,"résultat",IF(AA17&gt;AA18,Y17,Y18)),IF(J9+H10=76,IF(AA17=AA18,"résultat",IF(AA17&gt;AA18,Y17,Y18))))))))))))))))))</f>
        <v>G</v>
      </c>
      <c r="AG16" s="1272"/>
      <c r="AH16" s="1272"/>
      <c r="AI16" s="1273"/>
      <c r="AJ16" s="287">
        <v>0</v>
      </c>
      <c r="AK16" s="356"/>
      <c r="AL16" s="762"/>
      <c r="AM16" s="992">
        <v>7</v>
      </c>
      <c r="AN16" s="1280" t="str">
        <f>IF(H9+H10=61,IF(AJ15=AJ16,"résultat",IF(AJ15&lt;AJ16,AF15,AF16)),IF(H9+H10=62,IF(AJ15=AJ16,"résultat",IF(AJ15&lt;AJ16,AF15,AF16)),IF(H9+H10=63,IF(AJ15=AJ16,"résultat",IF(AJ15&lt;AJ16,AF15,AF16)),IF(H9+H10=64,IF(AJ15=AJ16,"résultat",IF(AJ15&lt;AJ16,AF15,AF16)),IF(OR(AND(H10&gt;64,H10&lt;71))," ",IF(OR(AND(H10&gt;70,H10&lt;77)),IF(AJ15=AJ16,"résultat",IF(AJ15&lt;AJ16,AF15,AF16))))))))</f>
        <v>G</v>
      </c>
      <c r="AO16" s="1281"/>
      <c r="AP16" s="1282"/>
      <c r="AQ16" s="436">
        <v>2</v>
      </c>
      <c r="AR16" s="325"/>
      <c r="AS16"/>
      <c r="AT16" s="394">
        <v>1</v>
      </c>
      <c r="AU16" s="1292" t="str">
        <f>IF(H9+H10=61,IF(AJ15=AJ16,"résultat",IF(AJ15&gt;AJ16,AF15,AF16)),IF(H9+H10=62,IF(AJ15=AJ16,"résultat",IF(AJ15&gt;AJ16,AF15,AF16)),IF(H9+H10=63,IF(AJ15=AJ16,"résultat",IF(AJ15&gt;AJ16,AF15,AF16)),IF(H9+H10=64,IF(AJ15=AJ16,"résultat",IF(AJ15&gt;AJ16,AF15,AF16)),IF(OR(AND(H10&gt;64,H10&lt;71))," ",IF(OR(AND(H10&gt;70,H10&lt;77)),IF(AJ15=AJ16,"résultat",IF(AJ15&gt;AJ16,AF15,AF16))))))))</f>
        <v>F</v>
      </c>
      <c r="AV16" s="1293"/>
      <c r="AW16" s="1293"/>
      <c r="AX16" s="1294"/>
      <c r="BA16" s="270"/>
      <c r="BD16" s="684"/>
      <c r="BE16" s="351"/>
      <c r="BF16" s="1195" t="s">
        <v>221</v>
      </c>
      <c r="BG16" s="1196"/>
      <c r="BH16" s="1196"/>
      <c r="BI16" s="1196"/>
      <c r="BJ16" s="1197"/>
      <c r="BK16" s="351"/>
      <c r="BL16" s="397"/>
      <c r="BM16"/>
      <c r="BN16"/>
      <c r="BO16"/>
      <c r="BP16"/>
      <c r="BQ16"/>
      <c r="BR16"/>
      <c r="BS16"/>
    </row>
    <row r="17" spans="1:99" ht="24.95" customHeight="1" thickBot="1">
      <c r="A17" s="922" t="s">
        <v>73</v>
      </c>
      <c r="B17" s="924"/>
      <c r="C17" s="923"/>
      <c r="D17" s="197">
        <f>SUM(E17+F17)</f>
        <v>4</v>
      </c>
      <c r="E17" s="268" t="str">
        <f>IF(OR(AND(H10&gt;60,H10&lt;64),AND(H10&gt;70,H10&lt;75)),"2",IF(OR(AND(H10&gt;74,H10&lt;76)),"3",IF(OR(AND(H10&gt;75,H10&lt;74)),4,"0")))</f>
        <v>2</v>
      </c>
      <c r="F17" s="267" t="str">
        <f>IF(OR(AND(H10&gt;60,H10&lt;64),AND(H10&gt;70,H10&lt;76)),"2",IF(OR(AND(H10&gt;75,H10&lt;74)),"3","0"))</f>
        <v>2</v>
      </c>
      <c r="G17" s="42"/>
      <c r="H17" s="42"/>
      <c r="I17" s="42"/>
      <c r="J17" s="160"/>
      <c r="K17" s="42"/>
      <c r="L17" s="189">
        <v>7</v>
      </c>
      <c r="M17" s="190"/>
      <c r="N17" s="1185" t="s">
        <v>88</v>
      </c>
      <c r="O17" s="1245"/>
      <c r="P17" s="1185"/>
      <c r="Q17" s="1245"/>
      <c r="R17" s="792">
        <v>7</v>
      </c>
      <c r="S17" s="90"/>
      <c r="T17" s="678">
        <f>IF(OR(AND($H$10&gt;59,$H$10&lt;70),AND($H$10&gt;0,$H$10&lt;0),IF($H$10&gt;0,$H$10&lt;0)),6,IF(OR(AND($H$10&gt;69,$H$10&lt;80),AND($H$10&gt;0,$H$10&lt;0),IF($H$10&gt;0,$H$10&lt;0)),7,0))</f>
        <v>7</v>
      </c>
      <c r="U17" s="960"/>
      <c r="V17" s="980"/>
      <c r="W17" s="670"/>
      <c r="X17" s="84" t="str">
        <f>IF(AL75=2,"","C")</f>
        <v>C</v>
      </c>
      <c r="Y17" s="1250" t="str">
        <f>IF(T17+S17=0," ",IF(ISNA(MATCH($T17,$R$11:$R$17,0)),"",INDEX($N$11:$N$17,MATCH($T17,$R$11:$R$17,0))))</f>
        <v>G</v>
      </c>
      <c r="Z17" s="1251"/>
      <c r="AA17" s="290">
        <v>1</v>
      </c>
      <c r="AB17"/>
      <c r="AC17" s="956"/>
      <c r="AD17" s="980"/>
      <c r="AE17" s="760"/>
      <c r="AF17" s="1274" t="str">
        <f>IF(J9+H10=61,IF(AA15=AA16,"résultat",IF(AA15&lt;AA16,Y15,Y16)),IF(J9+H10=62,IF(AA15=AA16,"résultat",IF(AA15&lt;AA16,Y15,Y16)),IF(J9+H10=63,IF(AA15=AA16,"résultat",IF(AA15&lt;AA16,Y15,Y16)),IF(J9+H10=64,IF(AA15=AA16,"résultat",IF(AA15&lt;AA16,Y15,Y16)),IF(J9+H10=65," ",IF(J9+H10=66," ",IF(J9+H10=67," ",IF(J9+H10=68," ",IF(J9+H10=69," ",IF(J9+H10=70," ",IF(J9+H10=71,IF(AA15=AA16,"résultat",IF(AA15&lt;AA16,Y15,Y16)),IF(J9+H10=72,IF(AA15=AA16,"résultat",IF(AA15&lt;AA16,Y15,Y16)),IF(J9+H10=73,IF(AA15=AA16,"résultat",IF(AA15&lt;AA16,Y15,Y16)),IF(J9+H10=74,IF(AA15=AA16,"résultat",IF(AA15&lt;AA16,Y15,Y16)),IF(J9+H10=75,IF(AA15=AA16,"résultat",IF(AA15&lt;AA16,Y15,Y16)),IF(J9+H10=76,IF(AA15=AA16,"résultat",IF(AA15&lt;AA16,Y15,Y16))))))))))))))))))</f>
        <v>E</v>
      </c>
      <c r="AG17" s="1275"/>
      <c r="AH17" s="1275"/>
      <c r="AI17" s="1276"/>
      <c r="AJ17" s="290">
        <v>1</v>
      </c>
      <c r="AK17" s="356"/>
      <c r="AL17" s="763"/>
      <c r="AM17" s="993"/>
      <c r="AN17" s="1283" t="str">
        <f>IF(J9+H10=61,IF(AJ17=AJ18,"résultat",IF(AJ17&gt;AJ18,AF17,AF18)),IF(J9+H10=62,IF(AJ17=AJ18,"résultat",IF(AJ17&gt;AJ18,AF17,AF18)),IF(J9+H10=63,IF(AJ17=AJ18,"résultat",IF(AJ17&gt;AJ18,AF17,AF18)),IF(J9+H10=64,IF(AJ17=AJ18,"résultat",IF(AJ17&gt;AJ18,AF17,AF18)),IF(OR(AND(H10&gt;64,H10&lt;71))," ",IF(OR(AND(H10&gt;70,H10&lt;77)),IF(AJ17=AJ18,"résultat",IF(AJ17&gt;AJ18,AF17,AF18))))))))</f>
        <v>E</v>
      </c>
      <c r="AO17" s="1284"/>
      <c r="AP17" s="1285"/>
      <c r="AQ17" s="437">
        <v>0</v>
      </c>
      <c r="AR17" s="325"/>
      <c r="AS17"/>
      <c r="AT17" s="336">
        <v>2</v>
      </c>
      <c r="AU17" s="1289" t="str">
        <f>IF(H9+H10=61,IF(AQ16=AQ17,"résultat",IF(AQ16&gt;AQ17,AN16,AN17)),IF(H9+H10=62,IF(AQ16=AQ17,"résultat",IF(AQ16&gt;AQ17,AN16,AN17)),IF(H9+H10=63,IF(AQ16=AQ17,"résultat",IF(AQ16&gt;AQ17,AN16,AN17)),IF(H9+H10=64,IF(AQ16=AQ17,"résultat",IF(AQ16&gt;AQ17,AN16,AN17)),IF(OR(AND(H10&gt;64,H10&lt;71))," ",IF(OR(AND(H10&gt;70,H10&lt;77)),IF(AQ16=AQ17,"résultat",IF(AQ16&gt;AQ17,AN16,AN17))))))))</f>
        <v>G</v>
      </c>
      <c r="AV17" s="1290"/>
      <c r="AW17" s="1290"/>
      <c r="AX17" s="1291"/>
      <c r="AZ17" s="379"/>
      <c r="BA17" s="379"/>
      <c r="BC17" s="376"/>
      <c r="BD17" s="376"/>
      <c r="BE17" s="490"/>
      <c r="BF17" s="375"/>
      <c r="BG17" s="269"/>
      <c r="BK17" s="749"/>
      <c r="BL17" s="726"/>
      <c r="BM17"/>
      <c r="BN17"/>
      <c r="BO17"/>
      <c r="BP17"/>
      <c r="BQ17"/>
      <c r="BR17"/>
      <c r="BS17"/>
    </row>
    <row r="18" spans="1:99" ht="24.95" customHeight="1" thickBot="1">
      <c r="A18" s="110"/>
      <c r="B18" s="110"/>
      <c r="C18" s="155"/>
      <c r="D18" s="156"/>
      <c r="E18" s="139"/>
      <c r="F18" s="42"/>
      <c r="G18" s="42"/>
      <c r="H18" s="157"/>
      <c r="I18" s="157"/>
      <c r="J18" s="513"/>
      <c r="K18" s="157"/>
      <c r="L18" s="42"/>
      <c r="M18" s="42"/>
      <c r="N18" s="42"/>
      <c r="O18" s="42"/>
      <c r="P18" s="42"/>
      <c r="Q18" s="42"/>
      <c r="R18" s="42"/>
      <c r="S18" s="90"/>
      <c r="T18" s="679"/>
      <c r="U18" s="961"/>
      <c r="V18" s="981"/>
      <c r="W18" s="671"/>
      <c r="X18" s="680" t="s">
        <v>40</v>
      </c>
      <c r="Y18" s="1242" t="s">
        <v>183</v>
      </c>
      <c r="Z18" s="1243"/>
      <c r="AA18" s="313">
        <v>0</v>
      </c>
      <c r="AB18"/>
      <c r="AC18" s="957"/>
      <c r="AD18" s="981"/>
      <c r="AE18" s="761"/>
      <c r="AF18" s="1277" t="s">
        <v>183</v>
      </c>
      <c r="AG18" s="1278"/>
      <c r="AH18" s="1278"/>
      <c r="AI18" s="1279"/>
      <c r="AJ18" s="313">
        <v>0</v>
      </c>
      <c r="AK18" s="796"/>
      <c r="AL18" s="277"/>
      <c r="AM18" s="277"/>
      <c r="AN18" s="277"/>
      <c r="AO18" s="277"/>
      <c r="AP18" s="327"/>
      <c r="AQ18" s="277"/>
      <c r="AR18" s="277"/>
      <c r="AS18"/>
      <c r="AT18"/>
      <c r="AV18"/>
      <c r="AW18"/>
      <c r="AX18"/>
      <c r="AZ18" s="350"/>
      <c r="BA18" s="350"/>
      <c r="BB18" s="350"/>
      <c r="BC18" s="350"/>
      <c r="BD18" s="350"/>
      <c r="BE18" s="748"/>
      <c r="BF18" s="989">
        <v>4</v>
      </c>
      <c r="BG18" s="970" t="str">
        <f>IF(JJ9+H10=61," ",IF(H9+H10=62," ",IF(OR(AND(H10&gt;64,H10&lt;73))," ",IF(AND(BQ5+BQ6&gt;2,BQ5+BQ6&lt;7),BE8))))</f>
        <v>G</v>
      </c>
      <c r="BH18" s="971"/>
      <c r="BI18" s="972"/>
      <c r="BJ18" s="347">
        <v>1</v>
      </c>
      <c r="BK18" s="490" t="str">
        <f>IF(BJ18=BJ19,"résultat",IF(BJ18&gt;BJ19,BG18,BG19))</f>
        <v>G</v>
      </c>
      <c r="BL18" s="58"/>
      <c r="BM18" s="58"/>
    </row>
    <row r="19" spans="1:99" ht="24.95" customHeight="1" thickTop="1" thickBot="1">
      <c r="A19" s="42"/>
      <c r="B19" s="1105" t="s">
        <v>84</v>
      </c>
      <c r="C19" s="1105"/>
      <c r="D19" s="1105"/>
      <c r="E19" s="42"/>
      <c r="F19" s="42"/>
      <c r="G19" s="42"/>
      <c r="H19" s="42"/>
      <c r="I19" s="42"/>
      <c r="J19" s="42"/>
      <c r="K19" s="42"/>
      <c r="L19" s="42"/>
      <c r="M19" s="42"/>
      <c r="N19" s="135"/>
      <c r="O19" s="135"/>
      <c r="P19" s="135"/>
      <c r="Q19" s="42"/>
      <c r="R19" s="42"/>
      <c r="S19" s="90"/>
      <c r="T19" s="42"/>
      <c r="AB19"/>
      <c r="AE19" s="58"/>
      <c r="AQ19"/>
      <c r="AT19"/>
      <c r="AV19"/>
      <c r="AW19"/>
      <c r="AX19"/>
      <c r="AZ19" s="350"/>
      <c r="BA19" s="350"/>
      <c r="BB19" s="350"/>
      <c r="BC19" s="350"/>
      <c r="BD19" s="350"/>
      <c r="BE19" s="748"/>
      <c r="BF19" s="990"/>
      <c r="BG19" s="973" t="str">
        <f>IF(H9+H10=61," ",IF(H9+H10=62," ",IF(BD12=BD13,"Perdant 1/2 Finale B",IF(OR(AND(H10&gt;64,H10&lt;73))," ",IF(AND(BQ5+BQ6&gt;2,BQ5+BQ6&lt;9),BE13)))))</f>
        <v>F</v>
      </c>
      <c r="BH19" s="974"/>
      <c r="BI19" s="975"/>
      <c r="BJ19" s="348">
        <v>0</v>
      </c>
      <c r="BK19" s="490" t="str">
        <f>IF(BJ18=BJ19,"résultat",IF(BJ18&lt;BJ19,BG18,BG19))</f>
        <v>F</v>
      </c>
      <c r="BL19" s="724"/>
      <c r="BM19" s="58"/>
    </row>
    <row r="20" spans="1:99" ht="24.9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AB20"/>
      <c r="AE20" s="58"/>
      <c r="AQ20"/>
      <c r="AU20" s="58"/>
      <c r="BE20" s="748"/>
      <c r="BF20" s="58"/>
      <c r="BK20" s="684"/>
      <c r="BL20" s="724"/>
      <c r="BM20" s="58"/>
    </row>
    <row r="21" spans="1:99" customFormat="1" ht="24.95" customHeight="1">
      <c r="AY21" s="58"/>
      <c r="AZ21" s="58"/>
      <c r="BA21" s="58"/>
      <c r="BB21" s="58"/>
      <c r="BC21" s="684"/>
      <c r="BD21" s="375"/>
    </row>
    <row r="22" spans="1:99" ht="24.95" customHeight="1">
      <c r="A22" s="779"/>
      <c r="B22" s="779"/>
      <c r="C22" s="779"/>
      <c r="D22" s="779"/>
      <c r="E22" s="779"/>
      <c r="F22" s="779"/>
      <c r="G22" s="779"/>
      <c r="H22" s="779"/>
      <c r="I22" s="779"/>
      <c r="J22" s="779"/>
      <c r="K22" s="779"/>
      <c r="L22" s="780"/>
      <c r="M22" s="780"/>
      <c r="N22" s="780"/>
      <c r="O22" s="780"/>
      <c r="P22" s="780"/>
      <c r="Q22" s="780"/>
      <c r="R22" s="780"/>
      <c r="S22" s="780"/>
      <c r="T22" s="780"/>
      <c r="U22" s="780"/>
      <c r="V22" s="780"/>
      <c r="W22" s="780"/>
      <c r="X22" s="780"/>
      <c r="Y22" s="780"/>
      <c r="Z22" s="780"/>
      <c r="AA22" s="780"/>
      <c r="AB22" s="443"/>
      <c r="AC22" s="780"/>
      <c r="AD22" s="780"/>
      <c r="AE22" s="780"/>
      <c r="AF22" s="780"/>
      <c r="AG22" s="780"/>
      <c r="AH22" s="780"/>
      <c r="AI22" s="780"/>
      <c r="AJ22" s="780"/>
      <c r="AK22" s="780"/>
      <c r="AL22" s="780"/>
      <c r="AM22" s="780"/>
      <c r="AN22" s="780"/>
      <c r="AO22" s="780"/>
      <c r="AP22" s="780"/>
      <c r="AQ22" s="780"/>
      <c r="AR22" s="780"/>
      <c r="AS22" s="443"/>
      <c r="AT22" s="780"/>
      <c r="AU22" s="780"/>
      <c r="AV22" s="780"/>
      <c r="AW22" s="780"/>
      <c r="AX22" s="780"/>
      <c r="AY22" s="780"/>
      <c r="AZ22" s="780"/>
      <c r="BA22" s="780"/>
      <c r="BB22" s="780"/>
      <c r="BC22" s="780"/>
      <c r="BD22" s="780"/>
      <c r="BE22" s="781"/>
      <c r="BF22" s="782"/>
      <c r="BG22" s="783"/>
      <c r="BH22" s="784"/>
      <c r="BI22" s="784"/>
      <c r="BJ22" s="785"/>
      <c r="BK22" s="786"/>
      <c r="BL22" s="787"/>
      <c r="BM22" s="780"/>
      <c r="BN22" s="780"/>
      <c r="BO22" s="780"/>
      <c r="BP22" s="780"/>
      <c r="BQ22" s="780"/>
      <c r="BR22" s="780"/>
      <c r="BS22" s="780"/>
      <c r="BT22" s="780"/>
      <c r="BU22" s="780"/>
      <c r="BV22" s="780"/>
      <c r="BW22" s="780"/>
      <c r="BX22" s="780"/>
      <c r="BY22" s="780"/>
      <c r="BZ22" s="780"/>
      <c r="CA22" s="780"/>
      <c r="CB22" s="780"/>
      <c r="CC22" s="780"/>
      <c r="CD22" s="780"/>
      <c r="CE22" s="780"/>
      <c r="CF22" s="780"/>
      <c r="CG22" s="780"/>
      <c r="CH22" s="780"/>
      <c r="CI22" s="780"/>
      <c r="CJ22" s="780"/>
      <c r="CK22" s="780"/>
      <c r="CL22" s="780"/>
      <c r="CM22" s="780"/>
      <c r="CN22" s="780"/>
      <c r="CO22" s="780"/>
      <c r="CP22" s="780"/>
      <c r="CQ22" s="780"/>
      <c r="CR22" s="780"/>
      <c r="CS22" s="780"/>
    </row>
    <row r="23" spans="1:99" ht="24.95" customHeight="1">
      <c r="A23" s="94"/>
      <c r="B23" s="94"/>
      <c r="C23" s="94"/>
      <c r="D23" s="94"/>
      <c r="E23" s="94"/>
      <c r="F23" s="1252" t="s">
        <v>215</v>
      </c>
      <c r="G23" s="1252"/>
      <c r="H23" s="1252"/>
      <c r="I23" s="1252"/>
      <c r="J23" s="1252"/>
      <c r="K23" s="1252"/>
      <c r="L23" s="1252"/>
      <c r="M23" s="1252"/>
      <c r="N23" s="1252"/>
      <c r="O23" s="516"/>
      <c r="P23" s="516"/>
      <c r="Q23" s="516"/>
      <c r="R23" s="516"/>
      <c r="S23" s="516"/>
      <c r="T23" s="516"/>
      <c r="U23" s="516"/>
      <c r="V23" s="516"/>
      <c r="W23" s="516"/>
      <c r="X23" s="516"/>
      <c r="Y23" s="516"/>
      <c r="Z23" s="516"/>
      <c r="AA23" s="516"/>
      <c r="AB23" s="516"/>
      <c r="AC23" s="438"/>
      <c r="AD23" s="516"/>
      <c r="AE23" s="516"/>
      <c r="AF23" s="516"/>
      <c r="AG23" s="516"/>
      <c r="AH23" s="516"/>
      <c r="AI23" s="516"/>
      <c r="AJ23" s="516"/>
      <c r="AK23" s="516"/>
      <c r="AL23" s="516"/>
      <c r="AM23" s="516"/>
      <c r="AN23" s="516"/>
      <c r="AO23" s="516"/>
      <c r="AP23" s="516"/>
      <c r="AQ23" s="516"/>
      <c r="AR23" s="516"/>
      <c r="AS23" s="438"/>
      <c r="AT23" s="516"/>
      <c r="AU23" s="516"/>
      <c r="AV23" s="516"/>
      <c r="AW23" s="516"/>
      <c r="AX23" s="516"/>
      <c r="AY23" s="516"/>
      <c r="AZ23" s="516"/>
      <c r="BA23" s="516"/>
      <c r="BB23" s="516"/>
      <c r="BC23" s="516"/>
      <c r="BD23" s="518"/>
      <c r="BE23" s="438"/>
      <c r="BF23" s="438"/>
      <c r="BG23" s="438"/>
      <c r="BH23" s="438"/>
      <c r="BI23" s="438"/>
      <c r="BJ23" s="845"/>
      <c r="BK23" s="846"/>
      <c r="BL23" s="516"/>
      <c r="BM23" s="516"/>
      <c r="BN23" s="516"/>
      <c r="BO23" s="516"/>
      <c r="BP23" s="516"/>
      <c r="BQ23" s="516"/>
      <c r="BR23" s="516"/>
      <c r="BS23" s="516"/>
      <c r="BT23" s="516"/>
      <c r="BU23" s="516"/>
      <c r="BV23" s="516"/>
      <c r="BW23" s="516"/>
      <c r="BX23" s="516"/>
      <c r="BY23" s="516"/>
      <c r="BZ23" s="516"/>
      <c r="CA23" s="516"/>
      <c r="CB23" s="516"/>
      <c r="CC23" s="516"/>
      <c r="CD23" s="516"/>
      <c r="CE23" s="516"/>
      <c r="CF23" s="516"/>
      <c r="CG23" s="516"/>
      <c r="CH23" s="516"/>
      <c r="CI23" s="516"/>
      <c r="CJ23" s="516"/>
      <c r="CK23" s="516"/>
      <c r="CL23" s="516"/>
      <c r="CM23" s="516"/>
      <c r="CN23" s="516"/>
      <c r="CO23" s="516"/>
      <c r="CP23" s="516"/>
      <c r="CQ23" s="516"/>
      <c r="CR23" s="516"/>
      <c r="CS23" s="516"/>
      <c r="CT23" s="516"/>
      <c r="CU23" s="516"/>
    </row>
    <row r="24" spans="1:99" ht="24.95" customHeight="1" thickBo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AC24"/>
      <c r="AE24" s="58"/>
      <c r="AS24"/>
      <c r="AU24" s="58"/>
      <c r="BD24" s="684"/>
      <c r="BE24"/>
      <c r="BF24"/>
      <c r="BG24"/>
      <c r="BH24"/>
      <c r="BI24"/>
      <c r="BJ24" s="490"/>
      <c r="BK24" s="724"/>
      <c r="BL24" s="58"/>
      <c r="BM24" s="58"/>
    </row>
    <row r="25" spans="1:99" ht="24.95" customHeight="1" thickBot="1">
      <c r="A25" s="486" t="s">
        <v>22</v>
      </c>
      <c r="B25" s="487"/>
      <c r="C25" s="487"/>
      <c r="D25" s="487"/>
      <c r="E25" s="934" t="str">
        <f>LEFT(H25,1)</f>
        <v>6</v>
      </c>
      <c r="F25" s="935"/>
      <c r="G25" s="736"/>
      <c r="H25" s="965">
        <v>64</v>
      </c>
      <c r="I25" s="1230"/>
      <c r="J25" s="42"/>
      <c r="K25" s="269"/>
      <c r="L25"/>
      <c r="Y25"/>
      <c r="AE25" s="58"/>
      <c r="AO25"/>
      <c r="AU25" s="58"/>
      <c r="AZ25" s="684"/>
      <c r="BA25"/>
      <c r="BB25"/>
      <c r="BC25"/>
      <c r="BD25"/>
      <c r="BE25"/>
      <c r="BF25" s="490"/>
      <c r="BG25" s="724"/>
      <c r="BL25" s="58"/>
      <c r="BM25" s="58"/>
    </row>
    <row r="26" spans="1:99" ht="24.95" customHeight="1" thickBot="1">
      <c r="A26" s="486" t="s">
        <v>55</v>
      </c>
      <c r="B26" s="487"/>
      <c r="C26" s="487"/>
      <c r="D26" s="487"/>
      <c r="E26" s="936" t="str">
        <f>RIGHT(H25,1)</f>
        <v>4</v>
      </c>
      <c r="F26" s="937"/>
      <c r="G26" s="736"/>
      <c r="H26" s="1230"/>
      <c r="I26" s="1230"/>
      <c r="J26" s="777"/>
      <c r="K26" s="42"/>
      <c r="L26" s="42"/>
      <c r="M26" s="269"/>
      <c r="N26"/>
      <c r="O26" s="595"/>
      <c r="P26" s="1149" t="s">
        <v>168</v>
      </c>
      <c r="Q26" s="1150"/>
      <c r="R26" s="1150"/>
      <c r="S26" s="1150"/>
      <c r="T26" s="1150"/>
      <c r="U26" s="1151"/>
      <c r="V26"/>
      <c r="W26"/>
      <c r="X26" s="1152" t="s">
        <v>170</v>
      </c>
      <c r="Y26" s="1153"/>
      <c r="Z26" s="1153"/>
      <c r="AA26" s="1153"/>
      <c r="AB26" s="1153"/>
      <c r="AC26" s="1153"/>
      <c r="AD26" s="1154"/>
      <c r="AF26"/>
      <c r="AG26" s="524"/>
      <c r="AH26" s="1143" t="s">
        <v>171</v>
      </c>
      <c r="AI26" s="1144"/>
      <c r="AJ26" s="1144"/>
      <c r="AK26" s="1144"/>
      <c r="AL26" s="1144"/>
      <c r="AM26" s="1144"/>
      <c r="AN26" s="1145"/>
      <c r="AO26"/>
      <c r="AP26"/>
      <c r="AQ26" s="824" t="s">
        <v>172</v>
      </c>
      <c r="AR26" s="825"/>
      <c r="AS26" s="825"/>
      <c r="AT26" s="825"/>
      <c r="AU26" s="825"/>
      <c r="AV26" s="826"/>
      <c r="AY26" s="269"/>
      <c r="AZ26" s="269"/>
      <c r="BA26" s="821" t="s">
        <v>181</v>
      </c>
      <c r="BB26" s="822"/>
      <c r="BC26" s="822"/>
      <c r="BD26" s="822"/>
      <c r="BE26" s="822"/>
      <c r="BF26" s="822"/>
      <c r="BG26" s="822"/>
      <c r="BH26" s="823"/>
      <c r="BI26" s="524"/>
      <c r="BJ26" s="524"/>
      <c r="BK26" s="269"/>
      <c r="BL26" s="524"/>
      <c r="BM26" s="1132" t="s">
        <v>179</v>
      </c>
      <c r="BN26" s="1133"/>
      <c r="BO26" s="1133"/>
      <c r="BP26" s="1133"/>
      <c r="BQ26" s="1134"/>
      <c r="BR26" s="1130" t="s">
        <v>178</v>
      </c>
      <c r="BS26" s="269"/>
      <c r="BT26" s="1132" t="s">
        <v>159</v>
      </c>
      <c r="BU26" s="1133"/>
      <c r="BV26" s="1133"/>
      <c r="BW26" s="1133"/>
      <c r="BX26" s="1134"/>
      <c r="BY26" s="1130" t="s">
        <v>193</v>
      </c>
      <c r="BZ26" s="1130" t="s">
        <v>160</v>
      </c>
      <c r="CA26" s="524"/>
      <c r="CB26" s="1132" t="s">
        <v>216</v>
      </c>
      <c r="CC26" s="1133"/>
      <c r="CD26" s="1133"/>
      <c r="CE26" s="1133"/>
      <c r="CF26" s="1134"/>
      <c r="CG26" s="611"/>
      <c r="CH26" s="657" t="s">
        <v>162</v>
      </c>
      <c r="CI26" s="524"/>
      <c r="CJ26" s="526"/>
      <c r="CK26"/>
      <c r="CL26" s="1211" t="s">
        <v>163</v>
      </c>
      <c r="CM26" s="1213" t="s">
        <v>164</v>
      </c>
      <c r="CN26" s="1215" t="s">
        <v>165</v>
      </c>
      <c r="CO26" s="880"/>
      <c r="CP26" s="881" t="s">
        <v>162</v>
      </c>
      <c r="CQ26" s="1217" t="s">
        <v>160</v>
      </c>
      <c r="CR26" s="1209" t="s">
        <v>206</v>
      </c>
      <c r="CS26" s="1224" t="s">
        <v>159</v>
      </c>
    </row>
    <row r="27" spans="1:99" ht="24.95" customHeight="1" thickBot="1">
      <c r="A27" s="42"/>
      <c r="B27" s="42"/>
      <c r="C27" s="42"/>
      <c r="D27" s="42"/>
      <c r="E27" s="42"/>
      <c r="F27" s="42"/>
      <c r="G27" s="21"/>
      <c r="H27" s="22"/>
      <c r="I27" s="22"/>
      <c r="J27" s="22"/>
      <c r="K27" s="22"/>
      <c r="L27" s="22"/>
      <c r="M27" s="23" t="s">
        <v>52</v>
      </c>
      <c r="N27"/>
      <c r="O27" s="596" t="s">
        <v>6</v>
      </c>
      <c r="P27" s="776" t="s">
        <v>167</v>
      </c>
      <c r="Q27" s="776" t="s">
        <v>177</v>
      </c>
      <c r="R27" s="639" t="s">
        <v>99</v>
      </c>
      <c r="S27" s="598" t="s">
        <v>5</v>
      </c>
      <c r="T27" s="732" t="s">
        <v>177</v>
      </c>
      <c r="U27" s="637" t="s">
        <v>169</v>
      </c>
      <c r="V27" s="524"/>
      <c r="W27" s="596" t="s">
        <v>6</v>
      </c>
      <c r="X27" s="776" t="s">
        <v>167</v>
      </c>
      <c r="Y27" s="776" t="s">
        <v>177</v>
      </c>
      <c r="Z27" s="1226" t="s">
        <v>99</v>
      </c>
      <c r="AA27" s="1227"/>
      <c r="AB27" s="598" t="s">
        <v>5</v>
      </c>
      <c r="AC27" s="598" t="s">
        <v>177</v>
      </c>
      <c r="AD27" s="794" t="s">
        <v>169</v>
      </c>
      <c r="AE27" s="269"/>
      <c r="AF27" s="596" t="s">
        <v>6</v>
      </c>
      <c r="AG27" s="596" t="s">
        <v>6</v>
      </c>
      <c r="AH27" s="776" t="s">
        <v>167</v>
      </c>
      <c r="AI27" s="776" t="s">
        <v>177</v>
      </c>
      <c r="AJ27" s="1228" t="s">
        <v>99</v>
      </c>
      <c r="AK27" s="1229"/>
      <c r="AL27" s="598" t="s">
        <v>5</v>
      </c>
      <c r="AM27" s="795" t="s">
        <v>177</v>
      </c>
      <c r="AN27" s="794" t="s">
        <v>169</v>
      </c>
      <c r="AO27" s="269"/>
      <c r="AP27" s="596" t="s">
        <v>6</v>
      </c>
      <c r="AQ27" s="776" t="s">
        <v>167</v>
      </c>
      <c r="AR27" s="776" t="s">
        <v>177</v>
      </c>
      <c r="AS27" s="640" t="s">
        <v>99</v>
      </c>
      <c r="AT27" s="598" t="s">
        <v>5</v>
      </c>
      <c r="AU27" s="732" t="s">
        <v>177</v>
      </c>
      <c r="AV27" s="637" t="s">
        <v>169</v>
      </c>
      <c r="AW27" s="528"/>
      <c r="AX27" s="528"/>
      <c r="AY27" s="596" t="s">
        <v>6</v>
      </c>
      <c r="AZ27" s="797"/>
      <c r="BA27" s="776" t="s">
        <v>167</v>
      </c>
      <c r="BB27" s="776" t="s">
        <v>177</v>
      </c>
      <c r="BC27" s="832" t="s">
        <v>99</v>
      </c>
      <c r="BD27" s="843"/>
      <c r="BE27" s="833"/>
      <c r="BF27" s="598" t="s">
        <v>5</v>
      </c>
      <c r="BG27" s="636" t="s">
        <v>177</v>
      </c>
      <c r="BH27" s="637" t="s">
        <v>169</v>
      </c>
      <c r="BI27" s="528"/>
      <c r="BJ27" s="524"/>
      <c r="BK27" s="640" t="s">
        <v>99</v>
      </c>
      <c r="BL27" s="524"/>
      <c r="BM27" s="529" t="s">
        <v>38</v>
      </c>
      <c r="BN27" s="530" t="s">
        <v>39</v>
      </c>
      <c r="BO27" s="530" t="s">
        <v>173</v>
      </c>
      <c r="BP27" s="620" t="s">
        <v>174</v>
      </c>
      <c r="BQ27" s="531" t="s">
        <v>180</v>
      </c>
      <c r="BR27" s="1131"/>
      <c r="BS27" s="269"/>
      <c r="BT27" s="529" t="s">
        <v>38</v>
      </c>
      <c r="BU27" s="530" t="s">
        <v>39</v>
      </c>
      <c r="BV27" s="530" t="s">
        <v>173</v>
      </c>
      <c r="BW27" s="620" t="s">
        <v>174</v>
      </c>
      <c r="BX27" s="531" t="s">
        <v>180</v>
      </c>
      <c r="BY27" s="1131"/>
      <c r="BZ27" s="1131"/>
      <c r="CA27" s="524"/>
      <c r="CB27" s="529" t="s">
        <v>38</v>
      </c>
      <c r="CC27" s="530" t="s">
        <v>39</v>
      </c>
      <c r="CD27" s="530" t="s">
        <v>173</v>
      </c>
      <c r="CE27" s="620" t="s">
        <v>174</v>
      </c>
      <c r="CF27" s="530" t="s">
        <v>180</v>
      </c>
      <c r="CG27" s="611"/>
      <c r="CH27" s="658" t="s">
        <v>169</v>
      </c>
      <c r="CI27" s="774" t="s">
        <v>175</v>
      </c>
      <c r="CJ27" s="775" t="s">
        <v>176</v>
      </c>
      <c r="CK27"/>
      <c r="CL27" s="1212"/>
      <c r="CM27" s="1214"/>
      <c r="CN27" s="1216"/>
      <c r="CO27" s="882"/>
      <c r="CP27" s="883" t="s">
        <v>169</v>
      </c>
      <c r="CQ27" s="1218"/>
      <c r="CR27" s="1210"/>
      <c r="CS27" s="1225"/>
    </row>
    <row r="28" spans="1:99" ht="24.95" customHeight="1" thickBot="1">
      <c r="A28" s="42"/>
      <c r="B28" s="42"/>
      <c r="C28" s="42"/>
      <c r="D28" s="42"/>
      <c r="E28" s="42"/>
      <c r="F28" s="42"/>
      <c r="G28" s="24"/>
      <c r="H28" s="82" t="s">
        <v>50</v>
      </c>
      <c r="I28" s="1176" t="s">
        <v>53</v>
      </c>
      <c r="J28" s="1177"/>
      <c r="K28" s="1178"/>
      <c r="L28" s="788" t="s">
        <v>54</v>
      </c>
      <c r="M28" s="27" t="s">
        <v>74</v>
      </c>
      <c r="N28"/>
      <c r="O28" s="595"/>
      <c r="P28" s="524"/>
      <c r="Q28" s="524"/>
      <c r="R28" s="524"/>
      <c r="S28" s="526"/>
      <c r="T28" s="611"/>
      <c r="U28" s="611"/>
      <c r="V28" s="524"/>
      <c r="W28" s="524"/>
      <c r="X28" s="524"/>
      <c r="Y28" s="524"/>
      <c r="Z28" s="524"/>
      <c r="AA28" s="524"/>
      <c r="AB28" s="524"/>
      <c r="AC28" s="524"/>
      <c r="AD28" s="611"/>
      <c r="AE28" s="269"/>
      <c r="AF28" s="524"/>
      <c r="AG28" s="524"/>
      <c r="AH28" s="524"/>
      <c r="AI28" s="524"/>
      <c r="AJ28" s="524"/>
      <c r="AK28" s="524"/>
      <c r="AL28" s="524"/>
      <c r="AM28" s="524"/>
      <c r="AN28" s="611"/>
      <c r="AO28" s="269"/>
      <c r="AP28" s="524"/>
      <c r="AQ28" s="524"/>
      <c r="AR28" s="524"/>
      <c r="AS28" s="524"/>
      <c r="AT28" s="524"/>
      <c r="AU28" s="524"/>
      <c r="AV28" s="611"/>
      <c r="AW28" s="611"/>
      <c r="AX28" s="611"/>
      <c r="AY28" s="524"/>
      <c r="AZ28" s="524"/>
      <c r="BA28" s="524"/>
      <c r="BB28" s="524"/>
      <c r="BC28" s="524"/>
      <c r="BD28" s="524"/>
      <c r="BE28" s="524"/>
      <c r="BF28" s="524"/>
      <c r="BG28" s="524"/>
      <c r="BH28" s="611"/>
      <c r="BI28" s="611"/>
      <c r="BJ28" s="524"/>
      <c r="BK28" s="524"/>
      <c r="BL28" s="524"/>
      <c r="BM28" s="524"/>
      <c r="BN28" s="524"/>
      <c r="BO28" s="524"/>
      <c r="BP28" s="524"/>
      <c r="BQ28" s="524"/>
      <c r="BR28" s="524"/>
      <c r="BS28" s="269"/>
      <c r="BT28" s="524"/>
      <c r="BU28" s="524"/>
      <c r="BV28" s="524"/>
      <c r="BW28" s="524"/>
      <c r="BX28" s="524"/>
      <c r="BY28" s="524"/>
      <c r="BZ28" s="524"/>
      <c r="CA28" s="524"/>
      <c r="CB28" s="524"/>
      <c r="CC28" s="524"/>
      <c r="CD28" s="524"/>
      <c r="CE28" s="524"/>
      <c r="CF28" s="524"/>
      <c r="CG28" s="524"/>
      <c r="CH28" s="524"/>
      <c r="CI28" s="524"/>
      <c r="CJ28" s="524"/>
      <c r="CK28"/>
      <c r="CL28" s="269"/>
      <c r="CM28" s="524"/>
      <c r="CN28" s="524"/>
      <c r="CO28" s="524"/>
      <c r="CP28" s="514"/>
      <c r="CQ28" s="661"/>
    </row>
    <row r="29" spans="1:99" ht="24.95" customHeight="1" thickBot="1">
      <c r="A29" s="139"/>
      <c r="B29" s="139"/>
      <c r="C29" s="922" t="s">
        <v>66</v>
      </c>
      <c r="D29" s="923"/>
      <c r="E29" s="206" t="s">
        <v>38</v>
      </c>
      <c r="G29" s="34">
        <v>1</v>
      </c>
      <c r="H29" s="29"/>
      <c r="I29" s="1179" t="s">
        <v>208</v>
      </c>
      <c r="J29" s="1180"/>
      <c r="K29" s="1181"/>
      <c r="L29" s="83"/>
      <c r="M29" s="30">
        <v>1</v>
      </c>
      <c r="N29"/>
      <c r="O29" s="1124">
        <v>1</v>
      </c>
      <c r="P29" s="538">
        <v>1</v>
      </c>
      <c r="Q29" s="798">
        <f>+P30</f>
        <v>2</v>
      </c>
      <c r="R29" s="85" t="str">
        <f>IF(ISNA(MATCH(P29,M29:M33,0)),"",INDEX(I29:I33,MATCH(P29,M29:M33,0)))</f>
        <v>Pierre</v>
      </c>
      <c r="S29" s="347">
        <v>1</v>
      </c>
      <c r="T29" s="667">
        <f>+S30</f>
        <v>0</v>
      </c>
      <c r="U29" s="537">
        <f>IF(S29+S30=0,0,IF(S29=S30,2,IF(S29&gt;S30,3,1)))</f>
        <v>3</v>
      </c>
      <c r="V29" s="611"/>
      <c r="W29" s="1124">
        <v>2</v>
      </c>
      <c r="X29" s="538">
        <v>1</v>
      </c>
      <c r="Y29" s="798">
        <f>+X30</f>
        <v>3</v>
      </c>
      <c r="Z29" s="1221" t="str">
        <f>+R29</f>
        <v>Pierre</v>
      </c>
      <c r="AA29" s="1222"/>
      <c r="AB29" s="347">
        <v>1</v>
      </c>
      <c r="AC29" s="667">
        <f>+AB30</f>
        <v>0</v>
      </c>
      <c r="AD29" s="537">
        <f>IF(AB29+AB30=0,0,IF(AB29=AB30,2,IF(AB29&gt;AB30,3,1)))</f>
        <v>3</v>
      </c>
      <c r="AE29" s="641"/>
      <c r="AF29" s="1124">
        <v>3</v>
      </c>
      <c r="AG29" s="1124">
        <v>3</v>
      </c>
      <c r="AH29" s="538">
        <v>1</v>
      </c>
      <c r="AI29" s="800">
        <v>1</v>
      </c>
      <c r="AJ29" s="1223" t="str">
        <f>+R29</f>
        <v>Pierre</v>
      </c>
      <c r="AK29" s="1222"/>
      <c r="AL29" s="347">
        <v>1</v>
      </c>
      <c r="AM29" s="667">
        <f>+AL30</f>
        <v>0</v>
      </c>
      <c r="AN29" s="537">
        <f>IF(AL29+AL30=0,0,IF(AL29=AL30,2,IF(AL29&gt;AL30,3,1)))</f>
        <v>3</v>
      </c>
      <c r="AO29" s="641"/>
      <c r="AP29" s="1124">
        <v>4</v>
      </c>
      <c r="AQ29" s="538">
        <v>1</v>
      </c>
      <c r="AR29" s="798">
        <v>1</v>
      </c>
      <c r="AS29" s="838" t="str">
        <f>+R29</f>
        <v>Pierre</v>
      </c>
      <c r="AT29" s="436">
        <v>1</v>
      </c>
      <c r="AU29" s="800">
        <f>+AT30</f>
        <v>0</v>
      </c>
      <c r="AV29" s="537">
        <f>IF(AT29+AT30=0,0,IF(AT29=AT30,2,IF(AT29&gt;AT30,3,1)))</f>
        <v>3</v>
      </c>
      <c r="AW29" s="543"/>
      <c r="AX29" s="543"/>
      <c r="AY29" s="1124">
        <v>5</v>
      </c>
      <c r="AZ29" s="771"/>
      <c r="BA29" s="538">
        <v>1</v>
      </c>
      <c r="BB29" s="798">
        <f>+BA30</f>
        <v>4</v>
      </c>
      <c r="BC29" s="838" t="str">
        <f>+R29</f>
        <v>Pierre</v>
      </c>
      <c r="BD29" s="839"/>
      <c r="BE29" s="835"/>
      <c r="BF29" s="347">
        <v>1</v>
      </c>
      <c r="BG29" s="667">
        <f>+BF30</f>
        <v>1</v>
      </c>
      <c r="BH29" s="537">
        <f>IF(BF29+BF30=0,0,IF(BF29=BF30,2,IF(BF29&gt;BF30,3,1)))</f>
        <v>2</v>
      </c>
      <c r="BI29" s="543"/>
      <c r="BJ29" s="597">
        <v>1</v>
      </c>
      <c r="BK29" s="829" t="str">
        <f t="shared" ref="BK29:BK34" si="0">+I29</f>
        <v>Pierre</v>
      </c>
      <c r="BL29" s="860"/>
      <c r="BM29" s="802">
        <f>IF(ISNA(VLOOKUP(BK29,$R$29:$S$34,2,0)),"",VLOOKUP(BK29,$R$29:$S$34,2,0))</f>
        <v>1</v>
      </c>
      <c r="BN29" s="802">
        <f>IF(ISNA(VLOOKUP(BK29,$Z$29:$AB$34,3,0)),"",VLOOKUP(BK29,$Z$29:$AB$34,3,0))</f>
        <v>1</v>
      </c>
      <c r="BO29" s="802">
        <f>IF(ISNA(VLOOKUP(BK29,$AJ$29:$AL$34,3,0)),"",VLOOKUP(BK29,$AJ$29:$AL$34,3,0))</f>
        <v>1</v>
      </c>
      <c r="BP29" s="802">
        <f>IF(ISNA(VLOOKUP(BK29,$AS$29:$AT$34,2,0)),"",VLOOKUP(BK29,$AS$29:$AT$34,2,0))</f>
        <v>1</v>
      </c>
      <c r="BQ29" s="872">
        <f t="shared" ref="BQ29:BQ34" si="1">IF(ISNA(VLOOKUP(BK29,$BC$29:$BF$52,4,0)),"",VLOOKUP(BK29,$BC$29:$BF$34,4,0))</f>
        <v>1</v>
      </c>
      <c r="BR29" s="548">
        <f ca="1">SUMIF(BM29:BQ29,"&lt;&gt;#N/A",BM29:BP29)</f>
        <v>5</v>
      </c>
      <c r="BS29" s="510"/>
      <c r="BT29" s="545">
        <f>IF(ISNA(VLOOKUP(BK29,$R$29:$T$34,3,0)),"",VLOOKUP(BK29,$R$29:$T$34,3,0))</f>
        <v>0</v>
      </c>
      <c r="BU29" s="802">
        <f>IF(ISNA(VLOOKUP(BK29,$Z$29:$AC$34,4,0)),"",VLOOKUP(BK29,$Z$29:$AC$34,4,0))</f>
        <v>0</v>
      </c>
      <c r="BV29" s="802">
        <f>IF(ISNA(VLOOKUP(BK29,$AJ$29:$AM$34,4,0)),"",VLOOKUP(BK29,$AJ$29:$AM$34,4,0))</f>
        <v>0</v>
      </c>
      <c r="BW29" s="802">
        <f>IF(ISNA(VLOOKUP(BK29,$AS$29:$AU$34,3,0)),"",VLOOKUP(BK29,$AS$29:$AU$34,3,0))</f>
        <v>0</v>
      </c>
      <c r="BX29" s="872">
        <f t="shared" ref="BX29:BX34" si="2">IF(ISNA(VLOOKUP(BK29,$BC$29:$BG$34,5,0)),"",VLOOKUP(BK29,$BC$29:$BG$34,5,0))</f>
        <v>1</v>
      </c>
      <c r="BY29" s="916">
        <f ca="1">SUMIF(BT29:BX29,"&lt;&gt;#N/A",BT29:BW29)</f>
        <v>1</v>
      </c>
      <c r="BZ29" s="550">
        <f t="shared" ref="BZ29:BZ34" ca="1" si="3">SUM(BR29-BY29)</f>
        <v>4</v>
      </c>
      <c r="CA29" s="524"/>
      <c r="CB29" s="551" t="str">
        <f t="shared" ref="CB29:CF34" si="4">IF(BM29=BT29,"N",IF(BM29&gt;BT29,"V",IF(BM29&lt;BT29,"D")))</f>
        <v>V</v>
      </c>
      <c r="CC29" s="552" t="str">
        <f t="shared" si="4"/>
        <v>V</v>
      </c>
      <c r="CD29" s="552" t="str">
        <f t="shared" si="4"/>
        <v>V</v>
      </c>
      <c r="CE29" s="834" t="str">
        <f t="shared" si="4"/>
        <v>V</v>
      </c>
      <c r="CF29" s="631" t="str">
        <f t="shared" si="4"/>
        <v>N</v>
      </c>
      <c r="CG29" s="611"/>
      <c r="CH29" s="818">
        <f t="shared" ref="CH29:CH34" si="5">VLOOKUP(BK29,$R$29:$U$34,4,0)+VLOOKUP(BK29,$Z$29:$AD$34,5,0)+VLOOKUP(BK29,$AJ$29:$AN$34,5,0)+VLOOKUP(BK29,$AS$29:$AV$34,4,0)+VLOOKUP(BK29,$BC$29:$BH$34,6,0)</f>
        <v>14</v>
      </c>
      <c r="CI29" s="747">
        <f t="shared" ref="CI29:CI34" ca="1" si="6">IF(OR(BK29="",CH29=""),"",RANK(CH29,$CH$29:$CH$34)+SUM(-$BZ29/100)-(+$BR29/100000)-(+$BY29/100000)+COUNTIF($BK$29:$BK$34,"&lt;="&amp;$BK29+1)/1000000+ROW()/1000000000)</f>
        <v>0.95994002899999997</v>
      </c>
      <c r="CJ29" s="524">
        <f ca="1">IF(BK29="","",SMALL($CI$29:$CI$34,ROWS(CH29:CH$29)))</f>
        <v>0.95994002899999997</v>
      </c>
      <c r="CK29"/>
      <c r="CL29" s="866">
        <f ca="1">IF(CJ29="","",1)</f>
        <v>1</v>
      </c>
      <c r="CM29" s="811">
        <f t="shared" ref="CM29:CM34" ca="1" si="7">IF(OR(BK29=""),"",INDEX($BJ$29:$BJ$34,MATCH(CJ29,$CI$29:$CI$34,0)))</f>
        <v>1</v>
      </c>
      <c r="CN29" s="806" t="str">
        <f t="shared" ref="CN29:CN34" ca="1" si="8">IF(OR(BK29=""),"",INDEX($BK$29:$BK$34,MATCH(CJ29,$CI$29:$CI$34,0)))</f>
        <v>Pierre</v>
      </c>
      <c r="CO29" s="913" t="str">
        <f t="shared" ref="CO29:CO34" ca="1" si="9">IF(OR(BL29="",BR29="",BY29=""),"",INDEX($BO$6:$BO$45,MATCH(CJ29,$CL$7:$CL$45,0)))</f>
        <v/>
      </c>
      <c r="CP29" s="915">
        <f ca="1">IF(OR(CH29="",BU29="",CB29=""),"",INDEX($CH$29:$CH$34,MATCH(CJ29,$CI$29:$CI$34,0)))</f>
        <v>14</v>
      </c>
      <c r="CQ29" s="662">
        <f t="shared" ref="CQ29:CQ34" ca="1" si="10">IF(OR(BK29=""),"",INDEX($BZ$29:$BZ$34,MATCH(CJ29,$CI$29:$CI$34,0)))</f>
        <v>4</v>
      </c>
      <c r="CR29" s="868">
        <f t="shared" ref="CR29:CR34" ca="1" si="11">IF(OR(BK29=""),"",INDEX($BR$29:$BR$34,MATCH(CJ29,$CI$29:$CI$34,0)))</f>
        <v>5</v>
      </c>
      <c r="CS29" s="868">
        <f t="shared" ref="CS29:CS34" ca="1" si="12">IF(OR(BK29=""),"",INDEX($BY$29:$BY$34,MATCH(CJ29,$CI$29:$CI$34,0)))</f>
        <v>1</v>
      </c>
    </row>
    <row r="30" spans="1:99" ht="24.95" customHeight="1" thickBot="1">
      <c r="A30" s="42"/>
      <c r="B30" s="42"/>
      <c r="C30" s="42"/>
      <c r="D30" s="42"/>
      <c r="E30" s="208"/>
      <c r="G30" s="35">
        <v>2</v>
      </c>
      <c r="H30" s="31"/>
      <c r="I30" s="1182" t="s">
        <v>209</v>
      </c>
      <c r="J30" s="1183"/>
      <c r="K30" s="1184"/>
      <c r="L30" s="86"/>
      <c r="M30" s="32">
        <v>2</v>
      </c>
      <c r="N30"/>
      <c r="O30" s="1125"/>
      <c r="P30" s="598">
        <v>2</v>
      </c>
      <c r="Q30" s="656">
        <f>+P29</f>
        <v>1</v>
      </c>
      <c r="R30" s="88" t="str">
        <f>IF(ISNA(MATCH(P30,M29:M33,0)),"",INDEX(I29:I33,MATCH(P30,M29:M33,0)))</f>
        <v>Marcel</v>
      </c>
      <c r="S30" s="348">
        <v>0</v>
      </c>
      <c r="T30" s="607">
        <f>+S29</f>
        <v>1</v>
      </c>
      <c r="U30" s="561">
        <f>IF(S29+S30=0,0,IF(S29=S30,2,IF(S29&lt;S30,3,1)))</f>
        <v>1</v>
      </c>
      <c r="V30" s="564"/>
      <c r="W30" s="1125"/>
      <c r="X30" s="827">
        <v>3</v>
      </c>
      <c r="Y30" s="656">
        <f>+X29</f>
        <v>1</v>
      </c>
      <c r="Z30" s="1188" t="str">
        <f>+R31</f>
        <v>Marc</v>
      </c>
      <c r="AA30" s="1189"/>
      <c r="AB30" s="348">
        <v>0</v>
      </c>
      <c r="AC30" s="606">
        <f>+AB29</f>
        <v>1</v>
      </c>
      <c r="AD30" s="565">
        <f>IF(AB29+AB30=0,0,IF(AB29=AB30,2,IF(AB29&lt;AB30,3,1)))</f>
        <v>1</v>
      </c>
      <c r="AE30" s="643"/>
      <c r="AF30" s="1125"/>
      <c r="AG30" s="1125"/>
      <c r="AH30" s="827">
        <v>6</v>
      </c>
      <c r="AI30" s="801">
        <v>6</v>
      </c>
      <c r="AJ30" s="1208" t="str">
        <f>+R34</f>
        <v>Guy</v>
      </c>
      <c r="AK30" s="1189"/>
      <c r="AL30" s="348">
        <v>0</v>
      </c>
      <c r="AM30" s="652">
        <f>+AL29</f>
        <v>1</v>
      </c>
      <c r="AN30" s="565">
        <f>IF(AL29+AL30=0,0,IF(AL29=AL30,2,IF(AL29&lt;AL30,3,1)))</f>
        <v>1</v>
      </c>
      <c r="AO30" s="643"/>
      <c r="AP30" s="1125"/>
      <c r="AQ30" s="525">
        <v>5</v>
      </c>
      <c r="AR30" s="655">
        <v>5</v>
      </c>
      <c r="AS30" s="857" t="str">
        <f>+R33</f>
        <v>Michel</v>
      </c>
      <c r="AT30" s="437">
        <v>0</v>
      </c>
      <c r="AU30" s="655">
        <f>+AT29</f>
        <v>1</v>
      </c>
      <c r="AV30" s="565">
        <f>IF(AT29+AT30=0,0,IF(AT29=AT30,2,IF(AT29&lt;AT30,3,1)))</f>
        <v>1</v>
      </c>
      <c r="AW30" s="611"/>
      <c r="AX30" s="611"/>
      <c r="AY30" s="1126"/>
      <c r="AZ30" s="773"/>
      <c r="BA30" s="525">
        <v>4</v>
      </c>
      <c r="BB30" s="655">
        <f>+BA29</f>
        <v>1</v>
      </c>
      <c r="BC30" s="840" t="str">
        <f>+R32</f>
        <v>André</v>
      </c>
      <c r="BD30" s="841"/>
      <c r="BE30" s="842"/>
      <c r="BF30" s="348">
        <v>1</v>
      </c>
      <c r="BG30" s="655">
        <f>+BF29</f>
        <v>1</v>
      </c>
      <c r="BH30" s="565">
        <f>IF(BF29+BF30=0,0,IF(BF29=BF30,2,IF(BF29&lt;BF30,3,1)))</f>
        <v>2</v>
      </c>
      <c r="BI30" s="611"/>
      <c r="BJ30" s="599">
        <v>2</v>
      </c>
      <c r="BK30" s="830" t="str">
        <f t="shared" si="0"/>
        <v>Marcel</v>
      </c>
      <c r="BL30" s="861"/>
      <c r="BM30" s="806">
        <f t="shared" ref="BM30:BM34" si="13">IF(ISNA(VLOOKUP(BK30,$R$29:$S$34,2,0)),"",VLOOKUP(BK30,$R$29:$S$34,2,0))</f>
        <v>0</v>
      </c>
      <c r="BN30" s="806">
        <f t="shared" ref="BN30:BN34" si="14">IF(ISNA(VLOOKUP(BK30,$Z$29:$AB$34,3,0)),"",VLOOKUP(BK30,$Z$29:$AB$34,3,0))</f>
        <v>1</v>
      </c>
      <c r="BO30" s="806">
        <f t="shared" ref="BO30:BO34" si="15">IF(ISNA(VLOOKUP(BK30,$AJ$29:$AL$34,3,0)),"",VLOOKUP(BK30,$AJ$29:$AL$34,3,0))</f>
        <v>1</v>
      </c>
      <c r="BP30" s="806">
        <f t="shared" ref="BP30:BP34" si="16">IF(ISNA(VLOOKUP(BK30,$AS$29:$AT$34,2,0)),"",VLOOKUP(BK30,$AS$29:$AT$34,2,0))</f>
        <v>1</v>
      </c>
      <c r="BQ30" s="873">
        <f t="shared" si="1"/>
        <v>1</v>
      </c>
      <c r="BR30" s="573">
        <f ca="1">SUMIF(BM30:BQ30,"&lt;&gt;#N/A",BM30:BP30)</f>
        <v>4</v>
      </c>
      <c r="BS30" s="510"/>
      <c r="BT30" s="570">
        <f t="shared" ref="BT30:BT34" si="17">IF(ISNA(VLOOKUP(BK30,$R$29:$T$34,3,0)),"",VLOOKUP(BK30,$R$29:$T$34,3,0))</f>
        <v>1</v>
      </c>
      <c r="BU30" s="806">
        <f t="shared" ref="BU30:BU34" si="18">IF(ISNA(VLOOKUP(BK30,$Z$29:$AC$34,4,0)),"",VLOOKUP(BK30,$Z$29:$AC$34,4,0))</f>
        <v>0</v>
      </c>
      <c r="BV30" s="806">
        <f t="shared" ref="BV30:BV34" si="19">IF(ISNA(VLOOKUP(BK30,$AJ$29:$AM$34,4,0)),"",VLOOKUP(BK30,$AJ$29:$AM$34,4,0))</f>
        <v>0</v>
      </c>
      <c r="BW30" s="806">
        <f t="shared" ref="BW30:BW34" si="20">IF(ISNA(VLOOKUP(BK30,$AS$29:$AU$34,3,0)),"",VLOOKUP(BK30,$AS$29:$AU$34,3,0))</f>
        <v>0</v>
      </c>
      <c r="BX30" s="873">
        <f t="shared" si="2"/>
        <v>0</v>
      </c>
      <c r="BY30" s="578">
        <f t="shared" ref="BY30:BY34" ca="1" si="21">SUMIF(BT30:BX30,"&lt;&gt;#N/A",BT30:BW30)</f>
        <v>1</v>
      </c>
      <c r="BZ30" s="573">
        <f t="shared" ca="1" si="3"/>
        <v>3</v>
      </c>
      <c r="CA30" s="524"/>
      <c r="CB30" s="574" t="str">
        <f t="shared" si="4"/>
        <v>D</v>
      </c>
      <c r="CC30" s="575" t="str">
        <f t="shared" si="4"/>
        <v>V</v>
      </c>
      <c r="CD30" s="614" t="str">
        <f t="shared" si="4"/>
        <v>V</v>
      </c>
      <c r="CE30" s="581" t="str">
        <f t="shared" si="4"/>
        <v>V</v>
      </c>
      <c r="CF30" s="576" t="str">
        <f t="shared" si="4"/>
        <v>V</v>
      </c>
      <c r="CG30" s="611"/>
      <c r="CH30" s="818">
        <f t="shared" si="5"/>
        <v>13</v>
      </c>
      <c r="CI30" s="747">
        <f t="shared" ca="1" si="6"/>
        <v>1.9699500299999999</v>
      </c>
      <c r="CJ30" s="524">
        <f ca="1">IF(BK30="","",SMALL($CI$29:$CI$34,ROWS(CH$29:CH30)))</f>
        <v>1.9699500299999999</v>
      </c>
      <c r="CK30"/>
      <c r="CL30" s="867">
        <f ca="1">IF(CJ30="","",IF(AND(CP29=CP30,CQ29=CQ30,CR29=CR30,CS29=CS30),CL29,$CL$46+1))</f>
        <v>2</v>
      </c>
      <c r="CM30" s="811">
        <f t="shared" ca="1" si="7"/>
        <v>2</v>
      </c>
      <c r="CN30" s="806" t="str">
        <f t="shared" ca="1" si="8"/>
        <v>Marcel</v>
      </c>
      <c r="CO30" s="914" t="str">
        <f t="shared" ca="1" si="9"/>
        <v/>
      </c>
      <c r="CP30" s="915">
        <f t="shared" ref="CP30:CP34" ca="1" si="22">IF(OR(CH30="",BU30="",CB30=""),"",INDEX($CH$29:$CH$34,MATCH(CJ30,$CI$29:$CI$34,0)))</f>
        <v>13</v>
      </c>
      <c r="CQ30" s="662">
        <f t="shared" ca="1" si="10"/>
        <v>3</v>
      </c>
      <c r="CR30" s="868">
        <f t="shared" ca="1" si="11"/>
        <v>4</v>
      </c>
      <c r="CS30" s="868">
        <f t="shared" ca="1" si="12"/>
        <v>1</v>
      </c>
    </row>
    <row r="31" spans="1:99" ht="24.95" customHeight="1" thickBot="1">
      <c r="A31" s="922" t="s">
        <v>61</v>
      </c>
      <c r="B31" s="924"/>
      <c r="C31" s="924"/>
      <c r="D31" s="923"/>
      <c r="E31" s="266">
        <v>5</v>
      </c>
      <c r="G31" s="35">
        <v>3</v>
      </c>
      <c r="H31" s="31"/>
      <c r="I31" s="1182" t="s">
        <v>211</v>
      </c>
      <c r="J31" s="1183"/>
      <c r="K31" s="1184"/>
      <c r="L31" s="86"/>
      <c r="M31" s="32">
        <v>3</v>
      </c>
      <c r="N31"/>
      <c r="O31" s="1124">
        <v>3</v>
      </c>
      <c r="P31" s="600">
        <v>3</v>
      </c>
      <c r="Q31" s="798">
        <f>+P32</f>
        <v>4</v>
      </c>
      <c r="R31" s="85" t="str">
        <f>IF(ISNA(MATCH(P31,M31:M35,0)),"",INDEX(I31:I35,MATCH(P31,M31:M35,0)))</f>
        <v>Marc</v>
      </c>
      <c r="S31" s="347">
        <v>1</v>
      </c>
      <c r="T31" s="667">
        <f>+S32</f>
        <v>0</v>
      </c>
      <c r="U31" s="537">
        <f>IF(S31+S32=0,0,IF(S31=S32,2,IF(S31&gt;S32,3,1)))</f>
        <v>3</v>
      </c>
      <c r="V31" s="589"/>
      <c r="W31" s="1126">
        <v>4</v>
      </c>
      <c r="X31" s="586">
        <v>2</v>
      </c>
      <c r="Y31" s="799">
        <f>+X32</f>
        <v>5</v>
      </c>
      <c r="Z31" s="1221" t="str">
        <f>+R30</f>
        <v>Marcel</v>
      </c>
      <c r="AA31" s="1222"/>
      <c r="AB31" s="347">
        <v>1</v>
      </c>
      <c r="AC31" s="667">
        <f>+AB32</f>
        <v>0</v>
      </c>
      <c r="AD31" s="537">
        <f>IF(AB31+AB32=0,0,IF(AB31=AB32,2,IF(AB31&gt;AB32,3,1)))</f>
        <v>3</v>
      </c>
      <c r="AE31" s="645"/>
      <c r="AF31" s="1126">
        <v>5</v>
      </c>
      <c r="AG31" s="1124">
        <v>5</v>
      </c>
      <c r="AH31" s="538">
        <v>2</v>
      </c>
      <c r="AI31" s="800">
        <v>2</v>
      </c>
      <c r="AJ31" s="1223" t="str">
        <f>+R30</f>
        <v>Marcel</v>
      </c>
      <c r="AK31" s="1222"/>
      <c r="AL31" s="347">
        <v>1</v>
      </c>
      <c r="AM31" s="667">
        <f>+AL32</f>
        <v>0</v>
      </c>
      <c r="AN31" s="537">
        <f>IF(AL31+AL32=0,0,IF(AL31=AL32,2,IF(AL31&gt;AL32,3,1)))</f>
        <v>3</v>
      </c>
      <c r="AO31" s="645"/>
      <c r="AP31" s="1124">
        <v>6</v>
      </c>
      <c r="AQ31" s="538">
        <v>2</v>
      </c>
      <c r="AR31" s="798">
        <v>2</v>
      </c>
      <c r="AS31" s="838" t="str">
        <f>+R30</f>
        <v>Marcel</v>
      </c>
      <c r="AT31" s="436">
        <v>1</v>
      </c>
      <c r="AU31" s="800">
        <f>+AT32</f>
        <v>0</v>
      </c>
      <c r="AV31" s="537">
        <f>IF(AT31+AT32=0,0,IF(AT31=AT32,2,IF(AT31&gt;AT32,3,1)))</f>
        <v>3</v>
      </c>
      <c r="AW31" s="543"/>
      <c r="AX31" s="543"/>
      <c r="AY31" s="1124">
        <v>7</v>
      </c>
      <c r="AZ31" s="771"/>
      <c r="BA31" s="538">
        <v>2</v>
      </c>
      <c r="BB31" s="798">
        <f>+BA32</f>
        <v>6</v>
      </c>
      <c r="BC31" s="838" t="str">
        <f>+R30</f>
        <v>Marcel</v>
      </c>
      <c r="BD31" s="839"/>
      <c r="BE31" s="835"/>
      <c r="BF31" s="347">
        <v>1</v>
      </c>
      <c r="BG31" s="667">
        <f>+BF32</f>
        <v>0</v>
      </c>
      <c r="BH31" s="537">
        <f>IF(BF31+BF32=0,0,IF(BF31=BF32,2,IF(BF31&gt;BF32,3,1)))</f>
        <v>3</v>
      </c>
      <c r="BI31" s="543"/>
      <c r="BJ31" s="599">
        <v>3</v>
      </c>
      <c r="BK31" s="830" t="str">
        <f t="shared" si="0"/>
        <v>Marc</v>
      </c>
      <c r="BL31" s="861"/>
      <c r="BM31" s="806">
        <f t="shared" si="13"/>
        <v>1</v>
      </c>
      <c r="BN31" s="806">
        <f t="shared" si="14"/>
        <v>0</v>
      </c>
      <c r="BO31" s="806">
        <f t="shared" si="15"/>
        <v>0</v>
      </c>
      <c r="BP31" s="806">
        <f t="shared" si="16"/>
        <v>0</v>
      </c>
      <c r="BQ31" s="873">
        <f t="shared" si="1"/>
        <v>1</v>
      </c>
      <c r="BR31" s="573">
        <f ca="1">SUMIF(BM31:BQ31,"&lt;&gt;#N/A",BM31:BP31)</f>
        <v>2</v>
      </c>
      <c r="BS31" s="510"/>
      <c r="BT31" s="570">
        <f t="shared" si="17"/>
        <v>0</v>
      </c>
      <c r="BU31" s="806">
        <f t="shared" si="18"/>
        <v>1</v>
      </c>
      <c r="BV31" s="806">
        <f t="shared" si="19"/>
        <v>1</v>
      </c>
      <c r="BW31" s="806">
        <f t="shared" si="20"/>
        <v>1</v>
      </c>
      <c r="BX31" s="873">
        <f t="shared" si="2"/>
        <v>0</v>
      </c>
      <c r="BY31" s="578">
        <f t="shared" ca="1" si="21"/>
        <v>3</v>
      </c>
      <c r="BZ31" s="573">
        <f t="shared" ca="1" si="3"/>
        <v>-1</v>
      </c>
      <c r="CA31" s="524"/>
      <c r="CB31" s="574" t="str">
        <f t="shared" si="4"/>
        <v>V</v>
      </c>
      <c r="CC31" s="614" t="str">
        <f t="shared" si="4"/>
        <v>D</v>
      </c>
      <c r="CD31" s="575" t="str">
        <f t="shared" si="4"/>
        <v>D</v>
      </c>
      <c r="CE31" s="581" t="str">
        <f t="shared" si="4"/>
        <v>D</v>
      </c>
      <c r="CF31" s="576" t="str">
        <f t="shared" si="4"/>
        <v>V</v>
      </c>
      <c r="CG31" s="611"/>
      <c r="CH31" s="818">
        <f t="shared" si="5"/>
        <v>9</v>
      </c>
      <c r="CI31" s="747">
        <f t="shared" ca="1" si="6"/>
        <v>3.0099500309999994</v>
      </c>
      <c r="CJ31" s="524">
        <f ca="1">IF(BK31="","",SMALL($CI$29:$CI$34,ROWS(CH$29:CH31)))</f>
        <v>2.9999400329999997</v>
      </c>
      <c r="CK31"/>
      <c r="CL31" s="867">
        <f ca="1">IF(CJ31="","",IF(AND(CP30=CP31,CQ30=CQ31,CR30=CR31,CS30=CS31),CL30,$CL$46+2))</f>
        <v>3</v>
      </c>
      <c r="CM31" s="811">
        <f t="shared" ca="1" si="7"/>
        <v>5</v>
      </c>
      <c r="CN31" s="806" t="str">
        <f t="shared" ca="1" si="8"/>
        <v>Michel</v>
      </c>
      <c r="CO31" s="914" t="str">
        <f t="shared" ca="1" si="9"/>
        <v/>
      </c>
      <c r="CP31" s="915">
        <f t="shared" ca="1" si="22"/>
        <v>9</v>
      </c>
      <c r="CQ31" s="662">
        <f t="shared" ca="1" si="10"/>
        <v>0</v>
      </c>
      <c r="CR31" s="868">
        <f t="shared" ca="1" si="11"/>
        <v>3</v>
      </c>
      <c r="CS31" s="868">
        <f t="shared" ca="1" si="12"/>
        <v>3</v>
      </c>
    </row>
    <row r="32" spans="1:99" ht="24.95" customHeight="1" thickBot="1">
      <c r="A32" s="922" t="s">
        <v>73</v>
      </c>
      <c r="B32" s="924"/>
      <c r="C32" s="924"/>
      <c r="D32" s="923"/>
      <c r="E32" s="268">
        <v>4</v>
      </c>
      <c r="G32" s="36">
        <v>4</v>
      </c>
      <c r="H32" s="31"/>
      <c r="I32" s="1182" t="s">
        <v>210</v>
      </c>
      <c r="J32" s="1183"/>
      <c r="K32" s="1184"/>
      <c r="L32" s="86"/>
      <c r="M32" s="32">
        <v>4</v>
      </c>
      <c r="N32"/>
      <c r="O32" s="1125"/>
      <c r="P32" s="827">
        <v>4</v>
      </c>
      <c r="Q32" s="656">
        <f>+P31</f>
        <v>3</v>
      </c>
      <c r="R32" s="88" t="str">
        <f>IF(ISNA(MATCH(P32,M31:M35,0)),"",INDEX(I31:I35,MATCH(P32,M31:M35,0)))</f>
        <v>André</v>
      </c>
      <c r="S32" s="348">
        <v>0</v>
      </c>
      <c r="T32" s="606">
        <f>+S31</f>
        <v>1</v>
      </c>
      <c r="U32" s="561">
        <f>IF(S31+S32=0,0,IF(S31=S32,2,IF(S31&lt;S32,3,1)))</f>
        <v>1</v>
      </c>
      <c r="V32" s="564"/>
      <c r="W32" s="1126"/>
      <c r="X32" s="525">
        <v>5</v>
      </c>
      <c r="Y32" s="655">
        <f>+X31</f>
        <v>2</v>
      </c>
      <c r="Z32" s="1188" t="str">
        <f>+R33</f>
        <v>Michel</v>
      </c>
      <c r="AA32" s="1189"/>
      <c r="AB32" s="348">
        <v>0</v>
      </c>
      <c r="AC32" s="607">
        <f>+AB31</f>
        <v>1</v>
      </c>
      <c r="AD32" s="561">
        <f>IF(AB31+AB32=0,0,IF(AB31=AB32,2,IF(AB31&lt;AB32,3,1)))</f>
        <v>1</v>
      </c>
      <c r="AE32" s="643"/>
      <c r="AF32" s="1126"/>
      <c r="AG32" s="1126"/>
      <c r="AH32" s="525">
        <v>3</v>
      </c>
      <c r="AI32" s="816">
        <v>3</v>
      </c>
      <c r="AJ32" s="1190" t="str">
        <f>+R31</f>
        <v>Marc</v>
      </c>
      <c r="AK32" s="1191"/>
      <c r="AL32" s="388">
        <v>0</v>
      </c>
      <c r="AM32" s="606">
        <f>+AL31</f>
        <v>1</v>
      </c>
      <c r="AN32" s="565">
        <f>IF(AL31+AL32=0,0,IF(AL31=AL32,2,IF(AL31&lt;AL32,3,1)))</f>
        <v>1</v>
      </c>
      <c r="AO32" s="643"/>
      <c r="AP32" s="1125"/>
      <c r="AQ32" s="827">
        <v>4</v>
      </c>
      <c r="AR32" s="656">
        <v>6</v>
      </c>
      <c r="AS32" s="844" t="str">
        <f>+R32</f>
        <v>André</v>
      </c>
      <c r="AT32" s="437">
        <v>0</v>
      </c>
      <c r="AU32" s="656">
        <f>+AT31</f>
        <v>1</v>
      </c>
      <c r="AV32" s="561">
        <f>IF(AT31+AT32=0,0,IF(AT31=AT32,2,IF(AT31&lt;AT32,3,1)))</f>
        <v>1</v>
      </c>
      <c r="AW32" s="611"/>
      <c r="AX32" s="611"/>
      <c r="AY32" s="1125"/>
      <c r="AZ32" s="772"/>
      <c r="BA32" s="827">
        <v>6</v>
      </c>
      <c r="BB32" s="656">
        <f>+BA31</f>
        <v>2</v>
      </c>
      <c r="BC32" s="840" t="str">
        <f>+R34</f>
        <v>Guy</v>
      </c>
      <c r="BD32" s="841"/>
      <c r="BE32" s="842"/>
      <c r="BF32" s="348">
        <v>0</v>
      </c>
      <c r="BG32" s="656">
        <f>+BF31</f>
        <v>1</v>
      </c>
      <c r="BH32" s="561">
        <f>IF(BF31+BF32=0,0,IF(BF31=BF32,2,IF(BF31&lt;BF32,3,1)))</f>
        <v>1</v>
      </c>
      <c r="BI32" s="611"/>
      <c r="BJ32" s="601">
        <v>4</v>
      </c>
      <c r="BK32" s="830" t="str">
        <f t="shared" si="0"/>
        <v>André</v>
      </c>
      <c r="BL32" s="861"/>
      <c r="BM32" s="806">
        <f t="shared" si="13"/>
        <v>0</v>
      </c>
      <c r="BN32" s="806">
        <f t="shared" si="14"/>
        <v>0</v>
      </c>
      <c r="BO32" s="806">
        <f t="shared" si="15"/>
        <v>0</v>
      </c>
      <c r="BP32" s="806">
        <f t="shared" si="16"/>
        <v>0</v>
      </c>
      <c r="BQ32" s="873">
        <f t="shared" si="1"/>
        <v>1</v>
      </c>
      <c r="BR32" s="573">
        <f ca="1">SUMIF(BM32:BQ32,"&lt;&gt;#N/A",BM32:BP32)</f>
        <v>1</v>
      </c>
      <c r="BS32" s="510"/>
      <c r="BT32" s="570">
        <f t="shared" si="17"/>
        <v>1</v>
      </c>
      <c r="BU32" s="806">
        <f t="shared" si="18"/>
        <v>1</v>
      </c>
      <c r="BV32" s="806">
        <f t="shared" si="19"/>
        <v>1</v>
      </c>
      <c r="BW32" s="806">
        <f t="shared" si="20"/>
        <v>1</v>
      </c>
      <c r="BX32" s="873">
        <f t="shared" si="2"/>
        <v>1</v>
      </c>
      <c r="BY32" s="578">
        <f t="shared" ca="1" si="21"/>
        <v>5</v>
      </c>
      <c r="BZ32" s="573">
        <f t="shared" ca="1" si="3"/>
        <v>-4</v>
      </c>
      <c r="CA32" s="524"/>
      <c r="CB32" s="574" t="str">
        <f t="shared" si="4"/>
        <v>D</v>
      </c>
      <c r="CC32" s="575" t="str">
        <f t="shared" si="4"/>
        <v>D</v>
      </c>
      <c r="CD32" s="575" t="str">
        <f t="shared" si="4"/>
        <v>D</v>
      </c>
      <c r="CE32" s="615" t="str">
        <f t="shared" si="4"/>
        <v>D</v>
      </c>
      <c r="CF32" s="576" t="str">
        <f t="shared" si="4"/>
        <v>N</v>
      </c>
      <c r="CG32" s="611"/>
      <c r="CH32" s="818">
        <f t="shared" si="5"/>
        <v>6</v>
      </c>
      <c r="CI32" s="747">
        <f t="shared" ca="1" si="6"/>
        <v>6.0399400320000005</v>
      </c>
      <c r="CJ32" s="524">
        <f ca="1">IF(BK32="","",SMALL($CI$29:$CI$34,ROWS(CH$29:CH32)))</f>
        <v>3.0099500309999994</v>
      </c>
      <c r="CK32"/>
      <c r="CL32" s="867">
        <f ca="1">IF(CJ32="","",IF(AND(CP31=CP32,CQ31=CQ32,CR31=CR32,CS31=CS32),CL31,$CL$46+3))</f>
        <v>4</v>
      </c>
      <c r="CM32" s="811">
        <f t="shared" ca="1" si="7"/>
        <v>3</v>
      </c>
      <c r="CN32" s="806" t="str">
        <f t="shared" ca="1" si="8"/>
        <v>Marc</v>
      </c>
      <c r="CO32" s="914" t="str">
        <f t="shared" ca="1" si="9"/>
        <v/>
      </c>
      <c r="CP32" s="915">
        <f t="shared" ca="1" si="22"/>
        <v>9</v>
      </c>
      <c r="CQ32" s="662">
        <f t="shared" ca="1" si="10"/>
        <v>-1</v>
      </c>
      <c r="CR32" s="868">
        <f t="shared" ca="1" si="11"/>
        <v>2</v>
      </c>
      <c r="CS32" s="868">
        <f t="shared" ca="1" si="12"/>
        <v>3</v>
      </c>
    </row>
    <row r="33" spans="1:99" ht="24.95" customHeight="1">
      <c r="A33" s="110"/>
      <c r="B33" s="110"/>
      <c r="C33" s="155"/>
      <c r="D33" s="156"/>
      <c r="E33" s="139"/>
      <c r="F33" s="42"/>
      <c r="G33" s="35">
        <v>5</v>
      </c>
      <c r="H33" s="31"/>
      <c r="I33" s="1182" t="s">
        <v>212</v>
      </c>
      <c r="J33" s="1183"/>
      <c r="K33" s="1184"/>
      <c r="L33" s="86"/>
      <c r="M33" s="32">
        <v>5</v>
      </c>
      <c r="N33"/>
      <c r="O33" s="1124">
        <v>5</v>
      </c>
      <c r="P33" s="600">
        <v>5</v>
      </c>
      <c r="Q33" s="798">
        <f>+P34</f>
        <v>6</v>
      </c>
      <c r="R33" s="85" t="str">
        <f>IF(ISNA(MATCH(P33,M33:M37,0)),"",INDEX(I33:I37,MATCH(P33,M33:M37,0)))</f>
        <v>Michel</v>
      </c>
      <c r="S33" s="347">
        <v>2</v>
      </c>
      <c r="T33" s="667">
        <f>+S34</f>
        <v>0</v>
      </c>
      <c r="U33" s="585">
        <f>IF(S33+S34=0,0,IF(S33=S34,2,IF(S33&gt;S34,3,1)))</f>
        <v>3</v>
      </c>
      <c r="V33" s="589"/>
      <c r="W33" s="1219">
        <v>6</v>
      </c>
      <c r="X33" s="538">
        <v>6</v>
      </c>
      <c r="Y33" s="798">
        <f>+X34</f>
        <v>4</v>
      </c>
      <c r="Z33" s="1221" t="str">
        <f>+R34</f>
        <v>Guy</v>
      </c>
      <c r="AA33" s="1222"/>
      <c r="AB33" s="347">
        <v>1</v>
      </c>
      <c r="AC33" s="667">
        <f>+AB34</f>
        <v>0</v>
      </c>
      <c r="AD33" s="537">
        <f>IF(AB33+AB34=0,0,IF(AB33=AB34,2,IF(AB33&gt;AB34,3,1)))</f>
        <v>3</v>
      </c>
      <c r="AE33" s="645"/>
      <c r="AF33" s="1124">
        <v>7</v>
      </c>
      <c r="AG33" s="1124">
        <v>5</v>
      </c>
      <c r="AH33" s="538">
        <v>5</v>
      </c>
      <c r="AI33" s="800">
        <v>5</v>
      </c>
      <c r="AJ33" s="1223" t="str">
        <f>+R33</f>
        <v>Michel</v>
      </c>
      <c r="AK33" s="1222"/>
      <c r="AL33" s="347">
        <v>1</v>
      </c>
      <c r="AM33" s="667">
        <f>+AL34</f>
        <v>0</v>
      </c>
      <c r="AN33" s="537">
        <f>IF(AL33+AL34=0,0,IF(AL33=AL34,2,IF(AL33&gt;AL34,3,1)))</f>
        <v>3</v>
      </c>
      <c r="AO33" s="645"/>
      <c r="AP33" s="1124">
        <v>8</v>
      </c>
      <c r="AQ33" s="538">
        <v>6</v>
      </c>
      <c r="AR33" s="798">
        <v>3</v>
      </c>
      <c r="AS33" s="838" t="str">
        <f>+R34</f>
        <v>Guy</v>
      </c>
      <c r="AT33" s="436">
        <v>1</v>
      </c>
      <c r="AU33" s="800">
        <f>+AT34</f>
        <v>0</v>
      </c>
      <c r="AV33" s="537">
        <f>IF(AT33+AT34=0,0,IF(AT33=AT34,2,IF(AT33&gt;AT34,3,1)))</f>
        <v>3</v>
      </c>
      <c r="AW33" s="543"/>
      <c r="AX33" s="543"/>
      <c r="AY33" s="1124">
        <v>7</v>
      </c>
      <c r="AZ33" s="771"/>
      <c r="BA33" s="538">
        <v>3</v>
      </c>
      <c r="BB33" s="798">
        <f>+BA34</f>
        <v>5</v>
      </c>
      <c r="BC33" s="838" t="str">
        <f>+R31</f>
        <v>Marc</v>
      </c>
      <c r="BD33" s="839"/>
      <c r="BE33" s="835"/>
      <c r="BF33" s="347">
        <v>1</v>
      </c>
      <c r="BG33" s="667">
        <f>+BF34</f>
        <v>0</v>
      </c>
      <c r="BH33" s="537">
        <f>IF(BF33+BF34=0,0,IF(BF33=BF34,2,IF(BF33&gt;BF34,3,1)))</f>
        <v>3</v>
      </c>
      <c r="BI33" s="543"/>
      <c r="BJ33" s="601">
        <v>5</v>
      </c>
      <c r="BK33" s="830" t="str">
        <f t="shared" si="0"/>
        <v>Michel</v>
      </c>
      <c r="BL33" s="861"/>
      <c r="BM33" s="806">
        <f t="shared" si="13"/>
        <v>2</v>
      </c>
      <c r="BN33" s="806">
        <f t="shared" si="14"/>
        <v>0</v>
      </c>
      <c r="BO33" s="806">
        <f t="shared" si="15"/>
        <v>1</v>
      </c>
      <c r="BP33" s="806">
        <f t="shared" si="16"/>
        <v>0</v>
      </c>
      <c r="BQ33" s="873">
        <f t="shared" si="1"/>
        <v>0</v>
      </c>
      <c r="BR33" s="573">
        <f ca="1">SUMIF(BM33:BQ33,"&lt;&gt;#N/A",BM33:BP33)</f>
        <v>3</v>
      </c>
      <c r="BS33" s="510"/>
      <c r="BT33" s="570">
        <f t="shared" si="17"/>
        <v>0</v>
      </c>
      <c r="BU33" s="806">
        <f t="shared" si="18"/>
        <v>1</v>
      </c>
      <c r="BV33" s="806">
        <f t="shared" si="19"/>
        <v>0</v>
      </c>
      <c r="BW33" s="806">
        <f t="shared" si="20"/>
        <v>1</v>
      </c>
      <c r="BX33" s="873">
        <f t="shared" si="2"/>
        <v>1</v>
      </c>
      <c r="BY33" s="578">
        <f t="shared" ca="1" si="21"/>
        <v>3</v>
      </c>
      <c r="BZ33" s="573">
        <f t="shared" ca="1" si="3"/>
        <v>0</v>
      </c>
      <c r="CA33" s="524"/>
      <c r="CB33" s="616" t="str">
        <f t="shared" si="4"/>
        <v>V</v>
      </c>
      <c r="CC33" s="575" t="str">
        <f t="shared" si="4"/>
        <v>D</v>
      </c>
      <c r="CD33" s="575" t="str">
        <f t="shared" si="4"/>
        <v>V</v>
      </c>
      <c r="CE33" s="581" t="str">
        <f t="shared" si="4"/>
        <v>D</v>
      </c>
      <c r="CF33" s="576" t="str">
        <f t="shared" si="4"/>
        <v>D</v>
      </c>
      <c r="CG33" s="611"/>
      <c r="CH33" s="818">
        <f t="shared" si="5"/>
        <v>9</v>
      </c>
      <c r="CI33" s="747">
        <f t="shared" ca="1" si="6"/>
        <v>2.9999400329999997</v>
      </c>
      <c r="CJ33" s="524">
        <f ca="1">IF(BK33="","",SMALL($CI$29:$CI$34,ROWS(CH$29:CH33)))</f>
        <v>3.0199400340000002</v>
      </c>
      <c r="CK33"/>
      <c r="CL33" s="867">
        <f ca="1">IF(CJ33="","",IF(AND(CP32=CP33,CQ32=CQ33,CR32=CR33,CS32=CS33),CL32,$CL$46+4))</f>
        <v>5</v>
      </c>
      <c r="CM33" s="811">
        <f t="shared" ca="1" si="7"/>
        <v>6</v>
      </c>
      <c r="CN33" s="806" t="str">
        <f t="shared" ca="1" si="8"/>
        <v>Guy</v>
      </c>
      <c r="CO33" s="914" t="str">
        <f t="shared" ca="1" si="9"/>
        <v/>
      </c>
      <c r="CP33" s="915">
        <f t="shared" ca="1" si="22"/>
        <v>9</v>
      </c>
      <c r="CQ33" s="662">
        <f t="shared" ca="1" si="10"/>
        <v>-2</v>
      </c>
      <c r="CR33" s="868">
        <f t="shared" ca="1" si="11"/>
        <v>2</v>
      </c>
      <c r="CS33" s="868">
        <f t="shared" ca="1" si="12"/>
        <v>4</v>
      </c>
    </row>
    <row r="34" spans="1:99" ht="24.95" customHeight="1" thickBot="1">
      <c r="A34" s="42"/>
      <c r="B34" s="1105" t="s">
        <v>84</v>
      </c>
      <c r="C34" s="1105"/>
      <c r="D34" s="1105"/>
      <c r="E34" s="42"/>
      <c r="F34" s="42"/>
      <c r="G34" s="901">
        <v>6</v>
      </c>
      <c r="H34" s="902"/>
      <c r="I34" s="1205" t="s">
        <v>213</v>
      </c>
      <c r="J34" s="1206"/>
      <c r="K34" s="1207"/>
      <c r="L34" s="903"/>
      <c r="M34" s="904">
        <v>6</v>
      </c>
      <c r="N34"/>
      <c r="O34" s="1125"/>
      <c r="P34" s="827">
        <v>6</v>
      </c>
      <c r="Q34" s="656">
        <f>+P33</f>
        <v>5</v>
      </c>
      <c r="R34" s="88" t="str">
        <f>IF(ISNA(MATCH(P34,M33:M37,0)),"",INDEX(I33:I37,MATCH(P34,M33:M37,0)))</f>
        <v>Guy</v>
      </c>
      <c r="S34" s="348">
        <v>0</v>
      </c>
      <c r="T34" s="607">
        <f>+S33</f>
        <v>2</v>
      </c>
      <c r="U34" s="561">
        <f>IF(S33+S34=0,0,IF(S33=S34,2,IF(S33&lt;S34,3,1)))</f>
        <v>1</v>
      </c>
      <c r="V34" s="611"/>
      <c r="W34" s="1220"/>
      <c r="X34" s="827">
        <v>4</v>
      </c>
      <c r="Y34" s="656">
        <f>+X33</f>
        <v>6</v>
      </c>
      <c r="Z34" s="1188" t="str">
        <f>+R32</f>
        <v>André</v>
      </c>
      <c r="AA34" s="1189"/>
      <c r="AB34" s="348">
        <v>0</v>
      </c>
      <c r="AC34" s="607">
        <f>+AB33</f>
        <v>1</v>
      </c>
      <c r="AD34" s="561">
        <f>IF(AB33+AB34=0,0,IF(AB33=AB34,2,IF(AB33&lt;AB34,3,1)))</f>
        <v>1</v>
      </c>
      <c r="AE34" s="641"/>
      <c r="AF34" s="1125"/>
      <c r="AG34" s="1125"/>
      <c r="AH34" s="827">
        <v>4</v>
      </c>
      <c r="AI34" s="801">
        <v>4</v>
      </c>
      <c r="AJ34" s="1208" t="str">
        <f>+R32</f>
        <v>André</v>
      </c>
      <c r="AK34" s="1189"/>
      <c r="AL34" s="348">
        <v>0</v>
      </c>
      <c r="AM34" s="607">
        <f>+AL33</f>
        <v>1</v>
      </c>
      <c r="AN34" s="561">
        <f>IF(AL33+AL34=0,0,IF(AL33=AL34,2,IF(AL33&lt;AL34,3,1)))</f>
        <v>1</v>
      </c>
      <c r="AO34" s="641"/>
      <c r="AP34" s="1125"/>
      <c r="AQ34" s="827">
        <v>3</v>
      </c>
      <c r="AR34" s="656">
        <v>7</v>
      </c>
      <c r="AS34" s="844" t="str">
        <f>+R31</f>
        <v>Marc</v>
      </c>
      <c r="AT34" s="437">
        <v>0</v>
      </c>
      <c r="AU34" s="656">
        <f>+AT33</f>
        <v>1</v>
      </c>
      <c r="AV34" s="561">
        <f>IF(AT33+AT34=0,0,IF(AT33=AT34,2,IF(AT33&lt;AT34,3,1)))</f>
        <v>1</v>
      </c>
      <c r="AW34" s="543"/>
      <c r="AX34" s="543"/>
      <c r="AY34" s="1125"/>
      <c r="AZ34" s="772"/>
      <c r="BA34" s="827">
        <v>5</v>
      </c>
      <c r="BB34" s="656">
        <f>+BA33</f>
        <v>3</v>
      </c>
      <c r="BC34" s="840" t="str">
        <f>+R33</f>
        <v>Michel</v>
      </c>
      <c r="BD34" s="841"/>
      <c r="BE34" s="842"/>
      <c r="BF34" s="348">
        <v>0</v>
      </c>
      <c r="BG34" s="656">
        <f>+BF33</f>
        <v>1</v>
      </c>
      <c r="BH34" s="561">
        <f>IF(BF33+BF34=0,0,IF(BF33=BF34,2,IF(BF33&lt;BF34,3,1)))</f>
        <v>1</v>
      </c>
      <c r="BI34" s="611"/>
      <c r="BJ34" s="908">
        <v>6</v>
      </c>
      <c r="BK34" s="909" t="str">
        <f t="shared" si="0"/>
        <v>Guy</v>
      </c>
      <c r="BL34" s="910"/>
      <c r="BM34" s="876">
        <f t="shared" si="13"/>
        <v>0</v>
      </c>
      <c r="BN34" s="876">
        <f t="shared" si="14"/>
        <v>1</v>
      </c>
      <c r="BO34" s="876">
        <f t="shared" si="15"/>
        <v>0</v>
      </c>
      <c r="BP34" s="876">
        <f t="shared" si="16"/>
        <v>1</v>
      </c>
      <c r="BQ34" s="877">
        <f t="shared" si="1"/>
        <v>0</v>
      </c>
      <c r="BR34" s="859">
        <f t="shared" ref="BR34" ca="1" si="23">SUMIF(BM34:BQ34,"&lt;&gt;#N/A",BM34:BP34)</f>
        <v>2</v>
      </c>
      <c r="BS34" s="510"/>
      <c r="BT34" s="604">
        <f t="shared" si="17"/>
        <v>2</v>
      </c>
      <c r="BU34" s="876">
        <f t="shared" si="18"/>
        <v>0</v>
      </c>
      <c r="BV34" s="876">
        <f t="shared" si="19"/>
        <v>1</v>
      </c>
      <c r="BW34" s="876">
        <f t="shared" si="20"/>
        <v>0</v>
      </c>
      <c r="BX34" s="877">
        <f t="shared" si="2"/>
        <v>1</v>
      </c>
      <c r="BY34" s="917">
        <f t="shared" ca="1" si="21"/>
        <v>4</v>
      </c>
      <c r="BZ34" s="859">
        <f t="shared" ca="1" si="3"/>
        <v>-2</v>
      </c>
      <c r="CA34" s="524"/>
      <c r="CB34" s="625" t="str">
        <f t="shared" si="4"/>
        <v>D</v>
      </c>
      <c r="CC34" s="911" t="str">
        <f t="shared" si="4"/>
        <v>V</v>
      </c>
      <c r="CD34" s="911" t="str">
        <f t="shared" si="4"/>
        <v>D</v>
      </c>
      <c r="CE34" s="836" t="str">
        <f t="shared" si="4"/>
        <v>V</v>
      </c>
      <c r="CF34" s="912" t="str">
        <f t="shared" si="4"/>
        <v>D</v>
      </c>
      <c r="CG34" s="611"/>
      <c r="CH34" s="818">
        <f t="shared" si="5"/>
        <v>9</v>
      </c>
      <c r="CI34" s="747">
        <f t="shared" ca="1" si="6"/>
        <v>3.0199400340000002</v>
      </c>
      <c r="CJ34" s="524">
        <f ca="1">IF(BK34="","",SMALL($CI$29:$CI$34,ROWS(CH$29:CH34)))</f>
        <v>6.0399400320000005</v>
      </c>
      <c r="CK34"/>
      <c r="CL34" s="867">
        <f ca="1">IF(CJ34="","",IF(AND(CP33=CP34,CQ33=CQ34,CR33=CR34,CS33=CS34),CL33,$CL$46+5))</f>
        <v>6</v>
      </c>
      <c r="CM34" s="811">
        <f t="shared" ca="1" si="7"/>
        <v>4</v>
      </c>
      <c r="CN34" s="806" t="str">
        <f t="shared" ca="1" si="8"/>
        <v>André</v>
      </c>
      <c r="CO34" s="914" t="str">
        <f t="shared" ca="1" si="9"/>
        <v/>
      </c>
      <c r="CP34" s="915">
        <f t="shared" ca="1" si="22"/>
        <v>6</v>
      </c>
      <c r="CQ34" s="662">
        <f t="shared" ca="1" si="10"/>
        <v>-4</v>
      </c>
      <c r="CR34" s="868">
        <f t="shared" ca="1" si="11"/>
        <v>1</v>
      </c>
      <c r="CS34" s="868">
        <f t="shared" ca="1" si="12"/>
        <v>5</v>
      </c>
    </row>
    <row r="35" spans="1:99" ht="24.95" customHeight="1" thickBot="1">
      <c r="A35" s="42"/>
      <c r="B35" s="42"/>
      <c r="C35" s="42"/>
      <c r="D35" s="42"/>
      <c r="E35" s="42"/>
      <c r="F35" s="4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</row>
    <row r="36" spans="1:99" ht="24.95" customHeight="1" thickBo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S36" s="640">
        <f>SUM(S29:S35)</f>
        <v>4</v>
      </c>
      <c r="T36" s="640">
        <f>SUM(T29:T35)</f>
        <v>4</v>
      </c>
      <c r="AB36" s="640">
        <f>SUM(AB29:AB35)</f>
        <v>3</v>
      </c>
      <c r="AC36" s="640">
        <f>SUM(AC29:AC35)</f>
        <v>3</v>
      </c>
      <c r="AE36" s="58"/>
      <c r="AL36" s="640">
        <f>SUM(AL29:AL35)</f>
        <v>3</v>
      </c>
      <c r="AM36" s="640">
        <f>SUM(AM29:AM35)</f>
        <v>3</v>
      </c>
      <c r="AT36" s="640">
        <f>SUM(AT29:AT35)</f>
        <v>3</v>
      </c>
      <c r="AU36" s="640">
        <f>SUM(AU29:AU35)</f>
        <v>3</v>
      </c>
      <c r="BF36" s="640">
        <f>SUM(BF29:BF35)</f>
        <v>4</v>
      </c>
      <c r="BG36" s="640">
        <f>SUM(BG29:BG35)</f>
        <v>4</v>
      </c>
      <c r="BI36" s="490"/>
      <c r="BL36" s="58"/>
      <c r="BM36" s="58"/>
      <c r="BR36" s="640">
        <f ca="1">SUM(BR29:BR35)</f>
        <v>17</v>
      </c>
      <c r="BY36" s="640">
        <f>SUM(BG36+AU36+AM36+AC36+T36)</f>
        <v>17</v>
      </c>
      <c r="BZ36" s="640">
        <f ca="1">SUM(BZ29:BZ35)</f>
        <v>0</v>
      </c>
      <c r="CH36"/>
      <c r="CI36"/>
      <c r="CJ36"/>
      <c r="CK36"/>
      <c r="CL36"/>
      <c r="CM36"/>
      <c r="CN36"/>
      <c r="CO36"/>
      <c r="CP36"/>
      <c r="CQ36"/>
    </row>
    <row r="37" spans="1:99" ht="24.9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AB37"/>
      <c r="AE37" s="58"/>
      <c r="AS37"/>
      <c r="AU37" s="58"/>
      <c r="BE37" s="684"/>
      <c r="BF37" s="778"/>
      <c r="BG37"/>
      <c r="BH37"/>
      <c r="BI37"/>
      <c r="BJ37" s="356"/>
      <c r="BK37" s="490"/>
      <c r="BL37" s="724"/>
      <c r="BM37" s="58"/>
    </row>
    <row r="38" spans="1:99" ht="24.9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AB38"/>
      <c r="AE38" s="58"/>
      <c r="AR38"/>
      <c r="AU38" s="58"/>
      <c r="BD38" s="684"/>
      <c r="BE38" s="778"/>
      <c r="BF38"/>
      <c r="BG38"/>
      <c r="BH38"/>
      <c r="BI38" s="356"/>
      <c r="BJ38" s="490"/>
      <c r="BK38" s="724"/>
      <c r="BL38" s="58"/>
      <c r="BM38" s="58"/>
    </row>
    <row r="39" spans="1:99" ht="24.95" customHeight="1">
      <c r="A39" s="779"/>
      <c r="B39" s="779"/>
      <c r="C39" s="779"/>
      <c r="D39" s="779"/>
      <c r="E39" s="779"/>
      <c r="F39" s="779"/>
      <c r="G39" s="779"/>
      <c r="H39" s="779"/>
      <c r="I39" s="779"/>
      <c r="J39" s="779"/>
      <c r="K39" s="779"/>
      <c r="L39" s="779"/>
      <c r="M39" s="779"/>
      <c r="N39" s="779"/>
      <c r="O39" s="780"/>
      <c r="P39" s="780"/>
      <c r="Q39" s="780"/>
      <c r="R39" s="780"/>
      <c r="S39" s="780"/>
      <c r="T39" s="780"/>
      <c r="U39" s="780"/>
      <c r="V39" s="780"/>
      <c r="W39" s="780"/>
      <c r="X39" s="780"/>
      <c r="Y39" s="780"/>
      <c r="Z39" s="780"/>
      <c r="AA39" s="780"/>
      <c r="AB39" s="780"/>
      <c r="AC39" s="780"/>
      <c r="AD39" s="780"/>
      <c r="AE39" s="443"/>
      <c r="AF39" s="780"/>
      <c r="AG39" s="780"/>
      <c r="AH39" s="780"/>
      <c r="AI39" s="780"/>
      <c r="AJ39" s="780"/>
      <c r="AK39" s="780"/>
      <c r="AL39" s="780"/>
      <c r="AM39" s="780"/>
      <c r="AN39" s="780"/>
      <c r="AO39" s="780"/>
      <c r="AP39" s="780"/>
      <c r="AQ39" s="780"/>
      <c r="AR39" s="780"/>
      <c r="AS39" s="780"/>
      <c r="AT39" s="780"/>
      <c r="AU39" s="443"/>
      <c r="AV39" s="780"/>
      <c r="AW39" s="780"/>
      <c r="AX39" s="780"/>
      <c r="AY39" s="780"/>
      <c r="AZ39" s="780"/>
      <c r="BA39" s="780"/>
      <c r="BB39" s="780"/>
      <c r="BC39" s="780"/>
      <c r="BD39" s="780"/>
      <c r="BE39" s="780"/>
      <c r="BF39" s="781"/>
      <c r="BG39" s="782"/>
      <c r="BH39" s="783"/>
      <c r="BI39" s="784"/>
      <c r="BJ39" s="784"/>
      <c r="BK39" s="785"/>
      <c r="BL39" s="786"/>
      <c r="BM39" s="787"/>
      <c r="BN39" s="780"/>
      <c r="BO39" s="780"/>
      <c r="BP39" s="780"/>
      <c r="BQ39" s="780"/>
      <c r="BR39" s="780"/>
      <c r="BS39" s="780"/>
      <c r="BT39" s="780"/>
      <c r="BU39" s="780"/>
      <c r="BV39" s="780"/>
      <c r="BW39" s="780"/>
      <c r="BX39" s="780"/>
      <c r="BY39" s="780"/>
      <c r="BZ39" s="780"/>
      <c r="CA39" s="780"/>
      <c r="CB39" s="780"/>
      <c r="CC39" s="780"/>
      <c r="CD39" s="780"/>
      <c r="CE39" s="780"/>
      <c r="CF39" s="780"/>
      <c r="CG39" s="780"/>
      <c r="CH39" s="780"/>
      <c r="CI39" s="780"/>
      <c r="CJ39" s="780"/>
      <c r="CK39" s="780"/>
      <c r="CL39" s="780"/>
      <c r="CM39" s="780"/>
      <c r="CN39" s="780"/>
      <c r="CO39" s="780"/>
      <c r="CP39" s="780"/>
      <c r="CQ39" s="780"/>
      <c r="CR39" s="780"/>
      <c r="CS39" s="780"/>
      <c r="CT39" s="780"/>
      <c r="CU39" s="780"/>
    </row>
    <row r="40" spans="1:99" s="516" customFormat="1" ht="24.95" customHeight="1">
      <c r="A40" s="94"/>
      <c r="B40" s="94"/>
      <c r="C40" s="94"/>
      <c r="D40" s="94"/>
      <c r="E40" s="94"/>
      <c r="F40" s="1252" t="s">
        <v>214</v>
      </c>
      <c r="G40" s="1252"/>
      <c r="H40" s="1252"/>
      <c r="I40" s="1252"/>
      <c r="J40" s="1252"/>
      <c r="K40" s="1252"/>
      <c r="L40" s="1252"/>
      <c r="M40" s="1252"/>
      <c r="N40" s="1252"/>
      <c r="AC40" s="438"/>
      <c r="AS40" s="438"/>
      <c r="BD40" s="518"/>
      <c r="BE40" s="438"/>
      <c r="BF40" s="438"/>
      <c r="BG40" s="438"/>
      <c r="BH40" s="438"/>
      <c r="BI40" s="438"/>
      <c r="BJ40" s="845"/>
      <c r="BK40" s="846"/>
    </row>
    <row r="41" spans="1:99" ht="24.95" customHeight="1" thickBo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AC41"/>
      <c r="AE41" s="58"/>
      <c r="AS41"/>
      <c r="AU41" s="58"/>
      <c r="BD41" s="684"/>
      <c r="BE41"/>
      <c r="BF41"/>
      <c r="BG41"/>
      <c r="BH41"/>
      <c r="BI41"/>
      <c r="BJ41" s="490"/>
      <c r="BK41" s="724"/>
      <c r="BL41" s="58"/>
      <c r="BM41" s="58"/>
    </row>
    <row r="42" spans="1:99" ht="24.95" customHeight="1" thickBot="1">
      <c r="A42" s="486" t="s">
        <v>22</v>
      </c>
      <c r="B42" s="487"/>
      <c r="C42" s="487"/>
      <c r="D42" s="487"/>
      <c r="E42" s="934" t="str">
        <f>LEFT(H42,1)</f>
        <v>7</v>
      </c>
      <c r="F42" s="935"/>
      <c r="G42" s="736"/>
      <c r="H42" s="965">
        <v>75</v>
      </c>
      <c r="I42" s="1230"/>
      <c r="J42" s="42"/>
      <c r="K42" s="269"/>
      <c r="L42"/>
      <c r="Y42"/>
      <c r="AE42" s="58"/>
      <c r="AO42"/>
      <c r="AU42" s="58"/>
      <c r="AZ42" s="684"/>
      <c r="BA42"/>
      <c r="BB42"/>
      <c r="BC42"/>
      <c r="BD42"/>
      <c r="BE42"/>
      <c r="BF42" s="490"/>
      <c r="BG42" s="724"/>
      <c r="BL42" s="58"/>
      <c r="BM42" s="58"/>
    </row>
    <row r="43" spans="1:99" ht="24.95" customHeight="1" thickBot="1">
      <c r="A43" s="486" t="s">
        <v>55</v>
      </c>
      <c r="B43" s="487"/>
      <c r="C43" s="487"/>
      <c r="D43" s="487"/>
      <c r="E43" s="936" t="str">
        <f>RIGHT(H42,1)</f>
        <v>5</v>
      </c>
      <c r="F43" s="937"/>
      <c r="G43" s="736"/>
      <c r="H43" s="1230"/>
      <c r="I43" s="1230"/>
      <c r="J43" s="777"/>
      <c r="K43" s="42"/>
      <c r="L43" s="42"/>
      <c r="M43" s="269"/>
      <c r="N43"/>
      <c r="O43" s="595"/>
      <c r="P43" s="1149" t="s">
        <v>168</v>
      </c>
      <c r="Q43" s="1150"/>
      <c r="R43" s="1150"/>
      <c r="S43" s="1150"/>
      <c r="T43" s="1150"/>
      <c r="U43" s="1151"/>
      <c r="V43"/>
      <c r="W43"/>
      <c r="X43" s="1152" t="s">
        <v>170</v>
      </c>
      <c r="Y43" s="1153"/>
      <c r="Z43" s="1153"/>
      <c r="AA43" s="1153"/>
      <c r="AB43" s="1153"/>
      <c r="AC43" s="1153"/>
      <c r="AD43" s="1154"/>
      <c r="AF43"/>
      <c r="AG43" s="524"/>
      <c r="AH43" s="1143" t="s">
        <v>171</v>
      </c>
      <c r="AI43" s="1144"/>
      <c r="AJ43" s="1144"/>
      <c r="AK43" s="1144"/>
      <c r="AL43" s="1144"/>
      <c r="AM43" s="1144"/>
      <c r="AN43" s="1145"/>
      <c r="AO43"/>
      <c r="AP43"/>
      <c r="AQ43" s="824" t="s">
        <v>172</v>
      </c>
      <c r="AR43" s="825"/>
      <c r="AS43" s="825"/>
      <c r="AT43" s="825"/>
      <c r="AU43" s="825"/>
      <c r="AV43" s="826"/>
      <c r="AY43" s="269"/>
      <c r="AZ43" s="269"/>
      <c r="BA43" s="821" t="s">
        <v>181</v>
      </c>
      <c r="BB43" s="822"/>
      <c r="BC43" s="822"/>
      <c r="BD43" s="822"/>
      <c r="BE43" s="822"/>
      <c r="BF43" s="822"/>
      <c r="BG43" s="822"/>
      <c r="BH43" s="823"/>
      <c r="BI43" s="524"/>
      <c r="BJ43" s="524"/>
      <c r="BK43" s="269"/>
      <c r="BL43" s="524"/>
      <c r="BM43" s="1132" t="s">
        <v>179</v>
      </c>
      <c r="BN43" s="1133"/>
      <c r="BO43" s="1133"/>
      <c r="BP43" s="1133"/>
      <c r="BQ43" s="1134"/>
      <c r="BR43" s="1130" t="s">
        <v>178</v>
      </c>
      <c r="BS43" s="269"/>
      <c r="BT43" s="1132" t="s">
        <v>159</v>
      </c>
      <c r="BU43" s="1133"/>
      <c r="BV43" s="1133"/>
      <c r="BW43" s="1133"/>
      <c r="BX43" s="1134"/>
      <c r="BY43" s="1130" t="s">
        <v>193</v>
      </c>
      <c r="BZ43" s="1130" t="s">
        <v>160</v>
      </c>
      <c r="CA43" s="524"/>
      <c r="CB43" s="1132" t="s">
        <v>194</v>
      </c>
      <c r="CC43" s="1133"/>
      <c r="CD43" s="1133"/>
      <c r="CE43" s="1134"/>
      <c r="CF43" s="767"/>
      <c r="CG43" s="611"/>
      <c r="CH43" s="657" t="s">
        <v>162</v>
      </c>
      <c r="CI43" s="524"/>
      <c r="CJ43" s="526"/>
      <c r="CK43"/>
      <c r="CL43" s="1211" t="s">
        <v>163</v>
      </c>
      <c r="CM43" s="1213" t="s">
        <v>164</v>
      </c>
      <c r="CN43" s="1215" t="s">
        <v>165</v>
      </c>
      <c r="CO43" s="880"/>
      <c r="CP43" s="881" t="s">
        <v>162</v>
      </c>
      <c r="CQ43" s="1217" t="s">
        <v>160</v>
      </c>
      <c r="CR43" s="1209" t="s">
        <v>206</v>
      </c>
      <c r="CS43" s="1224" t="s">
        <v>159</v>
      </c>
    </row>
    <row r="44" spans="1:99" ht="24.95" customHeight="1" thickBot="1">
      <c r="A44" s="42"/>
      <c r="B44" s="42"/>
      <c r="C44" s="42"/>
      <c r="D44" s="42"/>
      <c r="E44" s="42"/>
      <c r="F44" s="42"/>
      <c r="G44" s="21"/>
      <c r="H44" s="22"/>
      <c r="I44" s="22"/>
      <c r="J44" s="22"/>
      <c r="K44" s="22"/>
      <c r="L44" s="22"/>
      <c r="M44" s="23" t="s">
        <v>52</v>
      </c>
      <c r="N44"/>
      <c r="O44" s="596" t="s">
        <v>6</v>
      </c>
      <c r="P44" s="769" t="s">
        <v>167</v>
      </c>
      <c r="Q44" s="769" t="s">
        <v>177</v>
      </c>
      <c r="R44" s="639" t="s">
        <v>99</v>
      </c>
      <c r="S44" s="598" t="s">
        <v>5</v>
      </c>
      <c r="T44" s="732" t="s">
        <v>177</v>
      </c>
      <c r="U44" s="637" t="s">
        <v>169</v>
      </c>
      <c r="V44" s="524"/>
      <c r="W44" s="596" t="s">
        <v>6</v>
      </c>
      <c r="X44" s="769" t="s">
        <v>167</v>
      </c>
      <c r="Y44" s="769" t="s">
        <v>177</v>
      </c>
      <c r="Z44" s="1226" t="s">
        <v>99</v>
      </c>
      <c r="AA44" s="1227"/>
      <c r="AB44" s="598" t="s">
        <v>5</v>
      </c>
      <c r="AC44" s="598" t="s">
        <v>177</v>
      </c>
      <c r="AD44" s="794" t="s">
        <v>169</v>
      </c>
      <c r="AE44" s="269"/>
      <c r="AF44" s="596" t="s">
        <v>6</v>
      </c>
      <c r="AG44" s="596" t="s">
        <v>6</v>
      </c>
      <c r="AH44" s="769" t="s">
        <v>167</v>
      </c>
      <c r="AI44" s="769" t="s">
        <v>177</v>
      </c>
      <c r="AJ44" s="1228" t="s">
        <v>99</v>
      </c>
      <c r="AK44" s="1229"/>
      <c r="AL44" s="598" t="s">
        <v>5</v>
      </c>
      <c r="AM44" s="795" t="s">
        <v>177</v>
      </c>
      <c r="AN44" s="794" t="s">
        <v>169</v>
      </c>
      <c r="AO44" s="269"/>
      <c r="AP44" s="596" t="s">
        <v>6</v>
      </c>
      <c r="AQ44" s="769" t="s">
        <v>167</v>
      </c>
      <c r="AR44" s="769" t="s">
        <v>177</v>
      </c>
      <c r="AS44" s="640" t="s">
        <v>99</v>
      </c>
      <c r="AT44" s="598" t="s">
        <v>5</v>
      </c>
      <c r="AU44" s="732" t="s">
        <v>177</v>
      </c>
      <c r="AV44" s="637" t="s">
        <v>169</v>
      </c>
      <c r="AW44" s="528"/>
      <c r="AX44" s="528"/>
      <c r="AY44" s="596" t="s">
        <v>6</v>
      </c>
      <c r="AZ44" s="797"/>
      <c r="BA44" s="769" t="s">
        <v>167</v>
      </c>
      <c r="BB44" s="769" t="s">
        <v>177</v>
      </c>
      <c r="BC44" s="832" t="s">
        <v>99</v>
      </c>
      <c r="BD44" s="843"/>
      <c r="BE44" s="833"/>
      <c r="BF44" s="598" t="s">
        <v>5</v>
      </c>
      <c r="BG44" s="636" t="s">
        <v>177</v>
      </c>
      <c r="BH44" s="637" t="s">
        <v>169</v>
      </c>
      <c r="BI44" s="528"/>
      <c r="BJ44" s="524"/>
      <c r="BK44" s="640" t="s">
        <v>99</v>
      </c>
      <c r="BL44" s="524"/>
      <c r="BM44" s="529" t="s">
        <v>38</v>
      </c>
      <c r="BN44" s="530" t="s">
        <v>39</v>
      </c>
      <c r="BO44" s="530" t="s">
        <v>173</v>
      </c>
      <c r="BP44" s="620" t="s">
        <v>174</v>
      </c>
      <c r="BQ44" s="531" t="s">
        <v>180</v>
      </c>
      <c r="BR44" s="1131"/>
      <c r="BS44" s="269"/>
      <c r="BT44" s="529" t="s">
        <v>38</v>
      </c>
      <c r="BU44" s="530" t="s">
        <v>39</v>
      </c>
      <c r="BV44" s="530" t="s">
        <v>173</v>
      </c>
      <c r="BW44" s="620" t="s">
        <v>174</v>
      </c>
      <c r="BX44" s="531" t="s">
        <v>180</v>
      </c>
      <c r="BY44" s="1131"/>
      <c r="BZ44" s="1131"/>
      <c r="CA44" s="524"/>
      <c r="CB44" s="529" t="s">
        <v>38</v>
      </c>
      <c r="CC44" s="530" t="s">
        <v>39</v>
      </c>
      <c r="CD44" s="530" t="s">
        <v>173</v>
      </c>
      <c r="CE44" s="620" t="s">
        <v>174</v>
      </c>
      <c r="CF44" s="530" t="s">
        <v>180</v>
      </c>
      <c r="CG44" s="611"/>
      <c r="CH44" s="658" t="s">
        <v>169</v>
      </c>
      <c r="CI44" s="766" t="s">
        <v>175</v>
      </c>
      <c r="CJ44" s="767" t="s">
        <v>176</v>
      </c>
      <c r="CK44"/>
      <c r="CL44" s="1212"/>
      <c r="CM44" s="1214"/>
      <c r="CN44" s="1216"/>
      <c r="CO44" s="882"/>
      <c r="CP44" s="883" t="s">
        <v>169</v>
      </c>
      <c r="CQ44" s="1218"/>
      <c r="CR44" s="1210"/>
      <c r="CS44" s="1225"/>
    </row>
    <row r="45" spans="1:99" ht="24.95" customHeight="1" thickBot="1">
      <c r="A45" s="42"/>
      <c r="B45" s="42"/>
      <c r="C45" s="42"/>
      <c r="D45" s="42"/>
      <c r="E45" s="42"/>
      <c r="F45" s="42"/>
      <c r="G45" s="24"/>
      <c r="H45" s="82" t="s">
        <v>50</v>
      </c>
      <c r="I45" s="1176" t="s">
        <v>53</v>
      </c>
      <c r="J45" s="1177"/>
      <c r="K45" s="1178"/>
      <c r="L45" s="26" t="s">
        <v>54</v>
      </c>
      <c r="M45" s="27" t="s">
        <v>74</v>
      </c>
      <c r="N45"/>
      <c r="O45" s="595"/>
      <c r="P45" s="524"/>
      <c r="Q45" s="524"/>
      <c r="R45" s="524"/>
      <c r="S45" s="526"/>
      <c r="T45" s="611"/>
      <c r="U45" s="611"/>
      <c r="V45" s="524"/>
      <c r="W45" s="524"/>
      <c r="X45" s="524"/>
      <c r="Y45" s="524"/>
      <c r="Z45" s="524"/>
      <c r="AA45" s="524"/>
      <c r="AB45" s="524"/>
      <c r="AC45" s="524"/>
      <c r="AD45" s="611"/>
      <c r="AE45" s="269"/>
      <c r="AF45" s="524"/>
      <c r="AG45" s="524"/>
      <c r="AH45" s="524"/>
      <c r="AI45" s="524"/>
      <c r="AJ45" s="524"/>
      <c r="AK45" s="524"/>
      <c r="AL45" s="524"/>
      <c r="AM45" s="524"/>
      <c r="AN45" s="611"/>
      <c r="AO45" s="269"/>
      <c r="AP45" s="524"/>
      <c r="AQ45" s="524"/>
      <c r="AR45" s="524"/>
      <c r="AS45" s="524"/>
      <c r="AT45" s="524"/>
      <c r="AU45" s="524"/>
      <c r="AV45" s="611"/>
      <c r="AW45" s="611"/>
      <c r="AX45" s="611"/>
      <c r="AY45" s="524"/>
      <c r="AZ45" s="524"/>
      <c r="BA45" s="524"/>
      <c r="BB45" s="524"/>
      <c r="BC45" s="524"/>
      <c r="BD45" s="524"/>
      <c r="BE45" s="524"/>
      <c r="BF45" s="524"/>
      <c r="BG45" s="524"/>
      <c r="BH45" s="611"/>
      <c r="BI45" s="611"/>
      <c r="BJ45" s="524"/>
      <c r="BK45" s="524"/>
      <c r="BL45" s="524"/>
      <c r="BM45" s="524"/>
      <c r="BN45" s="524"/>
      <c r="BO45" s="524"/>
      <c r="BP45" s="524"/>
      <c r="BQ45" s="524"/>
      <c r="BR45" s="524"/>
      <c r="BS45" s="269"/>
      <c r="BT45" s="524"/>
      <c r="BU45" s="524"/>
      <c r="BV45" s="524"/>
      <c r="BW45" s="524"/>
      <c r="BX45" s="524"/>
      <c r="BY45" s="524"/>
      <c r="BZ45" s="524"/>
      <c r="CA45" s="524"/>
      <c r="CB45" s="524"/>
      <c r="CC45" s="524"/>
      <c r="CD45" s="524"/>
      <c r="CE45" s="524"/>
      <c r="CF45" s="524"/>
      <c r="CG45" s="524"/>
      <c r="CH45" s="524"/>
      <c r="CI45" s="524"/>
      <c r="CJ45" s="524"/>
      <c r="CK45"/>
      <c r="CL45" s="269"/>
      <c r="CM45" s="524"/>
      <c r="CN45" s="524"/>
      <c r="CO45" s="524"/>
      <c r="CP45" s="514"/>
      <c r="CQ45" s="661"/>
    </row>
    <row r="46" spans="1:99" ht="24.95" customHeight="1" thickBot="1">
      <c r="A46" s="139"/>
      <c r="B46" s="139"/>
      <c r="C46" s="922" t="s">
        <v>66</v>
      </c>
      <c r="D46" s="923"/>
      <c r="E46" s="206" t="s">
        <v>38</v>
      </c>
      <c r="G46" s="34">
        <v>1</v>
      </c>
      <c r="H46" s="29"/>
      <c r="I46" s="1179" t="s">
        <v>208</v>
      </c>
      <c r="J46" s="1180"/>
      <c r="K46" s="1181"/>
      <c r="L46" s="83"/>
      <c r="M46" s="30">
        <v>1</v>
      </c>
      <c r="N46"/>
      <c r="O46" s="1124">
        <v>1</v>
      </c>
      <c r="P46" s="538">
        <v>1</v>
      </c>
      <c r="Q46" s="798">
        <f>+P47</f>
        <v>2</v>
      </c>
      <c r="R46" s="85" t="str">
        <f>IF(ISNA(MATCH(P46,M46:M50,0)),"",INDEX(I46:I50,MATCH(P46,M46:M50,0)))</f>
        <v>Pierre</v>
      </c>
      <c r="S46" s="347">
        <v>1</v>
      </c>
      <c r="T46" s="667">
        <f>+S47</f>
        <v>0</v>
      </c>
      <c r="U46" s="537">
        <f>IF(S46+S47=0,0,IF(S46=S47,2,IF(S46&gt;S47,3,1)))</f>
        <v>3</v>
      </c>
      <c r="V46" s="611"/>
      <c r="W46" s="1124">
        <v>2</v>
      </c>
      <c r="X46" s="538">
        <v>1</v>
      </c>
      <c r="Y46" s="798">
        <f>+X47</f>
        <v>3</v>
      </c>
      <c r="Z46" s="1221" t="str">
        <f>+R46</f>
        <v>Pierre</v>
      </c>
      <c r="AA46" s="1222"/>
      <c r="AB46" s="347">
        <v>1</v>
      </c>
      <c r="AC46" s="667">
        <f>+AB47</f>
        <v>0</v>
      </c>
      <c r="AD46" s="537">
        <f>IF(AB46+AB47=0,0,IF(AB46=AB47,2,IF(AB46&gt;AB47,3,1)))</f>
        <v>3</v>
      </c>
      <c r="AE46" s="641"/>
      <c r="AF46" s="1124">
        <v>3</v>
      </c>
      <c r="AG46" s="1124">
        <v>3</v>
      </c>
      <c r="AH46" s="538">
        <v>1</v>
      </c>
      <c r="AI46" s="800">
        <f>+AH47</f>
        <v>4</v>
      </c>
      <c r="AJ46" s="1223" t="str">
        <f>+R46</f>
        <v>Pierre</v>
      </c>
      <c r="AK46" s="1222"/>
      <c r="AL46" s="347">
        <v>1</v>
      </c>
      <c r="AM46" s="667">
        <f>+AL47</f>
        <v>0</v>
      </c>
      <c r="AN46" s="537">
        <f>IF(AL46+AL47=0,0,IF(AL46=AL47,2,IF(AL46&gt;AL47,3,1)))</f>
        <v>3</v>
      </c>
      <c r="AO46" s="641"/>
      <c r="AP46" s="1124">
        <v>4</v>
      </c>
      <c r="AQ46" s="538">
        <v>1</v>
      </c>
      <c r="AR46" s="798">
        <v>1</v>
      </c>
      <c r="AS46" s="838" t="str">
        <f>+R46</f>
        <v>Pierre</v>
      </c>
      <c r="AT46" s="436">
        <v>1</v>
      </c>
      <c r="AU46" s="800">
        <f>+AT47</f>
        <v>0</v>
      </c>
      <c r="AV46" s="537">
        <f>IF(AT46+AT47=0,0,IF(AT46=AT47,2,IF(AT46&gt;AT47,3,1)))</f>
        <v>3</v>
      </c>
      <c r="AW46" s="543"/>
      <c r="AX46" s="543"/>
      <c r="AY46" s="1124">
        <v>5</v>
      </c>
      <c r="AZ46" s="768"/>
      <c r="BA46" s="538">
        <v>1</v>
      </c>
      <c r="BB46" s="798">
        <f>+BA47</f>
        <v>6</v>
      </c>
      <c r="BC46" s="838" t="str">
        <f>+R46</f>
        <v>Pierre</v>
      </c>
      <c r="BD46" s="839"/>
      <c r="BE46" s="835"/>
      <c r="BF46" s="347">
        <v>1</v>
      </c>
      <c r="BG46" s="667">
        <f>+BF47</f>
        <v>1</v>
      </c>
      <c r="BH46" s="537">
        <f>IF(BF46+BF47=0,0,IF(BF46=BF47,2,IF(BF46&gt;BF47,3,1)))</f>
        <v>2</v>
      </c>
      <c r="BI46" s="543"/>
      <c r="BJ46" s="807">
        <v>1</v>
      </c>
      <c r="BK46" s="829" t="str">
        <f t="shared" ref="BK46:BK52" si="24">+I46</f>
        <v>Pierre</v>
      </c>
      <c r="BL46" s="860"/>
      <c r="BM46" s="549">
        <f>IF(ISNA(VLOOKUP(BK46,$R$46:$S$52,2,0)),"",VLOOKUP(BK46,$R$46:$S$52,2,0))</f>
        <v>1</v>
      </c>
      <c r="BN46" s="802">
        <f>IF(ISNA(VLOOKUP(BK46,$Z$46:$AB$52,3,0)),"",VLOOKUP(BK46,$Z$46:$AB$52,3,0))</f>
        <v>1</v>
      </c>
      <c r="BO46" s="802">
        <f>IF(ISNA(VLOOKUP(BK46,$AJ$46:$AL$52,3,0)),"",VLOOKUP(BK46,$AJ$46:$AL$52,3,0))</f>
        <v>1</v>
      </c>
      <c r="BP46" s="802">
        <f>IF(ISNA(VLOOKUP(BK46,$AS$46:$AT$52,2,0)),"",VLOOKUP(BK46,$AS$46:$AT$52,2,0))</f>
        <v>1</v>
      </c>
      <c r="BQ46" s="872">
        <f t="shared" ref="BQ46:BQ52" si="25">IF(ISNA(VLOOKUP(BK46,$BC$46:$BF$52,4,0)),"",VLOOKUP(BK46,$BC$46:$BF$52,4,0))</f>
        <v>1</v>
      </c>
      <c r="BR46" s="865">
        <f ca="1">SUMIF(BM46:BQ46,"&lt;&gt;#N/A",BM46:BP46)</f>
        <v>5</v>
      </c>
      <c r="BS46" s="510"/>
      <c r="BT46" s="545">
        <f>IF(ISNA(VLOOKUP(BK46,$R$46:$T$52,3,0)),"",VLOOKUP(BK46,$R$46:$T$52,3,0))</f>
        <v>0</v>
      </c>
      <c r="BU46" s="802">
        <f>IF(ISNA(VLOOKUP(BK46,$Z$46:$AC$52,4,0)),"",VLOOKUP(BK46,$Z$46:$AC$52,4,0))</f>
        <v>0</v>
      </c>
      <c r="BV46" s="802">
        <f>IF(ISNA(VLOOKUP(BK46,$AJ$46:$AM$52,4,0)),"",VLOOKUP(BK46,$AJ$46:$AM$52,4,0))</f>
        <v>0</v>
      </c>
      <c r="BW46" s="802">
        <f>IF(ISNA(VLOOKUP(BK46,$AS$46:$AU$52,3,0)),"",VLOOKUP(BK46,$AS$46:$AU$52,3,0))</f>
        <v>0</v>
      </c>
      <c r="BX46" s="872">
        <f t="shared" ref="BX46:BX52" si="26">IF(ISNA(VLOOKUP(BK46,$BC$46:$BG$52,5,0)),"",VLOOKUP(BK46,$BC$46:$BG$52,5,0))</f>
        <v>1</v>
      </c>
      <c r="BY46" s="869">
        <f ca="1">SUMIF(BT46:BX46,"&lt;&gt;#N/A",BT46:BW46)</f>
        <v>1</v>
      </c>
      <c r="BZ46" s="550">
        <f t="shared" ref="BZ46:BZ52" ca="1" si="27">SUM(BR46-BY46)</f>
        <v>4</v>
      </c>
      <c r="CA46" s="524"/>
      <c r="CB46" s="551" t="str">
        <f t="shared" ref="CB46:CF52" si="28">IF(BM46=BT46,"N",IF(BM46&gt;BT46,"V",IF(BM46&lt;BT46,"D")))</f>
        <v>V</v>
      </c>
      <c r="CC46" s="552" t="str">
        <f t="shared" si="28"/>
        <v>V</v>
      </c>
      <c r="CD46" s="552" t="str">
        <f t="shared" si="28"/>
        <v>V</v>
      </c>
      <c r="CE46" s="834" t="str">
        <f t="shared" si="28"/>
        <v>V</v>
      </c>
      <c r="CF46" s="631" t="str">
        <f t="shared" si="28"/>
        <v>N</v>
      </c>
      <c r="CG46" s="611"/>
      <c r="CH46" s="818">
        <f t="shared" ref="CH46:CH52" si="29">VLOOKUP(BK46,$R$46:$U$52,4,0)+VLOOKUP(BK46,$Z$46:$AD$52,5,0)+VLOOKUP(BK46,$AJ$46:$AN$52,5,0)+VLOOKUP(BK46,$AS$46:$AV$52,4,0)+VLOOKUP(BK46,$BC$46:$BH$52,6,0)</f>
        <v>14</v>
      </c>
      <c r="CI46" s="747">
        <f t="shared" ref="CI46:CI52" ca="1" si="30">IF(OR(BK46="",CH46=""),"",RANK(CH46,$CH$46:$CH$52)+SUM(-$BZ46/100)-(+$BR46/10000)-(+$BY46/1000000)+COUNTIF($BK$46:$BK$52,"&lt;="&amp;$BK46+1)/1000000+ROW()/1000000000)</f>
        <v>0.95949904600000002</v>
      </c>
      <c r="CJ46" s="524">
        <f ca="1">IF(BK46="","",SMALL($CI$46:$CI$52,ROWS(CH$46:CH46)))</f>
        <v>0.95949904600000002</v>
      </c>
      <c r="CK46"/>
      <c r="CL46" s="866">
        <f ca="1">IF(CJ46="","",1)</f>
        <v>1</v>
      </c>
      <c r="CM46" s="889">
        <f t="shared" ref="CM46:CM52" ca="1" si="31">IF(OR(BK46=""),"",INDEX($BJ$46:$BJ$52,MATCH(CJ46,$CI$46:$CI$52,0)))</f>
        <v>1</v>
      </c>
      <c r="CN46" s="548" t="str">
        <f t="shared" ref="CN46:CN52" ca="1" si="32">IF(OR(BK46=""),"",INDEX($BK$46:$BK$52,MATCH(CJ46,$CI$46:$CI$52,0)))</f>
        <v>Pierre</v>
      </c>
      <c r="CO46" s="804" t="str">
        <f t="shared" ref="CO46:CO52" ca="1" si="33">IF(OR(BL46="",BR46="",BY46=""),"",INDEX($BO$6:$BO$45,MATCH(CJ46,$CL$7:$CL$45,0)))</f>
        <v/>
      </c>
      <c r="CP46" s="884">
        <f ca="1">IF(OR(CH46="",BU46="",CB46=""),"",INDEX($CH$46:$CH$52,MATCH(CJ46,$CI$46:$CI$52,0)))</f>
        <v>14</v>
      </c>
      <c r="CQ46" s="892">
        <f t="shared" ref="CQ46:CQ52" ca="1" si="34">IF(OR(BK46=""),"",INDEX($BZ$46:$BZ$52,MATCH(CJ46,$CI$46:$CI$52,0)))</f>
        <v>4</v>
      </c>
      <c r="CR46" s="898">
        <f t="shared" ref="CR46:CR52" ca="1" si="35">IF(OR(BK46=""),"",INDEX($BR$46:$BR$52,MATCH(CJ46,$CI$46:$CI$52,0)))</f>
        <v>5</v>
      </c>
      <c r="CS46" s="895">
        <f t="shared" ref="CS46:CS52" ca="1" si="36">IF(OR(BK46=""),"",INDEX($BY$46:$BY$52,MATCH(CJ46,$CI$46:$CI$52,0)))</f>
        <v>1</v>
      </c>
    </row>
    <row r="47" spans="1:99" ht="24.95" customHeight="1" thickBot="1">
      <c r="A47" s="42"/>
      <c r="B47" s="42"/>
      <c r="C47" s="42"/>
      <c r="D47" s="42"/>
      <c r="E47" s="208"/>
      <c r="G47" s="35">
        <v>2</v>
      </c>
      <c r="H47" s="31"/>
      <c r="I47" s="1182" t="s">
        <v>209</v>
      </c>
      <c r="J47" s="1183"/>
      <c r="K47" s="1184"/>
      <c r="L47" s="86"/>
      <c r="M47" s="32">
        <v>2</v>
      </c>
      <c r="N47"/>
      <c r="O47" s="1125"/>
      <c r="P47" s="598">
        <v>2</v>
      </c>
      <c r="Q47" s="656">
        <f>+P46</f>
        <v>1</v>
      </c>
      <c r="R47" s="88" t="str">
        <f>IF(ISNA(MATCH(P47,M46:M50,0)),"",INDEX(I46:I50,MATCH(P47,M46:M50,0)))</f>
        <v>Marcel</v>
      </c>
      <c r="S47" s="348">
        <v>0</v>
      </c>
      <c r="T47" s="607">
        <f>+S46</f>
        <v>1</v>
      </c>
      <c r="U47" s="561">
        <f>IF(S46+S47=0,0,IF(S46=S47,2,IF(S46&lt;S47,3,1)))</f>
        <v>1</v>
      </c>
      <c r="V47" s="564"/>
      <c r="W47" s="1125"/>
      <c r="X47" s="827">
        <v>3</v>
      </c>
      <c r="Y47" s="656">
        <f>+X46</f>
        <v>1</v>
      </c>
      <c r="Z47" s="1188" t="str">
        <f>+R48</f>
        <v>Marc</v>
      </c>
      <c r="AA47" s="1189"/>
      <c r="AB47" s="348">
        <v>0</v>
      </c>
      <c r="AC47" s="606">
        <f>+AB46</f>
        <v>1</v>
      </c>
      <c r="AD47" s="565">
        <f>IF(AB46+AB47=0,0,IF(AB46=AB47,2,IF(AB46&lt;AB47,3,1)))</f>
        <v>1</v>
      </c>
      <c r="AE47" s="643"/>
      <c r="AF47" s="1125"/>
      <c r="AG47" s="1125"/>
      <c r="AH47" s="827">
        <v>4</v>
      </c>
      <c r="AI47" s="801">
        <f>+AH46</f>
        <v>1</v>
      </c>
      <c r="AJ47" s="1208" t="str">
        <f>+R49</f>
        <v>André</v>
      </c>
      <c r="AK47" s="1189"/>
      <c r="AL47" s="348">
        <v>0</v>
      </c>
      <c r="AM47" s="652">
        <f>+AL46</f>
        <v>1</v>
      </c>
      <c r="AN47" s="565">
        <f>IF(AL46+AL47=0,0,IF(AL46=AL47,2,IF(AL46&lt;AL47,3,1)))</f>
        <v>1</v>
      </c>
      <c r="AO47" s="643"/>
      <c r="AP47" s="1125"/>
      <c r="AQ47" s="525">
        <v>5</v>
      </c>
      <c r="AR47" s="655">
        <v>5</v>
      </c>
      <c r="AS47" s="857" t="str">
        <f>+R50</f>
        <v>Michel</v>
      </c>
      <c r="AT47" s="437">
        <v>0</v>
      </c>
      <c r="AU47" s="655">
        <f>+AT46</f>
        <v>1</v>
      </c>
      <c r="AV47" s="565">
        <f>IF(AT46+AT47=0,0,IF(AT46=AT47,2,IF(AT46&lt;AT47,3,1)))</f>
        <v>1</v>
      </c>
      <c r="AW47" s="611"/>
      <c r="AX47" s="611"/>
      <c r="AY47" s="1126"/>
      <c r="AZ47" s="764"/>
      <c r="BA47" s="525">
        <v>6</v>
      </c>
      <c r="BB47" s="655">
        <f>+BA46</f>
        <v>1</v>
      </c>
      <c r="BC47" s="840" t="str">
        <f>+R51</f>
        <v>Guy</v>
      </c>
      <c r="BD47" s="841"/>
      <c r="BE47" s="842"/>
      <c r="BF47" s="348">
        <v>1</v>
      </c>
      <c r="BG47" s="655">
        <f>+BF46</f>
        <v>1</v>
      </c>
      <c r="BH47" s="565">
        <f>IF(BF46+BF47=0,0,IF(BF46=BF47,2,IF(BF46&lt;BF47,3,1)))</f>
        <v>2</v>
      </c>
      <c r="BI47" s="611"/>
      <c r="BJ47" s="808">
        <v>2</v>
      </c>
      <c r="BK47" s="830" t="str">
        <f t="shared" si="24"/>
        <v>Marcel</v>
      </c>
      <c r="BL47" s="861"/>
      <c r="BM47" s="878">
        <f t="shared" ref="BM47:BM52" si="37">IF(ISNA(VLOOKUP(BK47,$R$46:$S$52,2,0)),"",VLOOKUP(BK47,$R$46:$S$52,2,0))</f>
        <v>0</v>
      </c>
      <c r="BN47" s="806">
        <f t="shared" ref="BN47:BN52" si="38">IF(ISNA(VLOOKUP(BK47,$Z$46:$AB$52,3,0)),"",VLOOKUP(BK47,$Z$46:$AB$52,3,0))</f>
        <v>1</v>
      </c>
      <c r="BO47" s="806">
        <f t="shared" ref="BO47:BO52" si="39">IF(ISNA(VLOOKUP(BK47,$AJ$46:$AL$52,3,0)),"",VLOOKUP(BK47,$AJ$46:$AL$52,3,0))</f>
        <v>0</v>
      </c>
      <c r="BP47" s="806">
        <f t="shared" ref="BP47:BP52" si="40">IF(ISNA(VLOOKUP(BK47,$AS$46:$AT$52,2,0)),"",VLOOKUP(BK47,$AS$46:$AT$52,2,0))</f>
        <v>1</v>
      </c>
      <c r="BQ47" s="873">
        <f t="shared" si="25"/>
        <v>1</v>
      </c>
      <c r="BR47" s="618">
        <f ca="1">SUMIF(BM47:BQ47,"&lt;&gt;#N/A",BM47:BP47)</f>
        <v>3</v>
      </c>
      <c r="BS47" s="510"/>
      <c r="BT47" s="570">
        <f t="shared" ref="BT47:BT52" si="41">IF(ISNA(VLOOKUP(BK47,$R$46:$T$52,3,0)),"",VLOOKUP(BK47,$R$46:$T$52,3,0))</f>
        <v>1</v>
      </c>
      <c r="BU47" s="806">
        <f t="shared" ref="BU47:BU52" si="42">IF(ISNA(VLOOKUP(BK47,$Z$46:$AC$52,4,0)),"",VLOOKUP(BK47,$Z$46:$AC$52,4,0))</f>
        <v>0</v>
      </c>
      <c r="BV47" s="806">
        <f t="shared" ref="BV47:BV52" si="43">IF(ISNA(VLOOKUP(BK47,$AJ$46:$AM$52,4,0)),"",VLOOKUP(BK47,$AJ$46:$AM$52,4,0))</f>
        <v>1</v>
      </c>
      <c r="BW47" s="806">
        <f t="shared" ref="BW47:BW52" si="44">IF(ISNA(VLOOKUP(BK47,$AS$46:$AU$52,3,0)),"",VLOOKUP(BK47,$AS$46:$AU$52,3,0))</f>
        <v>0</v>
      </c>
      <c r="BX47" s="873">
        <f t="shared" si="26"/>
        <v>0</v>
      </c>
      <c r="BY47" s="870">
        <f t="shared" ref="BY47:BY52" ca="1" si="45">SUMIF(BT47:BX47,"&lt;&gt;#N/A",BT47:BW47)</f>
        <v>2</v>
      </c>
      <c r="BZ47" s="573">
        <f t="shared" ca="1" si="27"/>
        <v>1</v>
      </c>
      <c r="CA47" s="524"/>
      <c r="CB47" s="574" t="str">
        <f t="shared" si="28"/>
        <v>D</v>
      </c>
      <c r="CC47" s="575" t="str">
        <f t="shared" si="28"/>
        <v>V</v>
      </c>
      <c r="CD47" s="614" t="str">
        <f t="shared" si="28"/>
        <v>D</v>
      </c>
      <c r="CE47" s="581" t="str">
        <f t="shared" si="28"/>
        <v>V</v>
      </c>
      <c r="CF47" s="576" t="str">
        <f t="shared" si="28"/>
        <v>V</v>
      </c>
      <c r="CG47" s="611"/>
      <c r="CH47" s="818">
        <f t="shared" si="29"/>
        <v>11</v>
      </c>
      <c r="CI47" s="747">
        <f t="shared" ca="1" si="30"/>
        <v>2.9896980470000001</v>
      </c>
      <c r="CJ47" s="524">
        <f ca="1">IF(BK47="","",SMALL($CI$46:$CI$52,ROWS(CH$46:CH47)))</f>
        <v>1.9695990480000001</v>
      </c>
      <c r="CK47"/>
      <c r="CL47" s="867">
        <f ca="1">IF(CJ47="","",IF(AND(CP46=CP47,CQ46=CQ47,CR46=CR47,CS46=CS47),CL46,$CL$46+1))</f>
        <v>2</v>
      </c>
      <c r="CM47" s="890">
        <f t="shared" ca="1" si="31"/>
        <v>3</v>
      </c>
      <c r="CN47" s="887" t="str">
        <f t="shared" ca="1" si="32"/>
        <v>Marc</v>
      </c>
      <c r="CO47" s="805" t="str">
        <f t="shared" ca="1" si="33"/>
        <v/>
      </c>
      <c r="CP47" s="665">
        <f t="shared" ref="CP47:CP52" ca="1" si="46">IF(OR(CH47="",BU47="",CB47=""),"",INDEX($CH$46:$CH$52,MATCH(CJ47,$CI$46:$CI$52,0)))</f>
        <v>13</v>
      </c>
      <c r="CQ47" s="893">
        <f t="shared" ca="1" si="34"/>
        <v>3</v>
      </c>
      <c r="CR47" s="899">
        <f t="shared" ca="1" si="35"/>
        <v>4</v>
      </c>
      <c r="CS47" s="896">
        <f t="shared" ca="1" si="36"/>
        <v>1</v>
      </c>
    </row>
    <row r="48" spans="1:99" ht="24.95" customHeight="1" thickBot="1">
      <c r="A48" s="922" t="s">
        <v>61</v>
      </c>
      <c r="B48" s="924"/>
      <c r="C48" s="924"/>
      <c r="D48" s="923"/>
      <c r="E48" s="266">
        <v>5</v>
      </c>
      <c r="G48" s="35">
        <v>3</v>
      </c>
      <c r="H48" s="31"/>
      <c r="I48" s="1182" t="s">
        <v>211</v>
      </c>
      <c r="J48" s="1183"/>
      <c r="K48" s="1184"/>
      <c r="L48" s="86"/>
      <c r="M48" s="32">
        <v>3</v>
      </c>
      <c r="N48"/>
      <c r="O48" s="1124">
        <v>3</v>
      </c>
      <c r="P48" s="600">
        <v>3</v>
      </c>
      <c r="Q48" s="798">
        <f>+P49</f>
        <v>4</v>
      </c>
      <c r="R48" s="85" t="str">
        <f>IF(ISNA(MATCH(P48,M48:M52,0)),"",INDEX(I48:I52,MATCH(P48,M48:M52,0)))</f>
        <v>Marc</v>
      </c>
      <c r="S48" s="347">
        <v>1</v>
      </c>
      <c r="T48" s="667">
        <f>+S49</f>
        <v>0</v>
      </c>
      <c r="U48" s="537">
        <f>IF(S48+S49=0,0,IF(S48=S49,2,IF(S48&gt;S49,3,1)))</f>
        <v>3</v>
      </c>
      <c r="V48" s="589"/>
      <c r="W48" s="1126">
        <v>4</v>
      </c>
      <c r="X48" s="586">
        <v>2</v>
      </c>
      <c r="Y48" s="799">
        <f>+X49</f>
        <v>4</v>
      </c>
      <c r="Z48" s="1221" t="str">
        <f>+R47</f>
        <v>Marcel</v>
      </c>
      <c r="AA48" s="1222"/>
      <c r="AB48" s="347">
        <v>1</v>
      </c>
      <c r="AC48" s="667">
        <f>+AB49</f>
        <v>0</v>
      </c>
      <c r="AD48" s="537">
        <f>IF(AB48+AB49=0,0,IF(AB48=AB49,2,IF(AB48&gt;AB49,3,1)))</f>
        <v>3</v>
      </c>
      <c r="AE48" s="645"/>
      <c r="AF48" s="1126">
        <v>5</v>
      </c>
      <c r="AG48" s="1124">
        <v>5</v>
      </c>
      <c r="AH48" s="538">
        <v>3</v>
      </c>
      <c r="AI48" s="800">
        <f>+AH49</f>
        <v>2</v>
      </c>
      <c r="AJ48" s="1223" t="str">
        <f>+R48</f>
        <v>Marc</v>
      </c>
      <c r="AK48" s="1222"/>
      <c r="AL48" s="347">
        <v>1</v>
      </c>
      <c r="AM48" s="667">
        <f>+AL49</f>
        <v>0</v>
      </c>
      <c r="AN48" s="537">
        <f>IF(AL48+AL49=0,0,IF(AL48=AL49,2,IF(AL48&gt;AL49,3,1)))</f>
        <v>3</v>
      </c>
      <c r="AO48" s="645"/>
      <c r="AP48" s="1124">
        <v>6</v>
      </c>
      <c r="AQ48" s="538">
        <v>2</v>
      </c>
      <c r="AR48" s="798">
        <v>2</v>
      </c>
      <c r="AS48" s="838" t="str">
        <f>+R47</f>
        <v>Marcel</v>
      </c>
      <c r="AT48" s="436">
        <v>1</v>
      </c>
      <c r="AU48" s="800">
        <f>+AT49</f>
        <v>0</v>
      </c>
      <c r="AV48" s="537">
        <f>IF(AT48+AT49=0,0,IF(AT48=AT49,2,IF(AT48&gt;AT49,3,1)))</f>
        <v>3</v>
      </c>
      <c r="AW48" s="543"/>
      <c r="AX48" s="543"/>
      <c r="AY48" s="1124">
        <v>7</v>
      </c>
      <c r="AZ48" s="768"/>
      <c r="BA48" s="538">
        <v>2</v>
      </c>
      <c r="BB48" s="798">
        <f>+BA49</f>
        <v>7</v>
      </c>
      <c r="BC48" s="838" t="str">
        <f>+R47</f>
        <v>Marcel</v>
      </c>
      <c r="BD48" s="839"/>
      <c r="BE48" s="835"/>
      <c r="BF48" s="347">
        <v>1</v>
      </c>
      <c r="BG48" s="667">
        <f>+BF49</f>
        <v>0</v>
      </c>
      <c r="BH48" s="537">
        <f>IF(BF48+BF49=0,0,IF(BF48=BF49,2,IF(BF48&gt;BF49,3,1)))</f>
        <v>3</v>
      </c>
      <c r="BI48" s="543"/>
      <c r="BJ48" s="808">
        <v>3</v>
      </c>
      <c r="BK48" s="830" t="str">
        <f t="shared" si="24"/>
        <v>Marc</v>
      </c>
      <c r="BL48" s="861"/>
      <c r="BM48" s="878">
        <f t="shared" si="37"/>
        <v>1</v>
      </c>
      <c r="BN48" s="806">
        <f t="shared" si="38"/>
        <v>0</v>
      </c>
      <c r="BO48" s="806">
        <f t="shared" si="39"/>
        <v>1</v>
      </c>
      <c r="BP48" s="806">
        <f t="shared" si="40"/>
        <v>1</v>
      </c>
      <c r="BQ48" s="874">
        <f t="shared" si="25"/>
        <v>1</v>
      </c>
      <c r="BR48" s="618">
        <f ca="1">SUMIF(BM48:BQ48,"&lt;&gt;#N/A",BM48:BP48)</f>
        <v>4</v>
      </c>
      <c r="BS48" s="510"/>
      <c r="BT48" s="570">
        <f t="shared" si="41"/>
        <v>0</v>
      </c>
      <c r="BU48" s="806">
        <f t="shared" si="42"/>
        <v>1</v>
      </c>
      <c r="BV48" s="806">
        <f t="shared" si="43"/>
        <v>0</v>
      </c>
      <c r="BW48" s="806">
        <f t="shared" si="44"/>
        <v>0</v>
      </c>
      <c r="BX48" s="874">
        <f t="shared" si="26"/>
        <v>0</v>
      </c>
      <c r="BY48" s="870">
        <f t="shared" ca="1" si="45"/>
        <v>1</v>
      </c>
      <c r="BZ48" s="573">
        <f t="shared" ca="1" si="27"/>
        <v>3</v>
      </c>
      <c r="CA48" s="524"/>
      <c r="CB48" s="574" t="str">
        <f t="shared" si="28"/>
        <v>V</v>
      </c>
      <c r="CC48" s="614" t="str">
        <f t="shared" si="28"/>
        <v>D</v>
      </c>
      <c r="CD48" s="575" t="str">
        <f t="shared" si="28"/>
        <v>V</v>
      </c>
      <c r="CE48" s="581" t="str">
        <f t="shared" si="28"/>
        <v>V</v>
      </c>
      <c r="CF48" s="576" t="str">
        <f t="shared" si="28"/>
        <v>V</v>
      </c>
      <c r="CG48" s="611"/>
      <c r="CH48" s="818">
        <f t="shared" si="29"/>
        <v>13</v>
      </c>
      <c r="CI48" s="747">
        <f t="shared" ca="1" si="30"/>
        <v>1.9695990480000001</v>
      </c>
      <c r="CJ48" s="524">
        <f ca="1">IF(BK48="","",SMALL($CI$46:$CI$52,ROWS(CH$46:CH48)))</f>
        <v>2.9896980470000001</v>
      </c>
      <c r="CK48"/>
      <c r="CL48" s="867">
        <f ca="1">IF(CJ48="","",IF(AND(CP47=CP48,CQ47=CQ48,CR47=CR48,CS47=CS48),CL47,$CL$46+2))</f>
        <v>3</v>
      </c>
      <c r="CM48" s="890">
        <f t="shared" ca="1" si="31"/>
        <v>2</v>
      </c>
      <c r="CN48" s="887" t="str">
        <f t="shared" ca="1" si="32"/>
        <v>Marcel</v>
      </c>
      <c r="CO48" s="805" t="str">
        <f t="shared" ca="1" si="33"/>
        <v/>
      </c>
      <c r="CP48" s="665">
        <f t="shared" ca="1" si="46"/>
        <v>11</v>
      </c>
      <c r="CQ48" s="893">
        <f t="shared" ca="1" si="34"/>
        <v>1</v>
      </c>
      <c r="CR48" s="899">
        <f t="shared" ca="1" si="35"/>
        <v>3</v>
      </c>
      <c r="CS48" s="896">
        <f t="shared" ca="1" si="36"/>
        <v>2</v>
      </c>
    </row>
    <row r="49" spans="1:97" ht="24.95" customHeight="1" thickBot="1">
      <c r="A49" s="922" t="s">
        <v>73</v>
      </c>
      <c r="B49" s="924"/>
      <c r="C49" s="924"/>
      <c r="D49" s="923"/>
      <c r="E49" s="268">
        <v>4</v>
      </c>
      <c r="G49" s="36">
        <v>4</v>
      </c>
      <c r="H49" s="31"/>
      <c r="I49" s="1182" t="s">
        <v>210</v>
      </c>
      <c r="J49" s="1183"/>
      <c r="K49" s="1184"/>
      <c r="L49" s="86"/>
      <c r="M49" s="32">
        <v>4</v>
      </c>
      <c r="N49"/>
      <c r="O49" s="1125"/>
      <c r="P49" s="827">
        <v>4</v>
      </c>
      <c r="Q49" s="656">
        <f>+P48</f>
        <v>3</v>
      </c>
      <c r="R49" s="88" t="str">
        <f>IF(ISNA(MATCH(P49,M48:M52,0)),"",INDEX(I48:I52,MATCH(P49,M48:M52,0)))</f>
        <v>André</v>
      </c>
      <c r="S49" s="348">
        <v>0</v>
      </c>
      <c r="T49" s="606">
        <f>+S48</f>
        <v>1</v>
      </c>
      <c r="U49" s="561">
        <f>IF(S48+S49=0,0,IF(S48=S49,2,IF(S48&lt;S49,3,1)))</f>
        <v>1</v>
      </c>
      <c r="V49" s="564"/>
      <c r="W49" s="1126"/>
      <c r="X49" s="525">
        <v>4</v>
      </c>
      <c r="Y49" s="655">
        <f>+X48</f>
        <v>2</v>
      </c>
      <c r="Z49" s="1188" t="str">
        <f>+R49</f>
        <v>André</v>
      </c>
      <c r="AA49" s="1189"/>
      <c r="AB49" s="348">
        <v>0</v>
      </c>
      <c r="AC49" s="607">
        <f>+AB48</f>
        <v>1</v>
      </c>
      <c r="AD49" s="561">
        <f>IF(AB48+AB49=0,0,IF(AB48=AB49,2,IF(AB48&lt;AB49,3,1)))</f>
        <v>1</v>
      </c>
      <c r="AE49" s="643"/>
      <c r="AF49" s="1126"/>
      <c r="AG49" s="1126"/>
      <c r="AH49" s="525">
        <v>2</v>
      </c>
      <c r="AI49" s="816">
        <f>+AH48</f>
        <v>3</v>
      </c>
      <c r="AJ49" s="1190" t="str">
        <f>+R47</f>
        <v>Marcel</v>
      </c>
      <c r="AK49" s="1191"/>
      <c r="AL49" s="388">
        <v>0</v>
      </c>
      <c r="AM49" s="606">
        <f>+AL48</f>
        <v>1</v>
      </c>
      <c r="AN49" s="565">
        <f>IF(AL48+AL49=0,0,IF(AL48=AL49,2,IF(AL48&lt;AL49,3,1)))</f>
        <v>1</v>
      </c>
      <c r="AO49" s="643"/>
      <c r="AP49" s="1125"/>
      <c r="AQ49" s="827">
        <v>6</v>
      </c>
      <c r="AR49" s="656">
        <v>6</v>
      </c>
      <c r="AS49" s="844" t="str">
        <f>+R51</f>
        <v>Guy</v>
      </c>
      <c r="AT49" s="437">
        <v>0</v>
      </c>
      <c r="AU49" s="656">
        <f>+AT48</f>
        <v>1</v>
      </c>
      <c r="AV49" s="561">
        <f>IF(AT48+AT49=0,0,IF(AT48=AT49,2,IF(AT48&lt;AT49,3,1)))</f>
        <v>1</v>
      </c>
      <c r="AW49" s="611"/>
      <c r="AX49" s="611"/>
      <c r="AY49" s="1125"/>
      <c r="AZ49" s="765"/>
      <c r="BA49" s="827">
        <v>7</v>
      </c>
      <c r="BB49" s="656">
        <f>+BA48</f>
        <v>2</v>
      </c>
      <c r="BC49" s="840" t="str">
        <f>+R52</f>
        <v>Alain</v>
      </c>
      <c r="BD49" s="841"/>
      <c r="BE49" s="842"/>
      <c r="BF49" s="348">
        <v>0</v>
      </c>
      <c r="BG49" s="656">
        <f>+BF48</f>
        <v>1</v>
      </c>
      <c r="BH49" s="561">
        <f>IF(BF48+BF49=0,0,IF(BF48=BF49,2,IF(BF48&lt;BF49,3,1)))</f>
        <v>1</v>
      </c>
      <c r="BI49" s="611"/>
      <c r="BJ49" s="809">
        <v>4</v>
      </c>
      <c r="BK49" s="830" t="str">
        <f t="shared" si="24"/>
        <v>André</v>
      </c>
      <c r="BL49" s="861"/>
      <c r="BM49" s="878">
        <f t="shared" si="37"/>
        <v>0</v>
      </c>
      <c r="BN49" s="806">
        <f t="shared" si="38"/>
        <v>0</v>
      </c>
      <c r="BO49" s="806">
        <f t="shared" si="39"/>
        <v>0</v>
      </c>
      <c r="BP49" s="864">
        <f t="shared" si="40"/>
        <v>1</v>
      </c>
      <c r="BQ49" s="873">
        <f t="shared" si="25"/>
        <v>1</v>
      </c>
      <c r="BR49" s="618">
        <f ca="1">SUMIF(BM49:BQ49,"&lt;&gt;#N/A",BM49:BP49)</f>
        <v>2</v>
      </c>
      <c r="BS49" s="510"/>
      <c r="BT49" s="570">
        <f t="shared" si="41"/>
        <v>1</v>
      </c>
      <c r="BU49" s="806">
        <f t="shared" si="42"/>
        <v>1</v>
      </c>
      <c r="BV49" s="806">
        <f t="shared" si="43"/>
        <v>1</v>
      </c>
      <c r="BW49" s="864">
        <f t="shared" si="44"/>
        <v>0</v>
      </c>
      <c r="BX49" s="873">
        <f t="shared" si="26"/>
        <v>0</v>
      </c>
      <c r="BY49" s="870">
        <f t="shared" ca="1" si="45"/>
        <v>3</v>
      </c>
      <c r="BZ49" s="573">
        <f t="shared" ca="1" si="27"/>
        <v>-1</v>
      </c>
      <c r="CA49" s="524"/>
      <c r="CB49" s="574" t="str">
        <f t="shared" si="28"/>
        <v>D</v>
      </c>
      <c r="CC49" s="575" t="str">
        <f t="shared" si="28"/>
        <v>D</v>
      </c>
      <c r="CD49" s="575" t="str">
        <f t="shared" si="28"/>
        <v>D</v>
      </c>
      <c r="CE49" s="615" t="str">
        <f t="shared" si="28"/>
        <v>V</v>
      </c>
      <c r="CF49" s="576" t="str">
        <f t="shared" si="28"/>
        <v>V</v>
      </c>
      <c r="CG49" s="611"/>
      <c r="CH49" s="818">
        <f t="shared" si="29"/>
        <v>9</v>
      </c>
      <c r="CI49" s="747">
        <f t="shared" ca="1" si="30"/>
        <v>6.0097970489999986</v>
      </c>
      <c r="CJ49" s="524">
        <f ca="1">IF(BK49="","",SMALL($CI$46:$CI$52,ROWS(CH$46:CH49)))</f>
        <v>2.9896980500000003</v>
      </c>
      <c r="CK49"/>
      <c r="CL49" s="867">
        <f ca="1">IF(CJ49="","",IF(AND(CP48=CP49,CQ48=CQ49,CR48=CR49,CS48=CS49),CL48,$CL$46+3))</f>
        <v>3</v>
      </c>
      <c r="CM49" s="890">
        <f t="shared" ca="1" si="31"/>
        <v>5</v>
      </c>
      <c r="CN49" s="887" t="str">
        <f t="shared" ca="1" si="32"/>
        <v>Michel</v>
      </c>
      <c r="CO49" s="805" t="str">
        <f t="shared" ca="1" si="33"/>
        <v/>
      </c>
      <c r="CP49" s="665">
        <f t="shared" ca="1" si="46"/>
        <v>11</v>
      </c>
      <c r="CQ49" s="893">
        <f t="shared" ca="1" si="34"/>
        <v>1</v>
      </c>
      <c r="CR49" s="899">
        <f t="shared" ca="1" si="35"/>
        <v>3</v>
      </c>
      <c r="CS49" s="896">
        <f t="shared" ca="1" si="36"/>
        <v>2</v>
      </c>
    </row>
    <row r="50" spans="1:97" ht="24.95" customHeight="1">
      <c r="A50" s="110"/>
      <c r="B50" s="110"/>
      <c r="C50" s="155"/>
      <c r="D50" s="156"/>
      <c r="E50" s="139"/>
      <c r="F50" s="42"/>
      <c r="G50" s="35">
        <v>5</v>
      </c>
      <c r="H50" s="31"/>
      <c r="I50" s="1182" t="s">
        <v>212</v>
      </c>
      <c r="J50" s="1183"/>
      <c r="K50" s="1184"/>
      <c r="L50" s="86"/>
      <c r="M50" s="32">
        <v>5</v>
      </c>
      <c r="N50"/>
      <c r="O50" s="1124">
        <v>5</v>
      </c>
      <c r="P50" s="600">
        <v>5</v>
      </c>
      <c r="Q50" s="798">
        <f>+P51</f>
        <v>6</v>
      </c>
      <c r="R50" s="85" t="str">
        <f>IF(ISNA(MATCH(P50,M50:M54,0)),"",INDEX(I50:I54,MATCH(P50,M50:M54,0)))</f>
        <v>Michel</v>
      </c>
      <c r="S50" s="347">
        <v>1</v>
      </c>
      <c r="T50" s="667">
        <f>+S51</f>
        <v>0</v>
      </c>
      <c r="U50" s="585">
        <f>IF(S50+S51=0,0,IF(S50=S51,2,IF(S50&gt;S51,3,1)))</f>
        <v>3</v>
      </c>
      <c r="V50" s="589"/>
      <c r="W50" s="1219">
        <v>6</v>
      </c>
      <c r="X50" s="538">
        <v>5</v>
      </c>
      <c r="Y50" s="798">
        <f>+X51</f>
        <v>7</v>
      </c>
      <c r="Z50" s="1221" t="str">
        <f>+R50</f>
        <v>Michel</v>
      </c>
      <c r="AA50" s="1222"/>
      <c r="AB50" s="347">
        <v>1</v>
      </c>
      <c r="AC50" s="667">
        <f>+AB51</f>
        <v>0</v>
      </c>
      <c r="AD50" s="537">
        <f>IF(AB50+AB51=0,0,IF(AB50=AB51,2,IF(AB50&gt;AB51,3,1)))</f>
        <v>3</v>
      </c>
      <c r="AE50" s="645"/>
      <c r="AF50" s="1124">
        <v>7</v>
      </c>
      <c r="AG50" s="1124">
        <v>5</v>
      </c>
      <c r="AH50" s="538">
        <v>6</v>
      </c>
      <c r="AI50" s="800">
        <f>+AH51</f>
        <v>7</v>
      </c>
      <c r="AJ50" s="1223" t="str">
        <f>+R51</f>
        <v>Guy</v>
      </c>
      <c r="AK50" s="1222"/>
      <c r="AL50" s="347">
        <v>1</v>
      </c>
      <c r="AM50" s="667">
        <f>+AL51</f>
        <v>0</v>
      </c>
      <c r="AN50" s="537">
        <f>IF(AL50+AL51=0,0,IF(AL50=AL51,2,IF(AL50&gt;AL51,3,1)))</f>
        <v>3</v>
      </c>
      <c r="AO50" s="645"/>
      <c r="AP50" s="1124">
        <v>8</v>
      </c>
      <c r="AQ50" s="538">
        <v>3</v>
      </c>
      <c r="AR50" s="798">
        <v>3</v>
      </c>
      <c r="AS50" s="838" t="str">
        <f>+R48</f>
        <v>Marc</v>
      </c>
      <c r="AT50" s="436">
        <v>1</v>
      </c>
      <c r="AU50" s="800">
        <f>+AT51</f>
        <v>0</v>
      </c>
      <c r="AV50" s="537">
        <f>IF(AT50+AT51=0,0,IF(AT50=AT51,2,IF(AT50&gt;AT51,3,1)))</f>
        <v>3</v>
      </c>
      <c r="AW50" s="543"/>
      <c r="AX50" s="543"/>
      <c r="AY50" s="1124">
        <v>7</v>
      </c>
      <c r="AZ50" s="771"/>
      <c r="BA50" s="538">
        <v>4</v>
      </c>
      <c r="BB50" s="798">
        <f>+BA51</f>
        <v>5</v>
      </c>
      <c r="BC50" s="838" t="str">
        <f>+R49</f>
        <v>André</v>
      </c>
      <c r="BD50" s="839"/>
      <c r="BE50" s="835"/>
      <c r="BF50" s="347">
        <v>1</v>
      </c>
      <c r="BG50" s="667">
        <f>+BF51</f>
        <v>0</v>
      </c>
      <c r="BH50" s="537">
        <f>IF(BF50+BF51=0,0,IF(BF50=BF51,2,IF(BF50&gt;BF51,3,1)))</f>
        <v>3</v>
      </c>
      <c r="BI50" s="543"/>
      <c r="BJ50" s="809">
        <v>5</v>
      </c>
      <c r="BK50" s="830" t="str">
        <f t="shared" si="24"/>
        <v>Michel</v>
      </c>
      <c r="BL50" s="861"/>
      <c r="BM50" s="878">
        <f t="shared" si="37"/>
        <v>1</v>
      </c>
      <c r="BN50" s="806">
        <f t="shared" si="38"/>
        <v>1</v>
      </c>
      <c r="BO50" s="864">
        <f t="shared" si="39"/>
        <v>1</v>
      </c>
      <c r="BP50" s="806">
        <f t="shared" si="40"/>
        <v>0</v>
      </c>
      <c r="BQ50" s="873">
        <f t="shared" si="25"/>
        <v>0</v>
      </c>
      <c r="BR50" s="618">
        <f ca="1">SUMIF(BM50:BQ50,"&lt;&gt;#N/A",BM50:BP50)</f>
        <v>3</v>
      </c>
      <c r="BS50" s="510"/>
      <c r="BT50" s="570">
        <f t="shared" si="41"/>
        <v>0</v>
      </c>
      <c r="BU50" s="806">
        <f t="shared" si="42"/>
        <v>0</v>
      </c>
      <c r="BV50" s="864">
        <f t="shared" si="43"/>
        <v>0</v>
      </c>
      <c r="BW50" s="806">
        <f t="shared" si="44"/>
        <v>1</v>
      </c>
      <c r="BX50" s="873">
        <f t="shared" si="26"/>
        <v>1</v>
      </c>
      <c r="BY50" s="870">
        <f t="shared" ca="1" si="45"/>
        <v>2</v>
      </c>
      <c r="BZ50" s="573">
        <f t="shared" ca="1" si="27"/>
        <v>1</v>
      </c>
      <c r="CA50" s="524"/>
      <c r="CB50" s="616" t="str">
        <f t="shared" si="28"/>
        <v>V</v>
      </c>
      <c r="CC50" s="575" t="str">
        <f t="shared" si="28"/>
        <v>V</v>
      </c>
      <c r="CD50" s="575" t="str">
        <f t="shared" si="28"/>
        <v>V</v>
      </c>
      <c r="CE50" s="581" t="str">
        <f t="shared" si="28"/>
        <v>D</v>
      </c>
      <c r="CF50" s="576" t="str">
        <f t="shared" si="28"/>
        <v>D</v>
      </c>
      <c r="CG50" s="611"/>
      <c r="CH50" s="818">
        <f t="shared" si="29"/>
        <v>11</v>
      </c>
      <c r="CI50" s="747">
        <f t="shared" ca="1" si="30"/>
        <v>2.9896980500000003</v>
      </c>
      <c r="CJ50" s="524">
        <f ca="1">IF(BK50="","",SMALL($CI$46:$CI$52,ROWS(CH$46:CH50)))</f>
        <v>4.9996970509999992</v>
      </c>
      <c r="CK50"/>
      <c r="CL50" s="867">
        <f ca="1">IF(CJ50="","",IF(AND(CP49=CP50,CQ49=CQ50,CR49=CR50,CS49=CS50),CL49,$CL$46+4))</f>
        <v>5</v>
      </c>
      <c r="CM50" s="890">
        <f t="shared" ca="1" si="31"/>
        <v>6</v>
      </c>
      <c r="CN50" s="887" t="str">
        <f t="shared" ca="1" si="32"/>
        <v>Guy</v>
      </c>
      <c r="CO50" s="805" t="str">
        <f t="shared" ca="1" si="33"/>
        <v/>
      </c>
      <c r="CP50" s="665">
        <f t="shared" ca="1" si="46"/>
        <v>10</v>
      </c>
      <c r="CQ50" s="893">
        <f t="shared" ca="1" si="34"/>
        <v>0</v>
      </c>
      <c r="CR50" s="899">
        <f t="shared" ca="1" si="35"/>
        <v>3</v>
      </c>
      <c r="CS50" s="896">
        <f t="shared" ca="1" si="36"/>
        <v>3</v>
      </c>
    </row>
    <row r="51" spans="1:97" ht="24.95" customHeight="1" thickBot="1">
      <c r="A51" s="42"/>
      <c r="B51" s="1105" t="s">
        <v>84</v>
      </c>
      <c r="C51" s="1105"/>
      <c r="D51" s="1105"/>
      <c r="E51" s="42"/>
      <c r="F51" s="42"/>
      <c r="G51" s="812">
        <v>6</v>
      </c>
      <c r="H51" s="793"/>
      <c r="I51" s="1257" t="s">
        <v>213</v>
      </c>
      <c r="J51" s="1258"/>
      <c r="K51" s="1259"/>
      <c r="L51" s="813"/>
      <c r="M51" s="814">
        <v>6</v>
      </c>
      <c r="N51"/>
      <c r="O51" s="1126"/>
      <c r="P51" s="525">
        <v>6</v>
      </c>
      <c r="Q51" s="655">
        <f>+P50</f>
        <v>5</v>
      </c>
      <c r="R51" s="91" t="str">
        <f>IF(ISNA(MATCH(P51,M50:M54,0)),"",INDEX(I50:I54,MATCH(P51,M50:M54,0)))</f>
        <v>Guy</v>
      </c>
      <c r="S51" s="348">
        <v>0</v>
      </c>
      <c r="T51" s="606">
        <f>+S50</f>
        <v>1</v>
      </c>
      <c r="U51" s="565">
        <f>IF(S50+S51=0,0,IF(S50=S51,2,IF(S50&lt;S51,3,1)))</f>
        <v>1</v>
      </c>
      <c r="V51" s="611"/>
      <c r="W51" s="1220"/>
      <c r="X51" s="827">
        <v>7</v>
      </c>
      <c r="Y51" s="656">
        <f>+X50</f>
        <v>5</v>
      </c>
      <c r="Z51" s="1188" t="str">
        <f>+R52</f>
        <v>Alain</v>
      </c>
      <c r="AA51" s="1189"/>
      <c r="AB51" s="348">
        <v>0</v>
      </c>
      <c r="AC51" s="607">
        <f>+AB50</f>
        <v>1</v>
      </c>
      <c r="AD51" s="561">
        <f>IF(AB50+AB51=0,0,IF(AB50=AB51,2,IF(AB50&lt;AB51,3,1)))</f>
        <v>1</v>
      </c>
      <c r="AE51" s="641"/>
      <c r="AF51" s="1125"/>
      <c r="AG51" s="1125"/>
      <c r="AH51" s="827">
        <v>7</v>
      </c>
      <c r="AI51" s="801">
        <f>+AH50</f>
        <v>6</v>
      </c>
      <c r="AJ51" s="1208" t="str">
        <f>+R52</f>
        <v>Alain</v>
      </c>
      <c r="AK51" s="1189"/>
      <c r="AL51" s="348">
        <v>0</v>
      </c>
      <c r="AM51" s="607">
        <f>+AL50</f>
        <v>1</v>
      </c>
      <c r="AN51" s="561">
        <f>IF(AL50+AL51=0,0,IF(AL50=AL51,2,IF(AL50&lt;AL51,3,1)))</f>
        <v>1</v>
      </c>
      <c r="AO51" s="641"/>
      <c r="AP51" s="1125"/>
      <c r="AQ51" s="827">
        <v>7</v>
      </c>
      <c r="AR51" s="656">
        <v>7</v>
      </c>
      <c r="AS51" s="844" t="str">
        <f>+R52</f>
        <v>Alain</v>
      </c>
      <c r="AT51" s="437">
        <v>0</v>
      </c>
      <c r="AU51" s="656">
        <f>+AT50</f>
        <v>1</v>
      </c>
      <c r="AV51" s="561">
        <f>IF(AT50+AT51=0,0,IF(AT50=AT51,2,IF(AT50&lt;AT51,3,1)))</f>
        <v>1</v>
      </c>
      <c r="AW51" s="543"/>
      <c r="AX51" s="543"/>
      <c r="AY51" s="1125"/>
      <c r="AZ51" s="772"/>
      <c r="BA51" s="827">
        <v>5</v>
      </c>
      <c r="BB51" s="656">
        <f>+BA50</f>
        <v>4</v>
      </c>
      <c r="BC51" s="840" t="str">
        <f>+R50</f>
        <v>Michel</v>
      </c>
      <c r="BD51" s="841"/>
      <c r="BE51" s="842"/>
      <c r="BF51" s="348">
        <v>0</v>
      </c>
      <c r="BG51" s="656">
        <f>+BF50</f>
        <v>1</v>
      </c>
      <c r="BH51" s="561">
        <f>IF(BF50+BF51=0,0,IF(BF50=BF51,2,IF(BF50&lt;BF51,3,1)))</f>
        <v>1</v>
      </c>
      <c r="BI51" s="611"/>
      <c r="BJ51" s="817">
        <v>6</v>
      </c>
      <c r="BK51" s="828" t="str">
        <f t="shared" si="24"/>
        <v>Guy</v>
      </c>
      <c r="BL51" s="862"/>
      <c r="BM51" s="878">
        <f t="shared" si="37"/>
        <v>0</v>
      </c>
      <c r="BN51" s="864">
        <f t="shared" si="38"/>
        <v>1</v>
      </c>
      <c r="BO51" s="806">
        <f t="shared" si="39"/>
        <v>1</v>
      </c>
      <c r="BP51" s="806">
        <f t="shared" si="40"/>
        <v>0</v>
      </c>
      <c r="BQ51" s="873">
        <f t="shared" si="25"/>
        <v>1</v>
      </c>
      <c r="BR51" s="618">
        <f t="shared" ref="BR51:BR52" ca="1" si="47">SUMIF(BM51:BQ51,"&lt;&gt;#N/A",BM51:BP51)</f>
        <v>3</v>
      </c>
      <c r="BS51" s="510"/>
      <c r="BT51" s="570">
        <f t="shared" si="41"/>
        <v>1</v>
      </c>
      <c r="BU51" s="864">
        <f t="shared" si="42"/>
        <v>0</v>
      </c>
      <c r="BV51" s="806">
        <f t="shared" si="43"/>
        <v>0</v>
      </c>
      <c r="BW51" s="806">
        <f t="shared" si="44"/>
        <v>1</v>
      </c>
      <c r="BX51" s="873">
        <f t="shared" si="26"/>
        <v>1</v>
      </c>
      <c r="BY51" s="870">
        <f t="shared" ca="1" si="45"/>
        <v>3</v>
      </c>
      <c r="BZ51" s="573">
        <f t="shared" ca="1" si="27"/>
        <v>0</v>
      </c>
      <c r="CA51" s="524"/>
      <c r="CB51" s="616" t="str">
        <f t="shared" si="28"/>
        <v>D</v>
      </c>
      <c r="CC51" s="575" t="str">
        <f t="shared" si="28"/>
        <v>V</v>
      </c>
      <c r="CD51" s="575" t="str">
        <f t="shared" si="28"/>
        <v>V</v>
      </c>
      <c r="CE51" s="581" t="str">
        <f t="shared" si="28"/>
        <v>D</v>
      </c>
      <c r="CF51" s="576" t="str">
        <f t="shared" si="28"/>
        <v>N</v>
      </c>
      <c r="CG51" s="611"/>
      <c r="CH51" s="818">
        <f t="shared" si="29"/>
        <v>10</v>
      </c>
      <c r="CI51" s="747">
        <f t="shared" ca="1" si="30"/>
        <v>4.9996970509999992</v>
      </c>
      <c r="CJ51" s="524">
        <f ca="1">IF(BK51="","",SMALL($CI$46:$CI$52,ROWS(CH$46:CH51)))</f>
        <v>6.0097970489999986</v>
      </c>
      <c r="CK51"/>
      <c r="CL51" s="867">
        <f ca="1">IF(CJ51="","",IF(AND(CP50=CP51,CQ50=CQ51,CR50=CR51,CS50=CS51),CL50,$CL$46+5))</f>
        <v>6</v>
      </c>
      <c r="CM51" s="890">
        <f t="shared" ca="1" si="31"/>
        <v>4</v>
      </c>
      <c r="CN51" s="887" t="str">
        <f t="shared" ca="1" si="32"/>
        <v>André</v>
      </c>
      <c r="CO51" s="805" t="str">
        <f t="shared" ca="1" si="33"/>
        <v/>
      </c>
      <c r="CP51" s="665">
        <f t="shared" ca="1" si="46"/>
        <v>9</v>
      </c>
      <c r="CQ51" s="893">
        <f t="shared" ca="1" si="34"/>
        <v>-1</v>
      </c>
      <c r="CR51" s="899">
        <f t="shared" ca="1" si="35"/>
        <v>2</v>
      </c>
      <c r="CS51" s="896">
        <f t="shared" ca="1" si="36"/>
        <v>3</v>
      </c>
    </row>
    <row r="52" spans="1:97" ht="24.95" customHeight="1" thickBot="1">
      <c r="A52" s="42"/>
      <c r="B52" s="42"/>
      <c r="C52" s="42"/>
      <c r="D52" s="42"/>
      <c r="E52" s="42"/>
      <c r="F52" s="42"/>
      <c r="G52" s="189">
        <v>7</v>
      </c>
      <c r="H52" s="190"/>
      <c r="I52" s="1185" t="s">
        <v>207</v>
      </c>
      <c r="J52" s="1186"/>
      <c r="K52" s="1187"/>
      <c r="L52" s="191"/>
      <c r="M52" s="192">
        <v>7</v>
      </c>
      <c r="O52" s="847"/>
      <c r="P52" s="848">
        <v>7</v>
      </c>
      <c r="Q52" s="849"/>
      <c r="R52" s="853" t="str">
        <f>IF(ISNA(MATCH(P52,M51:M55,0)),"",INDEX(I51:I55,MATCH(P52,M51:M55,0)))</f>
        <v>Alain</v>
      </c>
      <c r="S52" s="850">
        <v>1</v>
      </c>
      <c r="T52" s="851">
        <v>0</v>
      </c>
      <c r="U52" s="854">
        <v>3</v>
      </c>
      <c r="V52" s="564"/>
      <c r="W52" s="815"/>
      <c r="X52" s="827">
        <v>6</v>
      </c>
      <c r="Y52" s="656">
        <v>6</v>
      </c>
      <c r="Z52" s="1260" t="str">
        <f>+R51</f>
        <v>Guy</v>
      </c>
      <c r="AA52" s="1261"/>
      <c r="AB52" s="741">
        <v>1</v>
      </c>
      <c r="AC52" s="607">
        <v>0</v>
      </c>
      <c r="AD52" s="855">
        <v>3</v>
      </c>
      <c r="AE52" s="643"/>
      <c r="AF52" s="815"/>
      <c r="AG52" s="815"/>
      <c r="AH52" s="827">
        <v>5</v>
      </c>
      <c r="AI52" s="801">
        <v>5</v>
      </c>
      <c r="AJ52" s="1231" t="str">
        <f>+R50</f>
        <v>Michel</v>
      </c>
      <c r="AK52" s="1232"/>
      <c r="AL52" s="741">
        <v>1</v>
      </c>
      <c r="AM52" s="607">
        <v>0</v>
      </c>
      <c r="AN52" s="607">
        <v>3</v>
      </c>
      <c r="AO52" s="643"/>
      <c r="AP52" s="770"/>
      <c r="AQ52" s="827">
        <v>4</v>
      </c>
      <c r="AR52" s="656">
        <v>4</v>
      </c>
      <c r="AS52" s="745" t="str">
        <f>+R49</f>
        <v>André</v>
      </c>
      <c r="AT52" s="803">
        <v>1</v>
      </c>
      <c r="AU52" s="801">
        <v>0</v>
      </c>
      <c r="AV52" s="629">
        <v>3</v>
      </c>
      <c r="AW52" s="611"/>
      <c r="AX52" s="611"/>
      <c r="AY52" s="815"/>
      <c r="AZ52" s="765"/>
      <c r="BA52" s="827">
        <v>3</v>
      </c>
      <c r="BB52" s="656"/>
      <c r="BC52" s="856" t="str">
        <f>+R48</f>
        <v>Marc</v>
      </c>
      <c r="BD52" s="858"/>
      <c r="BE52" s="852"/>
      <c r="BF52" s="741">
        <v>1</v>
      </c>
      <c r="BG52" s="607">
        <v>0</v>
      </c>
      <c r="BH52" s="629">
        <v>3</v>
      </c>
      <c r="BJ52" s="810">
        <v>7</v>
      </c>
      <c r="BK52" s="831" t="str">
        <f t="shared" si="24"/>
        <v>Alain</v>
      </c>
      <c r="BL52" s="863"/>
      <c r="BM52" s="879">
        <f t="shared" si="37"/>
        <v>1</v>
      </c>
      <c r="BN52" s="876">
        <f t="shared" si="38"/>
        <v>0</v>
      </c>
      <c r="BO52" s="876">
        <f t="shared" si="39"/>
        <v>0</v>
      </c>
      <c r="BP52" s="876">
        <f t="shared" si="40"/>
        <v>0</v>
      </c>
      <c r="BQ52" s="877">
        <f t="shared" si="25"/>
        <v>0</v>
      </c>
      <c r="BR52" s="618">
        <f t="shared" ca="1" si="47"/>
        <v>1</v>
      </c>
      <c r="BS52" s="510"/>
      <c r="BT52" s="875">
        <f t="shared" si="41"/>
        <v>0</v>
      </c>
      <c r="BU52" s="876">
        <f t="shared" si="42"/>
        <v>1</v>
      </c>
      <c r="BV52" s="876">
        <f t="shared" si="43"/>
        <v>1</v>
      </c>
      <c r="BW52" s="876">
        <f t="shared" si="44"/>
        <v>1</v>
      </c>
      <c r="BX52" s="877">
        <f t="shared" si="26"/>
        <v>1</v>
      </c>
      <c r="BY52" s="871">
        <f t="shared" ca="1" si="45"/>
        <v>4</v>
      </c>
      <c r="BZ52" s="859">
        <f t="shared" ca="1" si="27"/>
        <v>-3</v>
      </c>
      <c r="CA52" s="524"/>
      <c r="CB52" s="875" t="str">
        <f t="shared" si="28"/>
        <v>V</v>
      </c>
      <c r="CC52" s="626" t="str">
        <f t="shared" si="28"/>
        <v>D</v>
      </c>
      <c r="CD52" s="621" t="str">
        <f t="shared" si="28"/>
        <v>D</v>
      </c>
      <c r="CE52" s="622" t="str">
        <f t="shared" si="28"/>
        <v>D</v>
      </c>
      <c r="CF52" s="623" t="str">
        <f t="shared" si="28"/>
        <v>D</v>
      </c>
      <c r="CH52" s="818">
        <f t="shared" si="29"/>
        <v>7</v>
      </c>
      <c r="CI52" s="747">
        <f t="shared" ca="1" si="30"/>
        <v>7.0298960520000007</v>
      </c>
      <c r="CJ52" s="524">
        <f ca="1">IF(BK52="","",SMALL($CI$46:$CI$52,ROWS(CH$46:CH52)))</f>
        <v>7.0298960520000007</v>
      </c>
      <c r="CK52"/>
      <c r="CL52" s="885">
        <f ca="1">IF(CJ52="","",IF(AND(CP51=CP52,CQ51=CQ52,CR51=CR52,CS51=CS52),CL51,$CL$46+6))</f>
        <v>7</v>
      </c>
      <c r="CM52" s="891">
        <f t="shared" ca="1" si="31"/>
        <v>7</v>
      </c>
      <c r="CN52" s="888" t="str">
        <f t="shared" ca="1" si="32"/>
        <v>Alain</v>
      </c>
      <c r="CO52" s="837" t="str">
        <f t="shared" ca="1" si="33"/>
        <v/>
      </c>
      <c r="CP52" s="886">
        <f t="shared" ca="1" si="46"/>
        <v>7</v>
      </c>
      <c r="CQ52" s="894">
        <f t="shared" ca="1" si="34"/>
        <v>-3</v>
      </c>
      <c r="CR52" s="900">
        <f t="shared" ca="1" si="35"/>
        <v>1</v>
      </c>
      <c r="CS52" s="897">
        <f t="shared" ca="1" si="36"/>
        <v>4</v>
      </c>
    </row>
    <row r="53" spans="1:97" ht="24.95" customHeight="1" thickBo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S53" s="640">
        <f>SUM(S46:S52)</f>
        <v>4</v>
      </c>
      <c r="T53" s="640">
        <f>SUM(T46:T52)</f>
        <v>3</v>
      </c>
      <c r="AB53" s="640">
        <f>SUM(AB46:AB52)</f>
        <v>4</v>
      </c>
      <c r="AC53" s="640">
        <f>SUM(AC46:AC52)</f>
        <v>3</v>
      </c>
      <c r="AE53" s="58"/>
      <c r="AL53" s="640">
        <f>SUM(AL46:AL52)</f>
        <v>4</v>
      </c>
      <c r="AM53" s="640">
        <f>SUM(AM46:AM52)</f>
        <v>3</v>
      </c>
      <c r="AT53" s="639">
        <f>SUM(AT46:AT52)</f>
        <v>4</v>
      </c>
      <c r="AU53" s="640">
        <f>SUM(AU46:AU52)</f>
        <v>3</v>
      </c>
      <c r="BF53" s="640">
        <f>SUM(BF46:BF52)</f>
        <v>5</v>
      </c>
      <c r="BG53" s="640">
        <f>SUM(BG46:BG52)</f>
        <v>4</v>
      </c>
      <c r="BI53" s="490"/>
      <c r="BL53" s="58"/>
      <c r="BM53" s="58"/>
      <c r="BR53" s="640">
        <f ca="1">SUM(BR46:BR52)</f>
        <v>21</v>
      </c>
      <c r="BY53" s="639">
        <f>SUM(BG53+AU53+AM53+AC53+T53)</f>
        <v>16</v>
      </c>
      <c r="BZ53" s="639">
        <f ca="1">SUM(BZ46:BZ52)</f>
        <v>5</v>
      </c>
      <c r="CH53"/>
      <c r="CI53"/>
      <c r="CJ53"/>
      <c r="CK53"/>
      <c r="CL53"/>
      <c r="CM53"/>
      <c r="CN53"/>
      <c r="CO53"/>
      <c r="CP53"/>
      <c r="CQ53"/>
    </row>
    <row r="54" spans="1:97" ht="24.95" customHeight="1" thickBo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AA54"/>
      <c r="AE54" s="58"/>
      <c r="AR54"/>
      <c r="AU54" s="58"/>
      <c r="BC54" s="684"/>
      <c r="BF54" s="58"/>
      <c r="BJ54" s="724"/>
      <c r="BL54" s="58"/>
      <c r="BM54" s="269">
        <f>SUM(BM46:BM53)</f>
        <v>4</v>
      </c>
      <c r="BN54" s="269">
        <f>SUM(BN46:BN53)</f>
        <v>4</v>
      </c>
      <c r="BO54" s="269">
        <f>SUM(BO46:BO52)</f>
        <v>4</v>
      </c>
      <c r="BP54" s="269">
        <f>SUM(BP46:BP52)</f>
        <v>4</v>
      </c>
      <c r="BQ54" s="269">
        <f>SUM(BQ46:BQ52)</f>
        <v>5</v>
      </c>
      <c r="BR54" s="269">
        <f>SUM(BM54:BQ54)</f>
        <v>21</v>
      </c>
      <c r="BT54" s="269">
        <f>SUM(BT46:BT53)</f>
        <v>3</v>
      </c>
      <c r="BU54" s="269">
        <f>SUM(BU46:BU53)</f>
        <v>3</v>
      </c>
      <c r="BV54" s="269">
        <f>SUM(BV46:BV52)</f>
        <v>3</v>
      </c>
      <c r="BW54" s="269">
        <f>SUM(BW46:BW52)</f>
        <v>3</v>
      </c>
      <c r="BX54" s="269">
        <f>SUM(BX46:BX52)</f>
        <v>4</v>
      </c>
      <c r="BY54" s="269">
        <f>SUM(BT54:BX54)</f>
        <v>16</v>
      </c>
      <c r="BZ54" s="269">
        <f ca="1">SUM(BZ46:BZ52)</f>
        <v>5</v>
      </c>
      <c r="CH54" s="269">
        <f>SUM(CH46:CH52)</f>
        <v>75</v>
      </c>
      <c r="CK54"/>
      <c r="CP54" s="269">
        <f ca="1">SUM(CP46:CP52)</f>
        <v>75</v>
      </c>
    </row>
    <row r="55" spans="1:97" ht="15.75" thickBo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AB55"/>
      <c r="AC55"/>
      <c r="AE55" s="58"/>
      <c r="AS55"/>
      <c r="AU55" s="58"/>
      <c r="BD55" s="684"/>
      <c r="BF55" s="640">
        <f>SUM(BF53+AT53+AL53+AB53+S53)</f>
        <v>21</v>
      </c>
      <c r="BG55" s="640">
        <f>SUM(BG53+AU53+AM53+AC53+T53)</f>
        <v>16</v>
      </c>
      <c r="BJ55" s="490"/>
      <c r="BK55" s="724"/>
      <c r="BL55" s="58"/>
      <c r="BM55" s="58"/>
    </row>
    <row r="56" spans="1:97">
      <c r="BL56" s="490"/>
      <c r="BM56" s="724"/>
    </row>
    <row r="57" spans="1:97">
      <c r="BL57" s="490"/>
      <c r="BM57" s="724"/>
    </row>
    <row r="58" spans="1:97" ht="23.25">
      <c r="A58" s="756" t="s">
        <v>218</v>
      </c>
      <c r="B58" s="408"/>
      <c r="C58" s="408"/>
      <c r="BL58" s="490"/>
      <c r="BM58" s="724"/>
    </row>
    <row r="59" spans="1:97" ht="23.25">
      <c r="A59" s="756" t="s">
        <v>220</v>
      </c>
      <c r="B59" s="408"/>
      <c r="C59" s="408"/>
      <c r="P59" s="685"/>
    </row>
    <row r="60" spans="1:97" ht="23.25">
      <c r="A60" s="756" t="s">
        <v>219</v>
      </c>
      <c r="B60" s="408"/>
      <c r="C60" s="408"/>
    </row>
  </sheetData>
  <sheetProtection formatCells="0" formatColumns="0" formatRows="0" insertColumns="0" insertRows="0" insertHyperlinks="0" deleteColumns="0" deleteRows="0" sort="0"/>
  <mergeCells count="216">
    <mergeCell ref="AT8:AX8"/>
    <mergeCell ref="AE8:AJ8"/>
    <mergeCell ref="AM8:AQ8"/>
    <mergeCell ref="AF12:AI12"/>
    <mergeCell ref="AF13:AI13"/>
    <mergeCell ref="AF15:AI15"/>
    <mergeCell ref="AF16:AI16"/>
    <mergeCell ref="AF17:AI17"/>
    <mergeCell ref="AF18:AI18"/>
    <mergeCell ref="AN11:AP11"/>
    <mergeCell ref="AN12:AP12"/>
    <mergeCell ref="AN16:AP16"/>
    <mergeCell ref="AN17:AP17"/>
    <mergeCell ref="AU11:AX11"/>
    <mergeCell ref="AU12:AX12"/>
    <mergeCell ref="AU16:AX16"/>
    <mergeCell ref="AU17:AX17"/>
    <mergeCell ref="A48:D48"/>
    <mergeCell ref="I48:K48"/>
    <mergeCell ref="U10:U13"/>
    <mergeCell ref="AD10:AD13"/>
    <mergeCell ref="AD15:AD18"/>
    <mergeCell ref="I52:K52"/>
    <mergeCell ref="H42:I43"/>
    <mergeCell ref="AM16:AM17"/>
    <mergeCell ref="AM11:AM12"/>
    <mergeCell ref="Z44:AA44"/>
    <mergeCell ref="Z46:AA46"/>
    <mergeCell ref="Z47:AA47"/>
    <mergeCell ref="Z48:AA48"/>
    <mergeCell ref="Z49:AA49"/>
    <mergeCell ref="X43:AD43"/>
    <mergeCell ref="AJ44:AK44"/>
    <mergeCell ref="W15:W16"/>
    <mergeCell ref="W31:W32"/>
    <mergeCell ref="Z31:AA31"/>
    <mergeCell ref="AF31:AF32"/>
    <mergeCell ref="AG31:AG32"/>
    <mergeCell ref="AJ31:AK31"/>
    <mergeCell ref="AH43:AN43"/>
    <mergeCell ref="Z52:AA52"/>
    <mergeCell ref="AF50:AF51"/>
    <mergeCell ref="AG50:AG51"/>
    <mergeCell ref="B51:D51"/>
    <mergeCell ref="N10:O10"/>
    <mergeCell ref="P10:Q10"/>
    <mergeCell ref="P11:Q11"/>
    <mergeCell ref="P12:Q12"/>
    <mergeCell ref="P13:Q13"/>
    <mergeCell ref="P14:Q14"/>
    <mergeCell ref="P15:Q15"/>
    <mergeCell ref="P16:Q16"/>
    <mergeCell ref="P17:Q17"/>
    <mergeCell ref="P43:U43"/>
    <mergeCell ref="N11:O11"/>
    <mergeCell ref="N12:O12"/>
    <mergeCell ref="N13:O13"/>
    <mergeCell ref="N14:O14"/>
    <mergeCell ref="N15:O15"/>
    <mergeCell ref="E43:F43"/>
    <mergeCell ref="I45:K45"/>
    <mergeCell ref="A31:D31"/>
    <mergeCell ref="I31:K31"/>
    <mergeCell ref="O31:O32"/>
    <mergeCell ref="I51:K51"/>
    <mergeCell ref="F40:N40"/>
    <mergeCell ref="F23:N23"/>
    <mergeCell ref="A49:D49"/>
    <mergeCell ref="I49:K49"/>
    <mergeCell ref="I50:K50"/>
    <mergeCell ref="AJ48:AK48"/>
    <mergeCell ref="AJ49:AK49"/>
    <mergeCell ref="I47:K47"/>
    <mergeCell ref="O48:O49"/>
    <mergeCell ref="W48:W49"/>
    <mergeCell ref="AG48:AG49"/>
    <mergeCell ref="O46:O47"/>
    <mergeCell ref="W46:W47"/>
    <mergeCell ref="AG46:AG47"/>
    <mergeCell ref="C46:D46"/>
    <mergeCell ref="I46:K46"/>
    <mergeCell ref="AJ46:AK46"/>
    <mergeCell ref="AJ47:AK47"/>
    <mergeCell ref="AF46:AF47"/>
    <mergeCell ref="AF48:AF49"/>
    <mergeCell ref="O50:O51"/>
    <mergeCell ref="Z50:AA50"/>
    <mergeCell ref="Z51:AA51"/>
    <mergeCell ref="W50:W51"/>
    <mergeCell ref="BF4:BJ4"/>
    <mergeCell ref="AZ7:AZ8"/>
    <mergeCell ref="E42:F42"/>
    <mergeCell ref="B3:C3"/>
    <mergeCell ref="D3:E3"/>
    <mergeCell ref="G3:H3"/>
    <mergeCell ref="I3:J3"/>
    <mergeCell ref="C14:D14"/>
    <mergeCell ref="H14:H15"/>
    <mergeCell ref="I14:I15"/>
    <mergeCell ref="AC15:AC18"/>
    <mergeCell ref="A17:C17"/>
    <mergeCell ref="Y18:Z18"/>
    <mergeCell ref="N16:O16"/>
    <mergeCell ref="N17:O17"/>
    <mergeCell ref="B19:D19"/>
    <mergeCell ref="A16:C16"/>
    <mergeCell ref="U15:U18"/>
    <mergeCell ref="V15:V18"/>
    <mergeCell ref="Y12:Z12"/>
    <mergeCell ref="Y13:Z13"/>
    <mergeCell ref="Y15:Z15"/>
    <mergeCell ref="Y16:Z16"/>
    <mergeCell ref="Y17:Z17"/>
    <mergeCell ref="A1:F1"/>
    <mergeCell ref="E10:F10"/>
    <mergeCell ref="H10:I11"/>
    <mergeCell ref="E11:F11"/>
    <mergeCell ref="C5:E5"/>
    <mergeCell ref="Y9:Z9"/>
    <mergeCell ref="Y10:Z10"/>
    <mergeCell ref="Y11:Z11"/>
    <mergeCell ref="V8:AA8"/>
    <mergeCell ref="H1:L1"/>
    <mergeCell ref="AJ52:AK52"/>
    <mergeCell ref="AP50:AP51"/>
    <mergeCell ref="AP46:AP47"/>
    <mergeCell ref="AY50:AY51"/>
    <mergeCell ref="AY48:AY49"/>
    <mergeCell ref="AY46:AY47"/>
    <mergeCell ref="AP48:AP49"/>
    <mergeCell ref="BR43:BR44"/>
    <mergeCell ref="BY43:BY44"/>
    <mergeCell ref="AJ50:AK50"/>
    <mergeCell ref="AJ51:AK51"/>
    <mergeCell ref="CQ43:CQ44"/>
    <mergeCell ref="CR43:CR44"/>
    <mergeCell ref="CS43:CS44"/>
    <mergeCell ref="CL43:CL44"/>
    <mergeCell ref="CM43:CM44"/>
    <mergeCell ref="CN43:CN44"/>
    <mergeCell ref="CB43:CE43"/>
    <mergeCell ref="BZ43:BZ44"/>
    <mergeCell ref="BM43:BQ43"/>
    <mergeCell ref="BT43:BX43"/>
    <mergeCell ref="CS26:CS27"/>
    <mergeCell ref="Z27:AA27"/>
    <mergeCell ref="AJ27:AK27"/>
    <mergeCell ref="I28:K28"/>
    <mergeCell ref="C29:D29"/>
    <mergeCell ref="I29:K29"/>
    <mergeCell ref="O29:O30"/>
    <mergeCell ref="W29:W30"/>
    <mergeCell ref="Z29:AA29"/>
    <mergeCell ref="AF29:AF30"/>
    <mergeCell ref="AG29:AG30"/>
    <mergeCell ref="AJ29:AK29"/>
    <mergeCell ref="AP29:AP30"/>
    <mergeCell ref="AY29:AY30"/>
    <mergeCell ref="I30:K30"/>
    <mergeCell ref="Z30:AA30"/>
    <mergeCell ref="AJ30:AK30"/>
    <mergeCell ref="BR26:BR27"/>
    <mergeCell ref="BT26:BX26"/>
    <mergeCell ref="H25:I26"/>
    <mergeCell ref="E26:F26"/>
    <mergeCell ref="P26:U26"/>
    <mergeCell ref="X26:AD26"/>
    <mergeCell ref="AH26:AN26"/>
    <mergeCell ref="B34:D34"/>
    <mergeCell ref="I34:K34"/>
    <mergeCell ref="Z34:AA34"/>
    <mergeCell ref="AJ34:AK34"/>
    <mergeCell ref="CR26:CR27"/>
    <mergeCell ref="BY26:BY27"/>
    <mergeCell ref="BZ26:BZ27"/>
    <mergeCell ref="CL26:CL27"/>
    <mergeCell ref="CM26:CM27"/>
    <mergeCell ref="CN26:CN27"/>
    <mergeCell ref="CQ26:CQ27"/>
    <mergeCell ref="BM26:BQ26"/>
    <mergeCell ref="AP31:AP32"/>
    <mergeCell ref="AY31:AY32"/>
    <mergeCell ref="I33:K33"/>
    <mergeCell ref="O33:O34"/>
    <mergeCell ref="W33:W34"/>
    <mergeCell ref="Z33:AA33"/>
    <mergeCell ref="AF33:AF34"/>
    <mergeCell ref="AG33:AG34"/>
    <mergeCell ref="AJ33:AK33"/>
    <mergeCell ref="AP33:AP34"/>
    <mergeCell ref="AY33:AY34"/>
    <mergeCell ref="CB26:CF26"/>
    <mergeCell ref="A32:D32"/>
    <mergeCell ref="I32:K32"/>
    <mergeCell ref="Z32:AA32"/>
    <mergeCell ref="AJ32:AK32"/>
    <mergeCell ref="BO14:BS14"/>
    <mergeCell ref="BO12:BS12"/>
    <mergeCell ref="BO13:BS13"/>
    <mergeCell ref="BM4:BS4"/>
    <mergeCell ref="BA7:BC7"/>
    <mergeCell ref="BA8:BC8"/>
    <mergeCell ref="BG9:BI9"/>
    <mergeCell ref="E25:F25"/>
    <mergeCell ref="BF16:BJ16"/>
    <mergeCell ref="BG18:BI18"/>
    <mergeCell ref="BG19:BI19"/>
    <mergeCell ref="BF18:BF19"/>
    <mergeCell ref="BG10:BI10"/>
    <mergeCell ref="AZ12:AZ13"/>
    <mergeCell ref="BA12:BC12"/>
    <mergeCell ref="BA13:BC13"/>
    <mergeCell ref="AH9:AI9"/>
    <mergeCell ref="AF10:AI10"/>
    <mergeCell ref="AF11:AI11"/>
    <mergeCell ref="AZ4:BD4"/>
  </mergeCells>
  <conditionalFormatting sqref="AA12:AA13">
    <cfRule type="iconSet" priority="270">
      <iconSet iconSet="3Signs">
        <cfvo type="percent" val="0"/>
        <cfvo type="percent" val="12"/>
        <cfvo type="percent" val="13" gte="0"/>
      </iconSet>
    </cfRule>
  </conditionalFormatting>
  <conditionalFormatting sqref="AA10:AA11">
    <cfRule type="iconSet" priority="269">
      <iconSet iconSet="3Signs">
        <cfvo type="percent" val="0"/>
        <cfvo type="percent" val="12"/>
        <cfvo type="percent" val="13" gte="0"/>
      </iconSet>
    </cfRule>
  </conditionalFormatting>
  <conditionalFormatting sqref="AJ10:AK11">
    <cfRule type="iconSet" priority="268">
      <iconSet iconSet="3Signs">
        <cfvo type="percent" val="0"/>
        <cfvo type="percent" val="12"/>
        <cfvo type="percent" val="13" gte="0"/>
      </iconSet>
    </cfRule>
  </conditionalFormatting>
  <conditionalFormatting sqref="AJ12:AK13">
    <cfRule type="iconSet" priority="267">
      <iconSet iconSet="3Signs">
        <cfvo type="percent" val="0"/>
        <cfvo type="percent" val="12"/>
        <cfvo type="percent" val="13" gte="0"/>
      </iconSet>
    </cfRule>
  </conditionalFormatting>
  <conditionalFormatting sqref="AA15:AA16">
    <cfRule type="iconSet" priority="266">
      <iconSet iconSet="3Signs">
        <cfvo type="percent" val="0"/>
        <cfvo type="percent" val="12"/>
        <cfvo type="percent" val="13" gte="0"/>
      </iconSet>
    </cfRule>
  </conditionalFormatting>
  <conditionalFormatting sqref="AA17:AA18">
    <cfRule type="iconSet" priority="265">
      <iconSet iconSet="3Signs">
        <cfvo type="percent" val="0"/>
        <cfvo type="percent" val="12"/>
        <cfvo type="percent" val="13" gte="0"/>
      </iconSet>
    </cfRule>
  </conditionalFormatting>
  <conditionalFormatting sqref="AJ15:AK16">
    <cfRule type="iconSet" priority="264">
      <iconSet iconSet="3Signs">
        <cfvo type="percent" val="0"/>
        <cfvo type="percent" val="12"/>
        <cfvo type="percent" val="13" gte="0"/>
      </iconSet>
    </cfRule>
  </conditionalFormatting>
  <conditionalFormatting sqref="AJ17:AK18">
    <cfRule type="iconSet" priority="263">
      <iconSet iconSet="3Signs">
        <cfvo type="percent" val="0"/>
        <cfvo type="percent" val="12"/>
        <cfvo type="percent" val="13" gte="0"/>
      </iconSet>
    </cfRule>
  </conditionalFormatting>
  <conditionalFormatting sqref="T13 T18">
    <cfRule type="cellIs" dxfId="687" priority="260" operator="equal">
      <formula>4</formula>
    </cfRule>
  </conditionalFormatting>
  <conditionalFormatting sqref="T15">
    <cfRule type="cellIs" dxfId="686" priority="258" operator="equal">
      <formula>4</formula>
    </cfRule>
    <cfRule type="cellIs" dxfId="685" priority="259" operator="equal">
      <formula>5</formula>
    </cfRule>
  </conditionalFormatting>
  <conditionalFormatting sqref="T16">
    <cfRule type="cellIs" dxfId="684" priority="256" operator="equal">
      <formula>5</formula>
    </cfRule>
    <cfRule type="cellIs" dxfId="683" priority="257" operator="equal">
      <formula>6</formula>
    </cfRule>
  </conditionalFormatting>
  <conditionalFormatting sqref="T17">
    <cfRule type="cellIs" dxfId="682" priority="254" operator="equal">
      <formula>6</formula>
    </cfRule>
    <cfRule type="cellIs" dxfId="681" priority="255" operator="equal">
      <formula>7</formula>
    </cfRule>
  </conditionalFormatting>
  <conditionalFormatting sqref="Y10:Y13 Y15:Y18">
    <cfRule type="containsText" dxfId="680" priority="252" operator="containsText" text="OFFICE">
      <formula>NOT(ISERROR(SEARCH("OFFICE",Y10)))</formula>
    </cfRule>
  </conditionalFormatting>
  <conditionalFormatting sqref="AQ11:AQ12">
    <cfRule type="iconSet" priority="243">
      <iconSet iconSet="3Signs">
        <cfvo type="percent" val="0"/>
        <cfvo type="percent" val="12"/>
        <cfvo type="percent" val="13" gte="0"/>
      </iconSet>
    </cfRule>
  </conditionalFormatting>
  <conditionalFormatting sqref="AQ16:AQ17">
    <cfRule type="iconSet" priority="237">
      <iconSet iconSet="3Signs">
        <cfvo type="percent" val="0"/>
        <cfvo type="percent" val="12"/>
        <cfvo type="percent" val="13" gte="0"/>
      </iconSet>
    </cfRule>
  </conditionalFormatting>
  <conditionalFormatting sqref="BD7:BD8">
    <cfRule type="duplicateValues" dxfId="679" priority="235"/>
    <cfRule type="iconSet" priority="236">
      <iconSet>
        <cfvo type="percent" val="0"/>
        <cfvo type="percent" val="12"/>
        <cfvo type="percent" val="13"/>
      </iconSet>
    </cfRule>
  </conditionalFormatting>
  <conditionalFormatting sqref="BD12:BD13">
    <cfRule type="duplicateValues" dxfId="678" priority="233"/>
    <cfRule type="iconSet" priority="234">
      <iconSet>
        <cfvo type="percent" val="0"/>
        <cfvo type="percent" val="12"/>
        <cfvo type="percent" val="13"/>
      </iconSet>
    </cfRule>
  </conditionalFormatting>
  <conditionalFormatting sqref="BJ9:BJ10">
    <cfRule type="duplicateValues" dxfId="677" priority="231"/>
    <cfRule type="iconSet" priority="232">
      <iconSet>
        <cfvo type="percent" val="0"/>
        <cfvo type="percent" val="12"/>
        <cfvo type="percent" val="13"/>
      </iconSet>
    </cfRule>
  </conditionalFormatting>
  <conditionalFormatting sqref="BJ18:BJ19">
    <cfRule type="duplicateValues" dxfId="676" priority="229"/>
    <cfRule type="iconSet" priority="230">
      <iconSet>
        <cfvo type="percent" val="0"/>
        <cfvo type="percent" val="12"/>
        <cfvo type="percent" val="13"/>
      </iconSet>
    </cfRule>
  </conditionalFormatting>
  <conditionalFormatting sqref="BM13">
    <cfRule type="expression" dxfId="675" priority="223">
      <formula>(OR(#REF!=9,#REF!=8,#REF!=7,#REF!=6,#REF!=5,#REF!=4,#REF!=3,#REF!=2))</formula>
    </cfRule>
  </conditionalFormatting>
  <conditionalFormatting sqref="BM14">
    <cfRule type="expression" dxfId="674" priority="222">
      <formula>(OR(#REF!=9,#REF!=8,#REF!=7,#REF!=6,#REF!=5,#REF!=4,#REF!=3))</formula>
    </cfRule>
  </conditionalFormatting>
  <conditionalFormatting sqref="BM12">
    <cfRule type="expression" dxfId="673" priority="219">
      <formula>(OR(BQ5=9,BQ5=8,BQ5=7,BQ5=6,BQ5=5,BQ5=4,BQ5=3,BQ5=2,BQ5=1))</formula>
    </cfRule>
  </conditionalFormatting>
  <conditionalFormatting sqref="BM13">
    <cfRule type="expression" dxfId="672" priority="218">
      <formula>(OR(#REF!=9,#REF!=8,#REF!=7,#REF!=6,#REF!=5,#REF!=4,#REF!=3,#REF!=2))</formula>
    </cfRule>
  </conditionalFormatting>
  <conditionalFormatting sqref="BM14">
    <cfRule type="expression" dxfId="671" priority="217">
      <formula>(OR(#REF!=9,#REF!=8,#REF!=7,#REF!=6,#REF!=5,#REF!=4,#REF!=3))</formula>
    </cfRule>
  </conditionalFormatting>
  <conditionalFormatting sqref="BD7:BD8">
    <cfRule type="duplicateValues" dxfId="670" priority="214"/>
  </conditionalFormatting>
  <conditionalFormatting sqref="BD7:BD8">
    <cfRule type="duplicateValues" dxfId="669" priority="212"/>
    <cfRule type="iconSet" priority="213">
      <iconSet iconSet="3Signs">
        <cfvo type="percent" val="0"/>
        <cfvo type="percent" val="12"/>
        <cfvo type="percent" val="13" gte="0"/>
      </iconSet>
    </cfRule>
  </conditionalFormatting>
  <conditionalFormatting sqref="BD12:BD13">
    <cfRule type="duplicateValues" dxfId="668" priority="211"/>
  </conditionalFormatting>
  <conditionalFormatting sqref="BD12:BD13">
    <cfRule type="duplicateValues" dxfId="667" priority="209"/>
    <cfRule type="iconSet" priority="210">
      <iconSet iconSet="3Signs">
        <cfvo type="percent" val="0"/>
        <cfvo type="percent" val="12"/>
        <cfvo type="percent" val="13" gte="0"/>
      </iconSet>
    </cfRule>
  </conditionalFormatting>
  <conditionalFormatting sqref="BJ9:BJ10">
    <cfRule type="duplicateValues" dxfId="666" priority="208"/>
  </conditionalFormatting>
  <conditionalFormatting sqref="BJ9:BJ10">
    <cfRule type="duplicateValues" dxfId="665" priority="206"/>
    <cfRule type="iconSet" priority="207">
      <iconSet iconSet="3Signs">
        <cfvo type="percent" val="0"/>
        <cfvo type="percent" val="12"/>
        <cfvo type="percent" val="13" gte="0"/>
      </iconSet>
    </cfRule>
  </conditionalFormatting>
  <conditionalFormatting sqref="BJ18:BJ19">
    <cfRule type="duplicateValues" dxfId="664" priority="205"/>
  </conditionalFormatting>
  <conditionalFormatting sqref="BJ18:BJ19">
    <cfRule type="duplicateValues" dxfId="663" priority="203"/>
    <cfRule type="iconSet" priority="204">
      <iconSet iconSet="3Signs">
        <cfvo type="percent" val="0"/>
        <cfvo type="percent" val="12"/>
        <cfvo type="percent" val="13" gte="0"/>
      </iconSet>
    </cfRule>
  </conditionalFormatting>
  <conditionalFormatting sqref="BO12">
    <cfRule type="expression" dxfId="662" priority="516">
      <formula>(OR($BQ$5+$BQ$6=6,$BQ$5+$BQ$6=5,$BQ$5+$BQ$6=4,$BQ$5+$BQ$6=3,$BQ$5+$BQ$6=2,$BQ$5+$BQ$6=1))</formula>
    </cfRule>
  </conditionalFormatting>
  <conditionalFormatting sqref="BO13">
    <cfRule type="expression" dxfId="661" priority="517">
      <formula>(OR($BQ$5+$BQ$6=6,$BQ$5+$BQ$6=5,$BQ$5+$BQ$6=4,$BQ$5+$BQ$6=3,$BQ$5+$BQ$6=2))</formula>
    </cfRule>
  </conditionalFormatting>
  <conditionalFormatting sqref="BO14:BQ14">
    <cfRule type="expression" dxfId="660" priority="522">
      <formula>(OR($BQ$5+$BQ$6=6,$BQ$5+BQ$6=5,$BQ$5+$BQ$6=4,$BQ$5+$BQ$6=3))</formula>
    </cfRule>
  </conditionalFormatting>
  <conditionalFormatting sqref="BJ22:BJ28 BH44:BH45 BI38 BK39 BJ36:BJ37">
    <cfRule type="iconSet" priority="583">
      <iconSet>
        <cfvo type="percent" val="0"/>
        <cfvo type="percent" val="12"/>
        <cfvo type="percent" val="13"/>
      </iconSet>
    </cfRule>
    <cfRule type="iconSet" priority="589">
      <iconSet iconSet="3Signs">
        <cfvo type="percent" val="0"/>
        <cfvo type="percent" val="12"/>
        <cfvo type="percent" val="13" gte="0"/>
      </iconSet>
    </cfRule>
  </conditionalFormatting>
  <conditionalFormatting sqref="AU16:AU17">
    <cfRule type="expression" dxfId="659" priority="591" stopIfTrue="1">
      <formula>(OR(#REF!="1",#REF!="2",#REF!="3"))</formula>
    </cfRule>
  </conditionalFormatting>
  <conditionalFormatting sqref="AU17">
    <cfRule type="expression" dxfId="658" priority="592">
      <formula>(OR(#REF!="2",#REF!="3"))</formula>
    </cfRule>
  </conditionalFormatting>
  <conditionalFormatting sqref="CG46:CG51 CH46:CH52 CB46:CF52 CB29:CH34">
    <cfRule type="containsText" dxfId="657" priority="189" operator="containsText" text="V">
      <formula>NOT(ISERROR(SEARCH("V",CB29)))</formula>
    </cfRule>
  </conditionalFormatting>
  <conditionalFormatting sqref="CH46:CH52 CH29:CH34">
    <cfRule type="cellIs" dxfId="656" priority="186" operator="equal">
      <formula>12</formula>
    </cfRule>
  </conditionalFormatting>
  <conditionalFormatting sqref="Z50:Z51 Z33:Z34">
    <cfRule type="expression" dxfId="655" priority="181">
      <formula>(OR($G$10+$G$9=5))</formula>
    </cfRule>
  </conditionalFormatting>
  <conditionalFormatting sqref="Z52">
    <cfRule type="containsText" dxfId="654" priority="180" operator="containsText" text="Ex.">
      <formula>NOT(ISERROR(SEARCH("Ex.",Z52)))</formula>
    </cfRule>
  </conditionalFormatting>
  <conditionalFormatting sqref="S46:S47">
    <cfRule type="duplicateValues" dxfId="653" priority="178"/>
    <cfRule type="iconSet" priority="179">
      <iconSet>
        <cfvo type="percent" val="0"/>
        <cfvo type="percent" val="12"/>
        <cfvo type="percent" val="13"/>
      </iconSet>
    </cfRule>
  </conditionalFormatting>
  <conditionalFormatting sqref="S46:S47">
    <cfRule type="duplicateValues" dxfId="652" priority="177"/>
  </conditionalFormatting>
  <conditionalFormatting sqref="S46:S47">
    <cfRule type="duplicateValues" dxfId="651" priority="175"/>
    <cfRule type="iconSet" priority="176">
      <iconSet iconSet="3Signs">
        <cfvo type="percent" val="0"/>
        <cfvo type="percent" val="12"/>
        <cfvo type="percent" val="13" gte="0"/>
      </iconSet>
    </cfRule>
  </conditionalFormatting>
  <conditionalFormatting sqref="S48:S49">
    <cfRule type="duplicateValues" dxfId="650" priority="173"/>
    <cfRule type="iconSet" priority="174">
      <iconSet>
        <cfvo type="percent" val="0"/>
        <cfvo type="percent" val="12"/>
        <cfvo type="percent" val="13"/>
      </iconSet>
    </cfRule>
  </conditionalFormatting>
  <conditionalFormatting sqref="S48:S49">
    <cfRule type="duplicateValues" dxfId="649" priority="172"/>
  </conditionalFormatting>
  <conditionalFormatting sqref="S48:S49">
    <cfRule type="duplicateValues" dxfId="648" priority="170"/>
    <cfRule type="iconSet" priority="171">
      <iconSet iconSet="3Signs">
        <cfvo type="percent" val="0"/>
        <cfvo type="percent" val="12"/>
        <cfvo type="percent" val="13" gte="0"/>
      </iconSet>
    </cfRule>
  </conditionalFormatting>
  <conditionalFormatting sqref="AB46:AB47">
    <cfRule type="duplicateValues" dxfId="647" priority="168"/>
    <cfRule type="iconSet" priority="169">
      <iconSet>
        <cfvo type="percent" val="0"/>
        <cfvo type="percent" val="12"/>
        <cfvo type="percent" val="13"/>
      </iconSet>
    </cfRule>
  </conditionalFormatting>
  <conditionalFormatting sqref="AB46:AB47">
    <cfRule type="duplicateValues" dxfId="646" priority="167"/>
  </conditionalFormatting>
  <conditionalFormatting sqref="AB46:AB47">
    <cfRule type="duplicateValues" dxfId="645" priority="165"/>
    <cfRule type="iconSet" priority="166">
      <iconSet iconSet="3Signs">
        <cfvo type="percent" val="0"/>
        <cfvo type="percent" val="12"/>
        <cfvo type="percent" val="13" gte="0"/>
      </iconSet>
    </cfRule>
  </conditionalFormatting>
  <conditionalFormatting sqref="AB48:AB49">
    <cfRule type="duplicateValues" dxfId="644" priority="163"/>
    <cfRule type="iconSet" priority="164">
      <iconSet>
        <cfvo type="percent" val="0"/>
        <cfvo type="percent" val="12"/>
        <cfvo type="percent" val="13"/>
      </iconSet>
    </cfRule>
  </conditionalFormatting>
  <conditionalFormatting sqref="AB48:AB49">
    <cfRule type="duplicateValues" dxfId="643" priority="162"/>
  </conditionalFormatting>
  <conditionalFormatting sqref="AB48:AB49">
    <cfRule type="duplicateValues" dxfId="642" priority="160"/>
    <cfRule type="iconSet" priority="161">
      <iconSet iconSet="3Signs">
        <cfvo type="percent" val="0"/>
        <cfvo type="percent" val="12"/>
        <cfvo type="percent" val="13" gte="0"/>
      </iconSet>
    </cfRule>
  </conditionalFormatting>
  <conditionalFormatting sqref="AL46:AL47">
    <cfRule type="duplicateValues" dxfId="641" priority="158"/>
    <cfRule type="iconSet" priority="159">
      <iconSet>
        <cfvo type="percent" val="0"/>
        <cfvo type="percent" val="12"/>
        <cfvo type="percent" val="13"/>
      </iconSet>
    </cfRule>
  </conditionalFormatting>
  <conditionalFormatting sqref="AL46:AL47">
    <cfRule type="duplicateValues" dxfId="640" priority="157"/>
  </conditionalFormatting>
  <conditionalFormatting sqref="AL46:AL47">
    <cfRule type="duplicateValues" dxfId="639" priority="155"/>
    <cfRule type="iconSet" priority="156">
      <iconSet iconSet="3Signs">
        <cfvo type="percent" val="0"/>
        <cfvo type="percent" val="12"/>
        <cfvo type="percent" val="13" gte="0"/>
      </iconSet>
    </cfRule>
  </conditionalFormatting>
  <conditionalFormatting sqref="AL48:AL49">
    <cfRule type="duplicateValues" dxfId="638" priority="153"/>
    <cfRule type="iconSet" priority="154">
      <iconSet>
        <cfvo type="percent" val="0"/>
        <cfvo type="percent" val="12"/>
        <cfvo type="percent" val="13"/>
      </iconSet>
    </cfRule>
  </conditionalFormatting>
  <conditionalFormatting sqref="AL48:AL49">
    <cfRule type="duplicateValues" dxfId="637" priority="152"/>
  </conditionalFormatting>
  <conditionalFormatting sqref="AL48:AL49">
    <cfRule type="duplicateValues" dxfId="636" priority="150"/>
    <cfRule type="iconSet" priority="151">
      <iconSet iconSet="3Signs">
        <cfvo type="percent" val="0"/>
        <cfvo type="percent" val="12"/>
        <cfvo type="percent" val="13" gte="0"/>
      </iconSet>
    </cfRule>
  </conditionalFormatting>
  <conditionalFormatting sqref="AT46:AT47">
    <cfRule type="duplicateValues" dxfId="635" priority="148"/>
    <cfRule type="iconSet" priority="149">
      <iconSet>
        <cfvo type="percent" val="0"/>
        <cfvo type="percent" val="12"/>
        <cfvo type="percent" val="13"/>
      </iconSet>
    </cfRule>
  </conditionalFormatting>
  <conditionalFormatting sqref="AT46:AT47">
    <cfRule type="duplicateValues" dxfId="634" priority="147"/>
  </conditionalFormatting>
  <conditionalFormatting sqref="AT46:AT47">
    <cfRule type="duplicateValues" dxfId="633" priority="145"/>
    <cfRule type="iconSet" priority="146">
      <iconSet iconSet="3Signs">
        <cfvo type="percent" val="0"/>
        <cfvo type="percent" val="12"/>
        <cfvo type="percent" val="13" gte="0"/>
      </iconSet>
    </cfRule>
  </conditionalFormatting>
  <conditionalFormatting sqref="AT48:AT49">
    <cfRule type="duplicateValues" dxfId="632" priority="143"/>
    <cfRule type="iconSet" priority="144">
      <iconSet>
        <cfvo type="percent" val="0"/>
        <cfvo type="percent" val="12"/>
        <cfvo type="percent" val="13"/>
      </iconSet>
    </cfRule>
  </conditionalFormatting>
  <conditionalFormatting sqref="AT48:AT49">
    <cfRule type="duplicateValues" dxfId="631" priority="142"/>
  </conditionalFormatting>
  <conditionalFormatting sqref="AT48:AT49">
    <cfRule type="duplicateValues" dxfId="630" priority="140"/>
    <cfRule type="iconSet" priority="141">
      <iconSet iconSet="3Signs">
        <cfvo type="percent" val="0"/>
        <cfvo type="percent" val="12"/>
        <cfvo type="percent" val="13" gte="0"/>
      </iconSet>
    </cfRule>
  </conditionalFormatting>
  <conditionalFormatting sqref="BF46:BF47">
    <cfRule type="duplicateValues" dxfId="629" priority="138"/>
    <cfRule type="iconSet" priority="139">
      <iconSet>
        <cfvo type="percent" val="0"/>
        <cfvo type="percent" val="12"/>
        <cfvo type="percent" val="13"/>
      </iconSet>
    </cfRule>
  </conditionalFormatting>
  <conditionalFormatting sqref="BF46:BF47">
    <cfRule type="duplicateValues" dxfId="628" priority="137"/>
  </conditionalFormatting>
  <conditionalFormatting sqref="BF46:BF47">
    <cfRule type="duplicateValues" dxfId="627" priority="135"/>
    <cfRule type="iconSet" priority="136">
      <iconSet iconSet="3Signs">
        <cfvo type="percent" val="0"/>
        <cfvo type="percent" val="12"/>
        <cfvo type="percent" val="13" gte="0"/>
      </iconSet>
    </cfRule>
  </conditionalFormatting>
  <conditionalFormatting sqref="BF48:BF49">
    <cfRule type="duplicateValues" dxfId="626" priority="133"/>
    <cfRule type="iconSet" priority="134">
      <iconSet>
        <cfvo type="percent" val="0"/>
        <cfvo type="percent" val="12"/>
        <cfvo type="percent" val="13"/>
      </iconSet>
    </cfRule>
  </conditionalFormatting>
  <conditionalFormatting sqref="BF48:BF49">
    <cfRule type="duplicateValues" dxfId="625" priority="132"/>
  </conditionalFormatting>
  <conditionalFormatting sqref="BF48:BF49">
    <cfRule type="duplicateValues" dxfId="624" priority="130"/>
    <cfRule type="iconSet" priority="131">
      <iconSet iconSet="3Signs">
        <cfvo type="percent" val="0"/>
        <cfvo type="percent" val="12"/>
        <cfvo type="percent" val="13" gte="0"/>
      </iconSet>
    </cfRule>
  </conditionalFormatting>
  <conditionalFormatting sqref="AU12">
    <cfRule type="expression" dxfId="623" priority="720">
      <formula>(OR(#REF!="2",#REF!="3"))</formula>
    </cfRule>
  </conditionalFormatting>
  <conditionalFormatting sqref="AH46:AH52">
    <cfRule type="duplicateValues" dxfId="622" priority="721"/>
  </conditionalFormatting>
  <conditionalFormatting sqref="X46:X52">
    <cfRule type="duplicateValues" dxfId="621" priority="723"/>
  </conditionalFormatting>
  <conditionalFormatting sqref="Y46:Y52">
    <cfRule type="duplicateValues" dxfId="620" priority="725"/>
  </conditionalFormatting>
  <conditionalFormatting sqref="Q46:Q52">
    <cfRule type="duplicateValues" dxfId="619" priority="728"/>
  </conditionalFormatting>
  <conditionalFormatting sqref="CL46:CL52">
    <cfRule type="duplicateValues" dxfId="618" priority="739"/>
  </conditionalFormatting>
  <conditionalFormatting sqref="S50:S51">
    <cfRule type="duplicateValues" dxfId="617" priority="128"/>
    <cfRule type="iconSet" priority="129">
      <iconSet>
        <cfvo type="percent" val="0"/>
        <cfvo type="percent" val="12"/>
        <cfvo type="percent" val="13"/>
      </iconSet>
    </cfRule>
  </conditionalFormatting>
  <conditionalFormatting sqref="S50:S51">
    <cfRule type="duplicateValues" dxfId="616" priority="127"/>
  </conditionalFormatting>
  <conditionalFormatting sqref="S50:S51">
    <cfRule type="duplicateValues" dxfId="615" priority="125"/>
    <cfRule type="iconSet" priority="126">
      <iconSet iconSet="3Signs">
        <cfvo type="percent" val="0"/>
        <cfvo type="percent" val="12"/>
        <cfvo type="percent" val="13" gte="0"/>
      </iconSet>
    </cfRule>
  </conditionalFormatting>
  <conditionalFormatting sqref="AB50:AB51">
    <cfRule type="duplicateValues" dxfId="614" priority="123"/>
    <cfRule type="iconSet" priority="124">
      <iconSet>
        <cfvo type="percent" val="0"/>
        <cfvo type="percent" val="12"/>
        <cfvo type="percent" val="13"/>
      </iconSet>
    </cfRule>
  </conditionalFormatting>
  <conditionalFormatting sqref="AB50:AB51">
    <cfRule type="duplicateValues" dxfId="613" priority="122"/>
  </conditionalFormatting>
  <conditionalFormatting sqref="AB50:AB51">
    <cfRule type="duplicateValues" dxfId="612" priority="120"/>
    <cfRule type="iconSet" priority="121">
      <iconSet iconSet="3Signs">
        <cfvo type="percent" val="0"/>
        <cfvo type="percent" val="12"/>
        <cfvo type="percent" val="13" gte="0"/>
      </iconSet>
    </cfRule>
  </conditionalFormatting>
  <conditionalFormatting sqref="AL50:AL51">
    <cfRule type="duplicateValues" dxfId="611" priority="118"/>
    <cfRule type="iconSet" priority="119">
      <iconSet>
        <cfvo type="percent" val="0"/>
        <cfvo type="percent" val="12"/>
        <cfvo type="percent" val="13"/>
      </iconSet>
    </cfRule>
  </conditionalFormatting>
  <conditionalFormatting sqref="AL50:AL51">
    <cfRule type="duplicateValues" dxfId="610" priority="117"/>
  </conditionalFormatting>
  <conditionalFormatting sqref="AL50:AL51">
    <cfRule type="duplicateValues" dxfId="609" priority="115"/>
    <cfRule type="iconSet" priority="116">
      <iconSet iconSet="3Signs">
        <cfvo type="percent" val="0"/>
        <cfvo type="percent" val="12"/>
        <cfvo type="percent" val="13" gte="0"/>
      </iconSet>
    </cfRule>
  </conditionalFormatting>
  <conditionalFormatting sqref="AT50:AT51">
    <cfRule type="duplicateValues" dxfId="608" priority="113"/>
    <cfRule type="iconSet" priority="114">
      <iconSet>
        <cfvo type="percent" val="0"/>
        <cfvo type="percent" val="12"/>
        <cfvo type="percent" val="13"/>
      </iconSet>
    </cfRule>
  </conditionalFormatting>
  <conditionalFormatting sqref="AT50:AT51">
    <cfRule type="duplicateValues" dxfId="607" priority="112"/>
  </conditionalFormatting>
  <conditionalFormatting sqref="AT50:AT51">
    <cfRule type="duplicateValues" dxfId="606" priority="110"/>
    <cfRule type="iconSet" priority="111">
      <iconSet iconSet="3Signs">
        <cfvo type="percent" val="0"/>
        <cfvo type="percent" val="12"/>
        <cfvo type="percent" val="13" gte="0"/>
      </iconSet>
    </cfRule>
  </conditionalFormatting>
  <conditionalFormatting sqref="BF50:BF51">
    <cfRule type="duplicateValues" dxfId="605" priority="103"/>
    <cfRule type="iconSet" priority="104">
      <iconSet>
        <cfvo type="percent" val="0"/>
        <cfvo type="percent" val="12"/>
        <cfvo type="percent" val="13"/>
      </iconSet>
    </cfRule>
  </conditionalFormatting>
  <conditionalFormatting sqref="BF50:BF51">
    <cfRule type="duplicateValues" dxfId="604" priority="102"/>
  </conditionalFormatting>
  <conditionalFormatting sqref="BF50:BF51">
    <cfRule type="duplicateValues" dxfId="603" priority="100"/>
    <cfRule type="iconSet" priority="101">
      <iconSet iconSet="3Signs">
        <cfvo type="percent" val="0"/>
        <cfvo type="percent" val="12"/>
        <cfvo type="percent" val="13" gte="0"/>
      </iconSet>
    </cfRule>
  </conditionalFormatting>
  <conditionalFormatting sqref="BH27:BH28">
    <cfRule type="iconSet" priority="98">
      <iconSet>
        <cfvo type="percent" val="0"/>
        <cfvo type="percent" val="12"/>
        <cfvo type="percent" val="13"/>
      </iconSet>
    </cfRule>
    <cfRule type="iconSet" priority="99">
      <iconSet iconSet="3Signs">
        <cfvo type="percent" val="0"/>
        <cfvo type="percent" val="12"/>
        <cfvo type="percent" val="13" gte="0"/>
      </iconSet>
    </cfRule>
  </conditionalFormatting>
  <conditionalFormatting sqref="S29:S30">
    <cfRule type="duplicateValues" dxfId="602" priority="90"/>
    <cfRule type="iconSet" priority="91">
      <iconSet>
        <cfvo type="percent" val="0"/>
        <cfvo type="percent" val="12"/>
        <cfvo type="percent" val="13"/>
      </iconSet>
    </cfRule>
  </conditionalFormatting>
  <conditionalFormatting sqref="S29:S30">
    <cfRule type="duplicateValues" dxfId="601" priority="89"/>
  </conditionalFormatting>
  <conditionalFormatting sqref="S29:S30">
    <cfRule type="duplicateValues" dxfId="600" priority="87"/>
    <cfRule type="iconSet" priority="88">
      <iconSet iconSet="3Signs">
        <cfvo type="percent" val="0"/>
        <cfvo type="percent" val="12"/>
        <cfvo type="percent" val="13" gte="0"/>
      </iconSet>
    </cfRule>
  </conditionalFormatting>
  <conditionalFormatting sqref="S31:S32">
    <cfRule type="duplicateValues" dxfId="599" priority="85"/>
    <cfRule type="iconSet" priority="86">
      <iconSet>
        <cfvo type="percent" val="0"/>
        <cfvo type="percent" val="12"/>
        <cfvo type="percent" val="13"/>
      </iconSet>
    </cfRule>
  </conditionalFormatting>
  <conditionalFormatting sqref="S31:S32">
    <cfRule type="duplicateValues" dxfId="598" priority="84"/>
  </conditionalFormatting>
  <conditionalFormatting sqref="S31:S32">
    <cfRule type="duplicateValues" dxfId="597" priority="82"/>
    <cfRule type="iconSet" priority="83">
      <iconSet iconSet="3Signs">
        <cfvo type="percent" val="0"/>
        <cfvo type="percent" val="12"/>
        <cfvo type="percent" val="13" gte="0"/>
      </iconSet>
    </cfRule>
  </conditionalFormatting>
  <conditionalFormatting sqref="AB29:AB30">
    <cfRule type="duplicateValues" dxfId="596" priority="80"/>
    <cfRule type="iconSet" priority="81">
      <iconSet>
        <cfvo type="percent" val="0"/>
        <cfvo type="percent" val="12"/>
        <cfvo type="percent" val="13"/>
      </iconSet>
    </cfRule>
  </conditionalFormatting>
  <conditionalFormatting sqref="AB29:AB30">
    <cfRule type="duplicateValues" dxfId="595" priority="79"/>
  </conditionalFormatting>
  <conditionalFormatting sqref="AB29:AB30">
    <cfRule type="duplicateValues" dxfId="594" priority="77"/>
    <cfRule type="iconSet" priority="78">
      <iconSet iconSet="3Signs">
        <cfvo type="percent" val="0"/>
        <cfvo type="percent" val="12"/>
        <cfvo type="percent" val="13" gte="0"/>
      </iconSet>
    </cfRule>
  </conditionalFormatting>
  <conditionalFormatting sqref="AB31:AB32">
    <cfRule type="duplicateValues" dxfId="593" priority="75"/>
    <cfRule type="iconSet" priority="76">
      <iconSet>
        <cfvo type="percent" val="0"/>
        <cfvo type="percent" val="12"/>
        <cfvo type="percent" val="13"/>
      </iconSet>
    </cfRule>
  </conditionalFormatting>
  <conditionalFormatting sqref="AB31:AB32">
    <cfRule type="duplicateValues" dxfId="592" priority="74"/>
  </conditionalFormatting>
  <conditionalFormatting sqref="AB31:AB32">
    <cfRule type="duplicateValues" dxfId="591" priority="72"/>
    <cfRule type="iconSet" priority="73">
      <iconSet iconSet="3Signs">
        <cfvo type="percent" val="0"/>
        <cfvo type="percent" val="12"/>
        <cfvo type="percent" val="13" gte="0"/>
      </iconSet>
    </cfRule>
  </conditionalFormatting>
  <conditionalFormatting sqref="AL29:AL30">
    <cfRule type="duplicateValues" dxfId="590" priority="70"/>
    <cfRule type="iconSet" priority="71">
      <iconSet>
        <cfvo type="percent" val="0"/>
        <cfvo type="percent" val="12"/>
        <cfvo type="percent" val="13"/>
      </iconSet>
    </cfRule>
  </conditionalFormatting>
  <conditionalFormatting sqref="AL29:AL30">
    <cfRule type="duplicateValues" dxfId="589" priority="69"/>
  </conditionalFormatting>
  <conditionalFormatting sqref="AL29:AL30">
    <cfRule type="duplicateValues" dxfId="588" priority="67"/>
    <cfRule type="iconSet" priority="68">
      <iconSet iconSet="3Signs">
        <cfvo type="percent" val="0"/>
        <cfvo type="percent" val="12"/>
        <cfvo type="percent" val="13" gte="0"/>
      </iconSet>
    </cfRule>
  </conditionalFormatting>
  <conditionalFormatting sqref="AL31:AL32">
    <cfRule type="duplicateValues" dxfId="587" priority="65"/>
    <cfRule type="iconSet" priority="66">
      <iconSet>
        <cfvo type="percent" val="0"/>
        <cfvo type="percent" val="12"/>
        <cfvo type="percent" val="13"/>
      </iconSet>
    </cfRule>
  </conditionalFormatting>
  <conditionalFormatting sqref="AL31:AL32">
    <cfRule type="duplicateValues" dxfId="586" priority="64"/>
  </conditionalFormatting>
  <conditionalFormatting sqref="AL31:AL32">
    <cfRule type="duplicateValues" dxfId="585" priority="62"/>
    <cfRule type="iconSet" priority="63">
      <iconSet iconSet="3Signs">
        <cfvo type="percent" val="0"/>
        <cfvo type="percent" val="12"/>
        <cfvo type="percent" val="13" gte="0"/>
      </iconSet>
    </cfRule>
  </conditionalFormatting>
  <conditionalFormatting sqref="AT29:AT30">
    <cfRule type="duplicateValues" dxfId="584" priority="60"/>
    <cfRule type="iconSet" priority="61">
      <iconSet>
        <cfvo type="percent" val="0"/>
        <cfvo type="percent" val="12"/>
        <cfvo type="percent" val="13"/>
      </iconSet>
    </cfRule>
  </conditionalFormatting>
  <conditionalFormatting sqref="AT29:AT30">
    <cfRule type="duplicateValues" dxfId="583" priority="59"/>
  </conditionalFormatting>
  <conditionalFormatting sqref="AT29:AT30">
    <cfRule type="duplicateValues" dxfId="582" priority="57"/>
    <cfRule type="iconSet" priority="58">
      <iconSet iconSet="3Signs">
        <cfvo type="percent" val="0"/>
        <cfvo type="percent" val="12"/>
        <cfvo type="percent" val="13" gte="0"/>
      </iconSet>
    </cfRule>
  </conditionalFormatting>
  <conditionalFormatting sqref="AT31:AT32">
    <cfRule type="duplicateValues" dxfId="581" priority="55"/>
    <cfRule type="iconSet" priority="56">
      <iconSet>
        <cfvo type="percent" val="0"/>
        <cfvo type="percent" val="12"/>
        <cfvo type="percent" val="13"/>
      </iconSet>
    </cfRule>
  </conditionalFormatting>
  <conditionalFormatting sqref="AT31:AT32">
    <cfRule type="duplicateValues" dxfId="580" priority="54"/>
  </conditionalFormatting>
  <conditionalFormatting sqref="AT31:AT32">
    <cfRule type="duplicateValues" dxfId="579" priority="52"/>
    <cfRule type="iconSet" priority="53">
      <iconSet iconSet="3Signs">
        <cfvo type="percent" val="0"/>
        <cfvo type="percent" val="12"/>
        <cfvo type="percent" val="13" gte="0"/>
      </iconSet>
    </cfRule>
  </conditionalFormatting>
  <conditionalFormatting sqref="BF29:BF30">
    <cfRule type="duplicateValues" dxfId="578" priority="50"/>
    <cfRule type="iconSet" priority="51">
      <iconSet>
        <cfvo type="percent" val="0"/>
        <cfvo type="percent" val="12"/>
        <cfvo type="percent" val="13"/>
      </iconSet>
    </cfRule>
  </conditionalFormatting>
  <conditionalFormatting sqref="BF29:BF30">
    <cfRule type="duplicateValues" dxfId="577" priority="49"/>
  </conditionalFormatting>
  <conditionalFormatting sqref="BF29:BF30">
    <cfRule type="duplicateValues" dxfId="576" priority="47"/>
    <cfRule type="iconSet" priority="48">
      <iconSet iconSet="3Signs">
        <cfvo type="percent" val="0"/>
        <cfvo type="percent" val="12"/>
        <cfvo type="percent" val="13" gte="0"/>
      </iconSet>
    </cfRule>
  </conditionalFormatting>
  <conditionalFormatting sqref="BF31:BF32">
    <cfRule type="duplicateValues" dxfId="575" priority="45"/>
    <cfRule type="iconSet" priority="46">
      <iconSet>
        <cfvo type="percent" val="0"/>
        <cfvo type="percent" val="12"/>
        <cfvo type="percent" val="13"/>
      </iconSet>
    </cfRule>
  </conditionalFormatting>
  <conditionalFormatting sqref="BF31:BF32">
    <cfRule type="duplicateValues" dxfId="574" priority="44"/>
  </conditionalFormatting>
  <conditionalFormatting sqref="BF31:BF32">
    <cfRule type="duplicateValues" dxfId="573" priority="42"/>
    <cfRule type="iconSet" priority="43">
      <iconSet iconSet="3Signs">
        <cfvo type="percent" val="0"/>
        <cfvo type="percent" val="12"/>
        <cfvo type="percent" val="13" gte="0"/>
      </iconSet>
    </cfRule>
  </conditionalFormatting>
  <conditionalFormatting sqref="AH29:AH34">
    <cfRule type="duplicateValues" dxfId="572" priority="41"/>
  </conditionalFormatting>
  <conditionalFormatting sqref="X29:X34">
    <cfRule type="duplicateValues" dxfId="571" priority="40"/>
  </conditionalFormatting>
  <conditionalFormatting sqref="Y29:Y34">
    <cfRule type="duplicateValues" dxfId="570" priority="39"/>
  </conditionalFormatting>
  <conditionalFormatting sqref="Q29:Q34">
    <cfRule type="duplicateValues" dxfId="569" priority="38"/>
  </conditionalFormatting>
  <conditionalFormatting sqref="CL29:CL34">
    <cfRule type="duplicateValues" dxfId="568" priority="37"/>
  </conditionalFormatting>
  <conditionalFormatting sqref="S33:S34">
    <cfRule type="duplicateValues" dxfId="567" priority="35"/>
    <cfRule type="iconSet" priority="36">
      <iconSet>
        <cfvo type="percent" val="0"/>
        <cfvo type="percent" val="12"/>
        <cfvo type="percent" val="13"/>
      </iconSet>
    </cfRule>
  </conditionalFormatting>
  <conditionalFormatting sqref="S33:S34">
    <cfRule type="duplicateValues" dxfId="566" priority="34"/>
  </conditionalFormatting>
  <conditionalFormatting sqref="S33:S34">
    <cfRule type="duplicateValues" dxfId="565" priority="32"/>
    <cfRule type="iconSet" priority="33">
      <iconSet iconSet="3Signs">
        <cfvo type="percent" val="0"/>
        <cfvo type="percent" val="12"/>
        <cfvo type="percent" val="13" gte="0"/>
      </iconSet>
    </cfRule>
  </conditionalFormatting>
  <conditionalFormatting sqref="AB33:AB34">
    <cfRule type="duplicateValues" dxfId="564" priority="30"/>
    <cfRule type="iconSet" priority="31">
      <iconSet>
        <cfvo type="percent" val="0"/>
        <cfvo type="percent" val="12"/>
        <cfvo type="percent" val="13"/>
      </iconSet>
    </cfRule>
  </conditionalFormatting>
  <conditionalFormatting sqref="AB33:AB34">
    <cfRule type="duplicateValues" dxfId="563" priority="29"/>
  </conditionalFormatting>
  <conditionalFormatting sqref="AB33:AB34">
    <cfRule type="duplicateValues" dxfId="562" priority="27"/>
    <cfRule type="iconSet" priority="28">
      <iconSet iconSet="3Signs">
        <cfvo type="percent" val="0"/>
        <cfvo type="percent" val="12"/>
        <cfvo type="percent" val="13" gte="0"/>
      </iconSet>
    </cfRule>
  </conditionalFormatting>
  <conditionalFormatting sqref="AL33:AL34">
    <cfRule type="duplicateValues" dxfId="561" priority="25"/>
    <cfRule type="iconSet" priority="26">
      <iconSet>
        <cfvo type="percent" val="0"/>
        <cfvo type="percent" val="12"/>
        <cfvo type="percent" val="13"/>
      </iconSet>
    </cfRule>
  </conditionalFormatting>
  <conditionalFormatting sqref="AL33:AL34">
    <cfRule type="duplicateValues" dxfId="560" priority="24"/>
  </conditionalFormatting>
  <conditionalFormatting sqref="AL33:AL34">
    <cfRule type="duplicateValues" dxfId="559" priority="22"/>
    <cfRule type="iconSet" priority="23">
      <iconSet iconSet="3Signs">
        <cfvo type="percent" val="0"/>
        <cfvo type="percent" val="12"/>
        <cfvo type="percent" val="13" gte="0"/>
      </iconSet>
    </cfRule>
  </conditionalFormatting>
  <conditionalFormatting sqref="AT33:AT34">
    <cfRule type="duplicateValues" dxfId="558" priority="20"/>
    <cfRule type="iconSet" priority="21">
      <iconSet>
        <cfvo type="percent" val="0"/>
        <cfvo type="percent" val="12"/>
        <cfvo type="percent" val="13"/>
      </iconSet>
    </cfRule>
  </conditionalFormatting>
  <conditionalFormatting sqref="AT33:AT34">
    <cfRule type="duplicateValues" dxfId="557" priority="19"/>
  </conditionalFormatting>
  <conditionalFormatting sqref="AT33:AT34">
    <cfRule type="duplicateValues" dxfId="556" priority="17"/>
    <cfRule type="iconSet" priority="18">
      <iconSet iconSet="3Signs">
        <cfvo type="percent" val="0"/>
        <cfvo type="percent" val="12"/>
        <cfvo type="percent" val="13" gte="0"/>
      </iconSet>
    </cfRule>
  </conditionalFormatting>
  <conditionalFormatting sqref="BF33:BF34">
    <cfRule type="duplicateValues" dxfId="555" priority="15"/>
    <cfRule type="iconSet" priority="16">
      <iconSet>
        <cfvo type="percent" val="0"/>
        <cfvo type="percent" val="12"/>
        <cfvo type="percent" val="13"/>
      </iconSet>
    </cfRule>
  </conditionalFormatting>
  <conditionalFormatting sqref="BF33:BF34">
    <cfRule type="duplicateValues" dxfId="554" priority="14"/>
  </conditionalFormatting>
  <conditionalFormatting sqref="BF33:BF34">
    <cfRule type="duplicateValues" dxfId="553" priority="12"/>
    <cfRule type="iconSet" priority="13">
      <iconSet iconSet="3Signs">
        <cfvo type="percent" val="0"/>
        <cfvo type="percent" val="12"/>
        <cfvo type="percent" val="13" gte="0"/>
      </iconSet>
    </cfRule>
  </conditionalFormatting>
  <conditionalFormatting sqref="CB29:CF34">
    <cfRule type="containsText" dxfId="552" priority="10" operator="containsText" text="D">
      <formula>NOT(ISERROR(SEARCH("D",CB29)))</formula>
    </cfRule>
    <cfRule type="containsText" dxfId="551" priority="11" operator="containsText" text="N">
      <formula>NOT(ISERROR(SEARCH("N",CB29)))</formula>
    </cfRule>
  </conditionalFormatting>
  <conditionalFormatting sqref="CN46 CN49">
    <cfRule type="expression" dxfId="550" priority="9">
      <formula>(IF($H$42&gt;73,$H$42&lt;77))</formula>
    </cfRule>
  </conditionalFormatting>
  <conditionalFormatting sqref="CN47">
    <cfRule type="expression" dxfId="549" priority="8">
      <formula>(IF(H42&gt;73,H42&lt;77))</formula>
    </cfRule>
  </conditionalFormatting>
  <conditionalFormatting sqref="CN48">
    <cfRule type="expression" dxfId="548" priority="7">
      <formula>(IF(H42&gt;73,H42&lt;77))</formula>
    </cfRule>
  </conditionalFormatting>
  <conditionalFormatting sqref="CN50">
    <cfRule type="expression" dxfId="547" priority="4">
      <formula>(IF($H$42&gt;74,$H$42&lt;77))</formula>
    </cfRule>
  </conditionalFormatting>
  <conditionalFormatting sqref="CN51">
    <cfRule type="expression" dxfId="546" priority="3">
      <formula>(IF($H$42&gt;75,$H$42&lt;77))</formula>
    </cfRule>
  </conditionalFormatting>
  <conditionalFormatting sqref="CB46:CF52">
    <cfRule type="containsText" dxfId="545" priority="1" operator="containsText" text="N">
      <formula>NOT(ISERROR(SEARCH("N",CB46)))</formula>
    </cfRule>
    <cfRule type="containsText" dxfId="544" priority="2" operator="containsText" text="D">
      <formula>NOT(ISERROR(SEARCH("D",CB46)))</formula>
    </cfRule>
  </conditionalFormatting>
  <conditionalFormatting sqref="AU11:AU12">
    <cfRule type="expression" dxfId="543" priority="968" stopIfTrue="1">
      <formula>(OR(AY1048571="1",AY1048571="2",AY1048571="3"))</formula>
    </cfRule>
  </conditionalFormatting>
  <conditionalFormatting sqref="BR14:BS14">
    <cfRule type="expression" dxfId="542" priority="974">
      <formula>(OR($BQ$5+$BQ$6=6,$BQ$5+BT$10=5,$BQ$5+$BQ$6=4,$BQ$5+$BQ$6=3))</formula>
    </cfRule>
  </conditionalFormatting>
  <dataValidations count="3">
    <dataValidation type="list" allowBlank="1" showInputMessage="1" showErrorMessage="1" sqref="I3">
      <formula1>INDIRECT($G$3)</formula1>
    </dataValidation>
    <dataValidation type="list" allowBlank="1" showInputMessage="1" showErrorMessage="1" sqref="C5">
      <formula1>Catégorie</formula1>
    </dataValidation>
    <dataValidation type="list" allowBlank="1" showInputMessage="1" showErrorMessage="1" sqref="G5">
      <formula1>INDIRECT($C$5)</formula1>
    </dataValidation>
  </dataValidations>
  <pageMargins left="0.22" right="0.31" top="0.43" bottom="0.35" header="0.13" footer="0.25"/>
  <pageSetup paperSize="9" orientation="landscape" horizontalDpi="4294967293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3">
    <tabColor rgb="FF66FF33"/>
  </sheetPr>
  <dimension ref="A1:BF62"/>
  <sheetViews>
    <sheetView zoomScale="80" zoomScaleNormal="80" workbookViewId="0">
      <selection activeCell="J25" sqref="J25:M25"/>
    </sheetView>
  </sheetViews>
  <sheetFormatPr baseColWidth="10" defaultRowHeight="15"/>
  <cols>
    <col min="1" max="1" width="4" style="42" customWidth="1"/>
    <col min="2" max="2" width="5.140625" style="42" customWidth="1"/>
    <col min="3" max="3" width="6.42578125" style="42" customWidth="1"/>
    <col min="4" max="4" width="11.28515625" style="42" customWidth="1"/>
    <col min="5" max="5" width="4.42578125" style="42" customWidth="1"/>
    <col min="6" max="6" width="7.42578125" style="42" customWidth="1"/>
    <col min="7" max="7" width="6.42578125" style="42" customWidth="1"/>
    <col min="8" max="8" width="8.42578125" style="42" customWidth="1"/>
    <col min="9" max="9" width="5.5703125" style="42" customWidth="1"/>
    <col min="10" max="10" width="5" style="42" customWidth="1"/>
    <col min="11" max="11" width="6.28515625" style="42" customWidth="1"/>
    <col min="12" max="12" width="4.42578125" style="42" customWidth="1"/>
    <col min="13" max="13" width="9.7109375" style="42" customWidth="1"/>
    <col min="14" max="14" width="6.28515625" style="42" customWidth="1"/>
    <col min="15" max="16" width="6" style="42" customWidth="1"/>
    <col min="17" max="17" width="7.7109375" style="42" customWidth="1"/>
    <col min="18" max="18" width="5.28515625" style="42" customWidth="1"/>
    <col min="19" max="19" width="12.28515625" style="42" customWidth="1"/>
    <col min="20" max="20" width="6.5703125" style="42" customWidth="1"/>
    <col min="21" max="21" width="5.85546875" style="42" hidden="1" customWidth="1"/>
    <col min="22" max="22" width="4.85546875" style="42" hidden="1" customWidth="1"/>
    <col min="23" max="23" width="4.140625" style="42" customWidth="1"/>
    <col min="24" max="24" width="5.140625" style="42" customWidth="1"/>
    <col min="25" max="25" width="6.42578125" style="42" customWidth="1"/>
    <col min="26" max="26" width="9" style="42" customWidth="1"/>
    <col min="27" max="27" width="4.42578125" style="42" customWidth="1"/>
    <col min="28" max="28" width="7.42578125" style="42" customWidth="1"/>
    <col min="29" max="29" width="6" style="42" customWidth="1"/>
    <col min="30" max="30" width="8.85546875" style="42" customWidth="1"/>
    <col min="31" max="31" width="5.5703125" style="42" customWidth="1"/>
    <col min="32" max="32" width="5" style="42" customWidth="1"/>
    <col min="33" max="33" width="6.28515625" style="42" customWidth="1"/>
    <col min="34" max="34" width="4.42578125" style="42" customWidth="1"/>
    <col min="35" max="35" width="9.42578125" style="42" customWidth="1"/>
    <col min="36" max="38" width="6" style="42" customWidth="1"/>
    <col min="39" max="39" width="7.7109375" style="42" customWidth="1"/>
    <col min="40" max="40" width="5.28515625" style="42" customWidth="1"/>
    <col min="41" max="41" width="8.140625" style="42" customWidth="1"/>
    <col min="42" max="42" width="7.42578125" style="42" customWidth="1"/>
    <col min="43" max="43" width="6.5703125" style="42" hidden="1" customWidth="1"/>
    <col min="44" max="44" width="7.140625" style="42" hidden="1" customWidth="1"/>
    <col min="45" max="16384" width="11.42578125" style="42"/>
  </cols>
  <sheetData>
    <row r="1" spans="1:58" ht="23.25" customHeight="1" thickBot="1">
      <c r="B1" s="1329" t="s">
        <v>63</v>
      </c>
      <c r="C1" s="1330"/>
      <c r="D1" s="1330"/>
      <c r="E1" s="1330">
        <f>Rens.!J1</f>
        <v>0</v>
      </c>
      <c r="F1" s="1330"/>
      <c r="G1" s="1330"/>
      <c r="H1" s="223">
        <f ca="1">Rens.!$D$3</f>
        <v>2021</v>
      </c>
      <c r="I1" s="1330" t="str">
        <f>Rens.!$J$3</f>
        <v>Quadrette</v>
      </c>
      <c r="J1" s="1330"/>
      <c r="K1" s="1330"/>
      <c r="L1" s="1330"/>
      <c r="M1" s="224" t="e">
        <f>Rens.!#REF!</f>
        <v>#REF!</v>
      </c>
      <c r="N1" s="1329" t="s">
        <v>23</v>
      </c>
      <c r="O1" s="1330"/>
      <c r="P1" s="1330"/>
      <c r="Q1" s="1330"/>
      <c r="R1" s="1330"/>
      <c r="S1" s="1331"/>
      <c r="T1" s="233">
        <f>+Rens.!D16</f>
        <v>3</v>
      </c>
      <c r="U1" s="225"/>
      <c r="V1" s="225"/>
      <c r="X1" s="1329" t="s">
        <v>63</v>
      </c>
      <c r="Y1" s="1330"/>
      <c r="Z1" s="1330"/>
      <c r="AA1" s="1330">
        <f>Rens.!J1</f>
        <v>0</v>
      </c>
      <c r="AB1" s="1330"/>
      <c r="AC1" s="1330"/>
      <c r="AD1" s="223">
        <f ca="1">Rens.!$D$3</f>
        <v>2021</v>
      </c>
      <c r="AE1" s="1330" t="str">
        <f>Rens.!$J$3</f>
        <v>Quadrette</v>
      </c>
      <c r="AF1" s="1330"/>
      <c r="AG1" s="1330"/>
      <c r="AH1" s="1330"/>
      <c r="AI1" s="224" t="str">
        <f>Rens.!G10</f>
        <v>3</v>
      </c>
      <c r="AJ1" s="1329" t="s">
        <v>23</v>
      </c>
      <c r="AK1" s="1330"/>
      <c r="AL1" s="1330"/>
      <c r="AM1" s="1330"/>
      <c r="AN1" s="1330"/>
      <c r="AO1" s="1331"/>
      <c r="AP1" s="234">
        <f>+Rens.!D16</f>
        <v>3</v>
      </c>
      <c r="AQ1" s="41"/>
      <c r="AR1" s="41"/>
      <c r="AS1" s="41"/>
      <c r="AT1" s="41"/>
    </row>
    <row r="2" spans="1:58" ht="24" customHeight="1" thickBot="1">
      <c r="B2" s="1354" t="s">
        <v>24</v>
      </c>
      <c r="C2" s="1355"/>
      <c r="D2" s="1356"/>
      <c r="E2" s="235" t="str">
        <f>+Rens.!E16</f>
        <v>3</v>
      </c>
      <c r="F2" s="1330" t="s">
        <v>19</v>
      </c>
      <c r="G2" s="1330"/>
      <c r="H2" s="236" t="str">
        <f>+Rens.!E17</f>
        <v>1</v>
      </c>
      <c r="I2" s="1330" t="s">
        <v>20</v>
      </c>
      <c r="J2" s="1330"/>
      <c r="K2" s="1330"/>
      <c r="L2" s="1330"/>
      <c r="M2" s="1330"/>
      <c r="N2" s="1330"/>
      <c r="O2" s="1330"/>
      <c r="P2" s="1330"/>
      <c r="Q2" s="1330"/>
      <c r="R2" s="1330"/>
      <c r="S2" s="1330"/>
      <c r="T2" s="1331"/>
      <c r="U2" s="108"/>
      <c r="V2" s="108"/>
      <c r="X2" s="1376" t="s">
        <v>25</v>
      </c>
      <c r="Y2" s="1377"/>
      <c r="Z2" s="1377"/>
      <c r="AA2" s="235" t="str">
        <f>+Rens.!F16</f>
        <v>0</v>
      </c>
      <c r="AB2" s="1330" t="s">
        <v>19</v>
      </c>
      <c r="AC2" s="1330"/>
      <c r="AD2" s="236" t="str">
        <f>Rens.!$F$17</f>
        <v>0</v>
      </c>
      <c r="AE2" s="1330" t="s">
        <v>20</v>
      </c>
      <c r="AF2" s="1330"/>
      <c r="AG2" s="1330"/>
      <c r="AH2" s="1330"/>
      <c r="AI2" s="1330"/>
      <c r="AJ2" s="1330"/>
      <c r="AK2" s="1330"/>
      <c r="AL2" s="1330"/>
      <c r="AM2" s="1330"/>
      <c r="AN2" s="1330"/>
      <c r="AO2" s="1330"/>
      <c r="AP2" s="1331"/>
      <c r="AQ2" s="41"/>
      <c r="AR2" s="41"/>
      <c r="AS2" s="41"/>
      <c r="AT2" s="41"/>
    </row>
    <row r="3" spans="1:58" ht="18.75" customHeight="1" thickBot="1">
      <c r="B3" s="109"/>
      <c r="C3" s="110"/>
      <c r="D3" s="239">
        <f>+Rens.!J10</f>
        <v>31</v>
      </c>
      <c r="E3" s="44"/>
      <c r="F3" s="203" t="str">
        <f>CONCATENATE(E2,H2)</f>
        <v>31</v>
      </c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1"/>
      <c r="U3" s="110"/>
      <c r="V3" s="110"/>
      <c r="X3" s="216"/>
      <c r="Y3" s="217"/>
      <c r="Z3" s="239">
        <f>+Rens.!J10</f>
        <v>31</v>
      </c>
      <c r="AA3" s="218"/>
      <c r="AB3" s="203" t="str">
        <f>CONCATENATE(AA2,AD2)</f>
        <v>00</v>
      </c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9"/>
      <c r="AQ3" s="41"/>
      <c r="AR3" s="41"/>
      <c r="AS3" s="41"/>
      <c r="AT3" s="41"/>
    </row>
    <row r="4" spans="1:58" ht="15.75" thickBot="1">
      <c r="B4" s="109"/>
      <c r="C4" s="1357" t="s">
        <v>62</v>
      </c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  <c r="P4" s="1350"/>
      <c r="Q4" s="1350"/>
      <c r="R4" s="1350"/>
      <c r="S4" s="1351"/>
      <c r="T4" s="1332"/>
      <c r="U4" s="112"/>
      <c r="V4" s="112"/>
      <c r="X4" s="109"/>
      <c r="Y4" s="215" t="s">
        <v>62</v>
      </c>
      <c r="Z4" s="1350"/>
      <c r="AA4" s="1350"/>
      <c r="AB4" s="1350"/>
      <c r="AC4" s="1350"/>
      <c r="AD4" s="1350"/>
      <c r="AE4" s="1350"/>
      <c r="AF4" s="1350"/>
      <c r="AG4" s="1350"/>
      <c r="AH4" s="1350"/>
      <c r="AI4" s="1350"/>
      <c r="AJ4" s="1350"/>
      <c r="AK4" s="1350"/>
      <c r="AL4" s="1350"/>
      <c r="AM4" s="1350"/>
      <c r="AN4" s="1350"/>
      <c r="AO4" s="1351"/>
      <c r="AP4" s="1332"/>
      <c r="AQ4" s="41"/>
      <c r="AR4" s="41"/>
      <c r="AS4" s="41"/>
      <c r="AT4" s="41"/>
    </row>
    <row r="5" spans="1:58">
      <c r="B5" s="109"/>
      <c r="T5" s="1332"/>
      <c r="U5" s="112"/>
      <c r="V5" s="112"/>
      <c r="X5" s="109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332"/>
      <c r="AQ5" s="41"/>
      <c r="AR5" s="41"/>
      <c r="AS5" s="41"/>
      <c r="AT5" s="41"/>
    </row>
    <row r="6" spans="1:58" s="94" customFormat="1" ht="13.5" customHeight="1" thickBot="1"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93"/>
      <c r="S6" s="115"/>
      <c r="T6" s="116"/>
      <c r="U6" s="115"/>
      <c r="V6" s="115"/>
      <c r="X6" s="113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93"/>
      <c r="AO6" s="115"/>
      <c r="AP6" s="116"/>
      <c r="AQ6" s="93"/>
      <c r="AR6" s="93"/>
      <c r="AS6" s="93"/>
      <c r="AT6" s="93"/>
    </row>
    <row r="7" spans="1:58" ht="15.75" thickBot="1">
      <c r="B7" s="59" t="s">
        <v>6</v>
      </c>
      <c r="C7" s="117" t="s">
        <v>14</v>
      </c>
      <c r="D7" s="225"/>
      <c r="E7" s="118"/>
      <c r="F7" s="118"/>
      <c r="G7" s="110" t="s">
        <v>5</v>
      </c>
      <c r="H7" s="110"/>
      <c r="I7" s="110" t="s">
        <v>6</v>
      </c>
      <c r="J7" s="117" t="str">
        <f>IF(E2=2,"","C")</f>
        <v>C</v>
      </c>
      <c r="K7" s="225"/>
      <c r="L7" s="118"/>
      <c r="M7" s="118"/>
      <c r="N7" s="110" t="s">
        <v>5</v>
      </c>
      <c r="O7" s="110"/>
      <c r="P7" s="110"/>
      <c r="Q7" s="117" t="s">
        <v>41</v>
      </c>
      <c r="R7" s="118"/>
      <c r="S7" s="118"/>
      <c r="T7" s="119"/>
      <c r="U7" s="118"/>
      <c r="V7" s="118"/>
      <c r="W7" s="118"/>
      <c r="X7" s="109"/>
      <c r="Y7" s="110" t="s">
        <v>6</v>
      </c>
      <c r="Z7" s="117" t="s">
        <v>14</v>
      </c>
      <c r="AA7" s="225"/>
      <c r="AB7" s="118"/>
      <c r="AC7" s="118"/>
      <c r="AD7" s="110" t="s">
        <v>5</v>
      </c>
      <c r="AE7" s="110"/>
      <c r="AF7" s="110"/>
      <c r="AG7" s="110"/>
      <c r="AH7" s="110"/>
      <c r="AI7" s="110"/>
      <c r="AJ7" s="110" t="s">
        <v>6</v>
      </c>
      <c r="AK7" s="117" t="str">
        <f>IF(AA2=2,"","C")</f>
        <v>C</v>
      </c>
      <c r="AL7" s="225"/>
      <c r="AM7" s="118"/>
      <c r="AN7" s="118"/>
      <c r="AO7" s="110" t="s">
        <v>5</v>
      </c>
      <c r="AP7" s="111"/>
      <c r="AQ7" s="110"/>
      <c r="AR7" s="126"/>
      <c r="AS7" s="126"/>
      <c r="AT7" s="126"/>
      <c r="AU7" s="126"/>
      <c r="AV7" s="41"/>
      <c r="AW7" s="41"/>
      <c r="AX7" s="41"/>
      <c r="AY7" s="41"/>
    </row>
    <row r="8" spans="1:58" ht="15.75" thickBot="1">
      <c r="A8" s="174">
        <v>1</v>
      </c>
      <c r="B8" s="1325"/>
      <c r="C8" s="1305" t="str">
        <f>IF(OR(AND(D3&gt;30,D3&lt;80)),Rens.!AA4)</f>
        <v>A</v>
      </c>
      <c r="D8" s="1306"/>
      <c r="E8" s="1306"/>
      <c r="F8" s="1307"/>
      <c r="G8" s="53">
        <v>1</v>
      </c>
      <c r="H8" s="175">
        <v>3</v>
      </c>
      <c r="I8" s="1325"/>
      <c r="J8" s="1341" t="str">
        <f>IF(OR(AND(D3&gt;30,D3&lt;80)),Rens.!AA6)</f>
        <v>C</v>
      </c>
      <c r="K8" s="1342"/>
      <c r="L8" s="1342"/>
      <c r="M8" s="1343"/>
      <c r="N8" s="53">
        <v>1</v>
      </c>
      <c r="O8" s="110"/>
      <c r="P8" s="188">
        <v>5</v>
      </c>
      <c r="Q8" s="1361">
        <f>IF($E$2+$E$3=4,0,IF($E$2+$E$3=3,0,IF(ISNA(MATCH($P$8,Rens.!$U$5:$U$11,0)),"",INDEX(Rens.!$S$5:$S$11,MATCH($P$8,Rens.!$U$5:$U$11,0)))))</f>
        <v>0</v>
      </c>
      <c r="R8" s="1362"/>
      <c r="S8" s="1363"/>
      <c r="T8" s="120"/>
      <c r="U8" s="118"/>
      <c r="V8" s="118"/>
      <c r="W8" s="188">
        <v>6</v>
      </c>
      <c r="X8" s="220"/>
      <c r="Y8" s="1325"/>
      <c r="Z8" s="1338" t="str">
        <f>IF(OR(AND(D3&gt;30,D3&lt;80)),Rens.!AA9)</f>
        <v/>
      </c>
      <c r="AA8" s="1339"/>
      <c r="AB8" s="1339"/>
      <c r="AC8" s="1340"/>
      <c r="AD8" s="53">
        <v>2</v>
      </c>
      <c r="AE8" s="110"/>
      <c r="AF8" s="110"/>
      <c r="AG8" s="110"/>
      <c r="AH8" s="110"/>
      <c r="AI8" s="175">
        <v>8</v>
      </c>
      <c r="AJ8" s="1325"/>
      <c r="AK8" s="1341" t="str">
        <f>IF(OR(AND(D3&gt;30,D3&lt;80)),Rens.!AA11)</f>
        <v/>
      </c>
      <c r="AL8" s="1342"/>
      <c r="AM8" s="1342"/>
      <c r="AN8" s="1343"/>
      <c r="AO8" s="53">
        <v>2</v>
      </c>
      <c r="AP8" s="111"/>
      <c r="AQ8" s="188">
        <v>10</v>
      </c>
      <c r="AR8" s="126"/>
      <c r="AS8" s="126"/>
      <c r="AT8" s="126"/>
      <c r="AU8" s="201"/>
      <c r="AV8" s="41"/>
      <c r="AW8" s="41"/>
      <c r="AX8" s="41"/>
      <c r="AY8" s="41"/>
    </row>
    <row r="9" spans="1:58" ht="15.75" thickBot="1">
      <c r="A9" s="174">
        <v>2</v>
      </c>
      <c r="B9" s="1326"/>
      <c r="C9" s="1341" t="str">
        <f>IF(OR(AND(D3&gt;30,D3&lt;80)),Rens.!AA5)</f>
        <v>B</v>
      </c>
      <c r="D9" s="1342"/>
      <c r="E9" s="1342"/>
      <c r="F9" s="1343"/>
      <c r="G9" s="222">
        <v>0</v>
      </c>
      <c r="H9" s="175">
        <v>4</v>
      </c>
      <c r="I9" s="1326"/>
      <c r="J9" s="1358" t="str">
        <f>IF(OR(AND(D3&gt;30,D3&lt;80)),Rens.!AA7)</f>
        <v>OFFICE</v>
      </c>
      <c r="K9" s="1359"/>
      <c r="L9" s="1359"/>
      <c r="M9" s="1360"/>
      <c r="N9" s="53">
        <v>0</v>
      </c>
      <c r="O9" s="110"/>
      <c r="P9" s="118"/>
      <c r="Q9" s="56" t="e">
        <f>IF(ISNA(MATCH($P$8,#REF!,0)),"",INDEX(#REF!,MATCH($P$8,#REF!,0)))</f>
        <v>#REF!</v>
      </c>
      <c r="R9" s="47"/>
      <c r="S9" s="47"/>
      <c r="T9" s="119"/>
      <c r="U9" s="118"/>
      <c r="V9" s="118"/>
      <c r="W9" s="188">
        <v>7</v>
      </c>
      <c r="X9" s="220"/>
      <c r="Y9" s="1326"/>
      <c r="Z9" s="1338" t="str">
        <f>IF(OR(AND(D3&gt;30,D3&lt;80)),Rens.!AA10)</f>
        <v/>
      </c>
      <c r="AA9" s="1339"/>
      <c r="AB9" s="1339"/>
      <c r="AC9" s="1340"/>
      <c r="AD9" s="222">
        <v>0</v>
      </c>
      <c r="AE9" s="110"/>
      <c r="AF9" s="110"/>
      <c r="AG9" s="110"/>
      <c r="AH9" s="110"/>
      <c r="AI9" s="175">
        <v>9</v>
      </c>
      <c r="AJ9" s="1326"/>
      <c r="AK9" s="1344" t="str">
        <f>IF(OR(AND(D3&gt;30,D3&lt;80)),Rens.!AA12)</f>
        <v>OFFICE</v>
      </c>
      <c r="AL9" s="1345"/>
      <c r="AM9" s="1345"/>
      <c r="AN9" s="1346"/>
      <c r="AO9" s="53">
        <v>0</v>
      </c>
      <c r="AP9" s="111"/>
      <c r="AQ9" s="118"/>
      <c r="AR9" s="126"/>
      <c r="AS9" s="126"/>
      <c r="AT9" s="126"/>
      <c r="AU9" s="201"/>
      <c r="AV9" s="41"/>
      <c r="AW9" s="41"/>
      <c r="AX9" s="41"/>
      <c r="AY9" s="41"/>
    </row>
    <row r="10" spans="1:58" ht="15.75" thickBot="1">
      <c r="B10" s="109"/>
      <c r="C10" s="92" t="s">
        <v>15</v>
      </c>
      <c r="D10" s="107"/>
      <c r="E10" s="47"/>
      <c r="F10" s="47"/>
      <c r="G10" s="118"/>
      <c r="H10" s="118"/>
      <c r="I10" s="118"/>
      <c r="J10" s="50" t="s">
        <v>40</v>
      </c>
      <c r="K10" s="107"/>
      <c r="L10" s="47"/>
      <c r="M10" s="47"/>
      <c r="N10" s="118"/>
      <c r="O10" s="118"/>
      <c r="P10" s="118"/>
      <c r="Q10" s="47"/>
      <c r="R10" s="47"/>
      <c r="S10" s="47"/>
      <c r="T10" s="119"/>
      <c r="U10" s="118"/>
      <c r="V10" s="118"/>
      <c r="W10" s="118"/>
      <c r="X10" s="109"/>
      <c r="Y10" s="118"/>
      <c r="Z10" s="92" t="s">
        <v>15</v>
      </c>
      <c r="AA10" s="107"/>
      <c r="AB10" s="47"/>
      <c r="AC10" s="47"/>
      <c r="AD10" s="118"/>
      <c r="AE10" s="118"/>
      <c r="AF10" s="118"/>
      <c r="AG10" s="118"/>
      <c r="AH10" s="118"/>
      <c r="AI10" s="118"/>
      <c r="AJ10" s="118"/>
      <c r="AK10" s="50" t="s">
        <v>40</v>
      </c>
      <c r="AL10" s="107"/>
      <c r="AM10" s="47"/>
      <c r="AN10" s="47"/>
      <c r="AO10" s="118"/>
      <c r="AP10" s="119"/>
      <c r="AQ10" s="118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</row>
    <row r="11" spans="1:58">
      <c r="B11" s="109"/>
      <c r="C11" s="47"/>
      <c r="D11" s="47"/>
      <c r="E11" s="187" t="s">
        <v>75</v>
      </c>
      <c r="F11" s="47"/>
      <c r="G11" s="118"/>
      <c r="H11" s="118"/>
      <c r="I11" s="118"/>
      <c r="J11" s="47"/>
      <c r="K11" s="47"/>
      <c r="L11" s="47"/>
      <c r="M11" s="47"/>
      <c r="N11" s="118"/>
      <c r="O11" s="118"/>
      <c r="P11" s="118"/>
      <c r="Q11" s="47"/>
      <c r="R11" s="47"/>
      <c r="S11" s="47"/>
      <c r="T11" s="119"/>
      <c r="U11" s="118"/>
      <c r="V11" s="118"/>
      <c r="W11" s="118"/>
      <c r="X11" s="109"/>
      <c r="Y11" s="118"/>
      <c r="Z11" s="48"/>
      <c r="AA11" s="187" t="s">
        <v>76</v>
      </c>
      <c r="AB11" s="48"/>
      <c r="AC11" s="48"/>
      <c r="AD11" s="118"/>
      <c r="AE11" s="118"/>
      <c r="AF11" s="118"/>
      <c r="AG11" s="118"/>
      <c r="AH11" s="118"/>
      <c r="AI11" s="118"/>
      <c r="AJ11" s="118"/>
      <c r="AK11" s="47"/>
      <c r="AL11" s="47"/>
      <c r="AM11" s="47"/>
      <c r="AN11" s="47"/>
      <c r="AO11" s="118"/>
      <c r="AP11" s="119"/>
      <c r="AQ11" s="118"/>
      <c r="AR11" s="118"/>
      <c r="AS11" s="118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</row>
    <row r="12" spans="1:58">
      <c r="B12" s="109"/>
      <c r="C12" s="47"/>
      <c r="D12" s="47"/>
      <c r="E12" s="47"/>
      <c r="F12" s="47"/>
      <c r="G12" s="118"/>
      <c r="H12" s="118"/>
      <c r="I12" s="118"/>
      <c r="J12" s="47"/>
      <c r="K12" s="47"/>
      <c r="L12" s="47"/>
      <c r="M12" s="47"/>
      <c r="N12" s="118"/>
      <c r="O12" s="118"/>
      <c r="P12" s="118"/>
      <c r="Q12" s="47"/>
      <c r="R12" s="47"/>
      <c r="S12" s="47"/>
      <c r="T12" s="119"/>
      <c r="U12" s="118"/>
      <c r="V12" s="118"/>
      <c r="W12" s="118"/>
      <c r="X12" s="109"/>
      <c r="Y12" s="118"/>
      <c r="Z12" s="48"/>
      <c r="AA12" s="48"/>
      <c r="AB12" s="48"/>
      <c r="AC12" s="48"/>
      <c r="AD12" s="118"/>
      <c r="AE12" s="118"/>
      <c r="AF12" s="118"/>
      <c r="AG12" s="118"/>
      <c r="AH12" s="118"/>
      <c r="AI12" s="118"/>
      <c r="AJ12" s="118"/>
      <c r="AK12" s="241"/>
      <c r="AL12" s="241"/>
      <c r="AM12" s="241"/>
      <c r="AN12" s="241"/>
      <c r="AO12" s="201"/>
      <c r="AP12" s="119"/>
      <c r="AQ12" s="118"/>
      <c r="AR12" s="118"/>
      <c r="AS12" s="118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</row>
    <row r="13" spans="1:58" ht="15.75" thickBot="1">
      <c r="B13" s="59" t="s">
        <v>6</v>
      </c>
      <c r="C13" s="47"/>
      <c r="D13" s="78" t="s">
        <v>58</v>
      </c>
      <c r="E13" s="47"/>
      <c r="F13" s="47"/>
      <c r="G13" s="110" t="s">
        <v>5</v>
      </c>
      <c r="H13" s="110"/>
      <c r="I13" s="118"/>
      <c r="J13" s="47"/>
      <c r="K13" s="47"/>
      <c r="L13" s="47" t="s">
        <v>59</v>
      </c>
      <c r="M13" s="47"/>
      <c r="N13" s="118"/>
      <c r="O13" s="118"/>
      <c r="P13" s="110" t="s">
        <v>6</v>
      </c>
      <c r="Q13" s="47"/>
      <c r="R13" s="78" t="s">
        <v>57</v>
      </c>
      <c r="S13" s="47"/>
      <c r="T13" s="177" t="s">
        <v>5</v>
      </c>
      <c r="U13" s="109"/>
      <c r="W13" s="118"/>
      <c r="X13" s="109"/>
      <c r="Y13" s="110" t="s">
        <v>6</v>
      </c>
      <c r="Z13" s="48"/>
      <c r="AA13" s="48" t="s">
        <v>58</v>
      </c>
      <c r="AB13" s="48"/>
      <c r="AC13" s="48"/>
      <c r="AD13" s="110" t="s">
        <v>5</v>
      </c>
      <c r="AE13" s="110"/>
      <c r="AF13" s="110"/>
      <c r="AG13" s="110"/>
      <c r="AH13" s="110"/>
      <c r="AI13" s="110"/>
      <c r="AJ13" s="110" t="s">
        <v>6</v>
      </c>
      <c r="AK13" s="47"/>
      <c r="AL13" s="47" t="s">
        <v>57</v>
      </c>
      <c r="AM13" s="47"/>
      <c r="AN13" s="44" t="s">
        <v>5</v>
      </c>
      <c r="AO13" s="118"/>
      <c r="AP13" s="119"/>
      <c r="AQ13" s="41"/>
      <c r="AR13" s="41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</row>
    <row r="14" spans="1:58" ht="15.75" thickBot="1">
      <c r="B14" s="1325"/>
      <c r="C14" s="1305" t="str">
        <f>IF($G$8=$G$9,"résultat",IF($G$8&gt;$G$9,$C$9,$C$8))</f>
        <v>B</v>
      </c>
      <c r="D14" s="1336"/>
      <c r="E14" s="1336"/>
      <c r="F14" s="1337"/>
      <c r="G14" s="53">
        <v>1</v>
      </c>
      <c r="H14" s="110"/>
      <c r="I14" s="118"/>
      <c r="J14" s="1370" t="str">
        <f>IF(OR(AND(D3&gt;30,D3&lt;50),AND(D3&gt;60,D3&lt;76)),"0",IF(ISTEXT($Q$8),IF(($G$9=$G$8),"résultat",IF(($N$9=$N$8),"résultat",IF(($U$14=2),$C$8,IF(($V$14=2),$C$9,IF(($U$15=2),$J$9,IF(($V$15=2),J8,0))))))))</f>
        <v>0</v>
      </c>
      <c r="K14" s="1371"/>
      <c r="L14" s="1371"/>
      <c r="M14" s="1372"/>
      <c r="N14" s="186"/>
      <c r="O14" s="118"/>
      <c r="P14" s="1325"/>
      <c r="Q14" s="1364" t="str">
        <f>IF($E$2+$E$3=5,$Q$8,IF($N$8=$N$9,"résultat",IF($N$8&gt;$N$9,$J$8,$J$9)))</f>
        <v>C</v>
      </c>
      <c r="R14" s="1365"/>
      <c r="S14" s="1366"/>
      <c r="T14" s="53">
        <v>1</v>
      </c>
      <c r="U14" s="237">
        <f>IF(G8&gt;G9,1)+IF(N8&gt;N9,1)</f>
        <v>2</v>
      </c>
      <c r="V14" s="237">
        <f>IF(G9&gt;G8,1)+IF(N9&gt;N8,1)</f>
        <v>0</v>
      </c>
      <c r="W14" s="118"/>
      <c r="X14" s="109"/>
      <c r="Y14" s="1325"/>
      <c r="Z14" s="1305" t="str">
        <f>IF($AD$8=$AD$9,"résultat",IF($AD$8&gt;$AD$9,$Z$9,$Z$8))</f>
        <v/>
      </c>
      <c r="AA14" s="1336"/>
      <c r="AB14" s="1336"/>
      <c r="AC14" s="1337"/>
      <c r="AD14" s="53">
        <v>3</v>
      </c>
      <c r="AE14" s="110"/>
      <c r="AF14" s="110"/>
      <c r="AG14" s="110"/>
      <c r="AH14" s="110"/>
      <c r="AI14" s="110"/>
      <c r="AJ14" s="1325"/>
      <c r="AK14" s="1250" t="str">
        <f>IF($AA$2+$AA$3=5,$AR$8,IF($AO$8&gt;$AO$9,$AK$8,$AK$9))</f>
        <v/>
      </c>
      <c r="AL14" s="1352"/>
      <c r="AM14" s="1352"/>
      <c r="AN14" s="1353"/>
      <c r="AO14" s="53">
        <v>2</v>
      </c>
      <c r="AP14" s="119"/>
      <c r="AR14" s="41"/>
      <c r="AS14" s="41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</row>
    <row r="15" spans="1:58" ht="15.75" thickBot="1">
      <c r="B15" s="1326"/>
      <c r="C15" s="1333" t="str">
        <f>IF($N$8=$N$9,"résultat",IF($N$8&lt;$N$9,$J$8,$J$9))</f>
        <v>OFFICE</v>
      </c>
      <c r="D15" s="1334"/>
      <c r="E15" s="1334"/>
      <c r="F15" s="1335"/>
      <c r="G15" s="64"/>
      <c r="H15" s="110"/>
      <c r="I15" s="118"/>
      <c r="J15" s="1373" t="s">
        <v>77</v>
      </c>
      <c r="K15" s="1374"/>
      <c r="L15" s="1374"/>
      <c r="M15" s="1375"/>
      <c r="N15" s="144"/>
      <c r="O15" s="118"/>
      <c r="P15" s="1326"/>
      <c r="Q15" s="1333" t="str">
        <f>IF(ISBLANK($Q$8),IF($G$8&gt;$G$9,$C$8,$C$9),IF(ISNUMBER($Q$8),IF(G8=G9,"résultat",IF($G$8&gt;$G$9,$C$8,$C$9)),IF(ISTEXT($Q$8),IF(($G$9=$G$8),"résultat",IF(($N$9=$N$8),"résultat",IF(($U$14=2),$J$8,IF(($V$14=2),$J$9,IF(($U$15=2),$C$8,IF(($V$15=2),$C$9)))))))))</f>
        <v>A</v>
      </c>
      <c r="R15" s="1334"/>
      <c r="S15" s="1335"/>
      <c r="T15" s="222">
        <v>0</v>
      </c>
      <c r="U15" s="237">
        <f>IF(G8&gt;G9,1)+IF(N9&gt;N8,1)</f>
        <v>1</v>
      </c>
      <c r="V15" s="237">
        <f>IF(G9&gt;G8,1)+IF(N8&gt;N9,1)</f>
        <v>1</v>
      </c>
      <c r="W15" s="118"/>
      <c r="X15" s="109"/>
      <c r="Y15" s="1326"/>
      <c r="Z15" s="1333" t="str">
        <f>IF($AO$8=$AO$9,"résultat",IF($AO$8&lt;$AO$9,$AK$8,$AK$9))</f>
        <v>OFFICE</v>
      </c>
      <c r="AA15" s="1334"/>
      <c r="AB15" s="1334"/>
      <c r="AC15" s="1335"/>
      <c r="AD15" s="53">
        <v>0</v>
      </c>
      <c r="AE15" s="110"/>
      <c r="AF15" s="110"/>
      <c r="AG15" s="110"/>
      <c r="AH15" s="110"/>
      <c r="AI15" s="110"/>
      <c r="AJ15" s="1326"/>
      <c r="AK15" s="1333" t="str">
        <f>IF(ISBLANK($AR$8),IF($AD$8&gt;$AD$9,$Z$8,$Z$9),IF(ISNUMBER($AR$8),IF($AD$8&gt;$AD$9,$Z$8,$Z$9),IF(ISTEXT($AR$8),IF(($AD$9=$AD$8),"résultat",IF(($AO$9=$AO$8),"résultat",IF(($AY$14=2),$AK$8,IF(($AZ$14=2),$AK$9,IF(($AY$15=2),$Z$8,IF(($AZ$15=2),$Z$9)))))))))</f>
        <v/>
      </c>
      <c r="AL15" s="1334"/>
      <c r="AM15" s="1334"/>
      <c r="AN15" s="1335"/>
      <c r="AO15" s="222">
        <v>0</v>
      </c>
      <c r="AP15" s="119"/>
      <c r="AR15" s="41"/>
      <c r="AS15" s="41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</row>
    <row r="16" spans="1:58">
      <c r="B16" s="109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23"/>
      <c r="Q16" s="118"/>
      <c r="R16" s="118"/>
      <c r="S16" s="118"/>
      <c r="T16" s="119"/>
      <c r="U16" s="118"/>
      <c r="V16" s="118"/>
      <c r="W16" s="118"/>
      <c r="X16" s="109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9"/>
      <c r="AQ16" s="119"/>
      <c r="AR16" s="41"/>
      <c r="AS16" s="41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</row>
    <row r="17" spans="2:58">
      <c r="B17" s="109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T17" s="119"/>
      <c r="U17" s="118"/>
      <c r="V17" s="118"/>
      <c r="X17" s="109"/>
      <c r="Y17" s="118"/>
      <c r="Z17" s="118"/>
      <c r="AA17" s="118"/>
      <c r="AB17" s="118"/>
      <c r="AC17" s="118"/>
      <c r="AD17" s="124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9"/>
      <c r="AQ17" s="41"/>
      <c r="AR17" s="41"/>
      <c r="AS17" s="41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</row>
    <row r="18" spans="2:58" ht="15.75" thickBot="1">
      <c r="B18" s="109"/>
      <c r="C18" s="118"/>
      <c r="D18" s="118"/>
      <c r="E18" s="110" t="s">
        <v>6</v>
      </c>
      <c r="F18" s="118"/>
      <c r="G18" s="118"/>
      <c r="H18" s="118"/>
      <c r="I18" s="118"/>
      <c r="J18" s="110" t="s">
        <v>5</v>
      </c>
      <c r="K18" s="110"/>
      <c r="L18" s="110" t="s">
        <v>6</v>
      </c>
      <c r="M18" s="118"/>
      <c r="N18" s="118"/>
      <c r="O18" s="118"/>
      <c r="P18" s="118"/>
      <c r="Q18" s="110" t="s">
        <v>5</v>
      </c>
      <c r="R18" s="118"/>
      <c r="S18" s="118"/>
      <c r="T18" s="119"/>
      <c r="U18" s="124"/>
      <c r="V18" s="118"/>
      <c r="X18" s="109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9"/>
      <c r="AQ18" s="41"/>
      <c r="AR18" s="41"/>
      <c r="AS18" s="41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</row>
    <row r="19" spans="2:58" ht="15.75" thickBot="1">
      <c r="B19" s="109"/>
      <c r="C19" s="213" t="s">
        <v>146</v>
      </c>
      <c r="D19" s="214"/>
      <c r="E19" s="1325"/>
      <c r="F19" s="1344" t="str">
        <f>IF(F3+G3=54,"0",IF($F$3+$G$3=53,IF($G$14=$G$15,"résultat",IF($G$14&gt;$G$15,$C$14,$C$15)),IF($F$3+$G$3=52,IF($G$14=$G$15,"résultat",IF($G$14&gt;$G$15,$C$14,$C$15)),IF(F3+G3=51,IF(T14=T15,"résultet",IF(T14&lt;T15,Q14,Q15)),IF($F$3+$G$3=41,IF($T$14=$T$15,"résultat",IF($T$14&lt;$T$15,$Q$14,$Q$15)),IF($F$3+$G$3=42,"0",IF($F$3+$G$3=43,"0",IF($F$3+$G$3=32,IF(0&gt;0,0,0),IF($F$3+$G$3=31,IF($T$14=$T$15,"résultat",IF($T$14&lt;$T$15,$Q$14,$Q$15)))))))))))</f>
        <v>A</v>
      </c>
      <c r="G19" s="1345"/>
      <c r="H19" s="1345"/>
      <c r="I19" s="1346"/>
      <c r="J19" s="53">
        <v>1</v>
      </c>
      <c r="K19" s="110"/>
      <c r="L19" s="1325" t="s">
        <v>16</v>
      </c>
      <c r="M19" s="1367">
        <f>IF(OR(AND(D3&gt;30,D3&lt;50)),0,IF(OR(AND(D3&gt;60,D3&lt;76)),"0",IF($E$2+$E$3=5,$J$14)))</f>
        <v>0</v>
      </c>
      <c r="N19" s="1368"/>
      <c r="O19" s="1368"/>
      <c r="P19" s="1369"/>
      <c r="Q19" s="53"/>
      <c r="R19" s="118"/>
      <c r="S19" s="118"/>
      <c r="T19" s="119"/>
      <c r="U19" s="118"/>
      <c r="V19" s="118"/>
      <c r="X19" s="109"/>
      <c r="Y19" s="118"/>
      <c r="Z19" s="118"/>
      <c r="AA19" s="118"/>
      <c r="AB19" s="118"/>
      <c r="AC19" s="118"/>
      <c r="AD19" s="118"/>
      <c r="AE19" s="110" t="s">
        <v>6</v>
      </c>
      <c r="AF19" s="118"/>
      <c r="AG19" s="118"/>
      <c r="AH19" s="118"/>
      <c r="AI19" s="118"/>
      <c r="AJ19" s="110" t="s">
        <v>5</v>
      </c>
      <c r="AK19" s="110"/>
      <c r="AL19" s="125"/>
      <c r="AM19" s="118"/>
      <c r="AN19" s="118"/>
      <c r="AO19" s="118"/>
      <c r="AP19" s="119"/>
      <c r="AQ19" s="41"/>
      <c r="AR19" s="41"/>
      <c r="AS19" s="41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</row>
    <row r="20" spans="2:58" ht="15.75" thickBot="1">
      <c r="B20" s="109"/>
      <c r="C20" s="213"/>
      <c r="D20" s="214"/>
      <c r="E20" s="1326"/>
      <c r="F20" s="1341" t="str">
        <f>IF(F3+G3=54,"0",IF($F$3+$G$3=53,IF($T$14=$T$15,"résultat",IF($T$14&lt;$T$15,$Q$14,$Q$15)),(IF($F$3+$G$3=52,IF($T$14=$T$15,"résultat",IF($T$14&lt;$T$15,$Q$14,$Q$15)),IF(F3+G3=51,IF(G14=G15,"résultat",IF(G14&gt;G15,C14,C15)),IF($F$3+$G$3=41,IF($G$14=$G$15,"résultat",IF($G$14&gt;$G$15,$C$14,$C$15)),(IF($F$3+$G$3=43,IF(0&gt;0,0,0),(IF($F$3+$G$3=42,IF(0&gt;0,0,0),(IF($F$3+$G$3=32,IF(0&lt;0,0,0),(IF($F$3+$G$3=31,IF($G$14=$G$15,"résultat",IF($G$14&gt;$G$15,$C$14,$C$15))))))))))))))))</f>
        <v>B</v>
      </c>
      <c r="G20" s="1342"/>
      <c r="H20" s="1342"/>
      <c r="I20" s="1343"/>
      <c r="J20" s="53">
        <v>0</v>
      </c>
      <c r="K20" s="110"/>
      <c r="L20" s="1326"/>
      <c r="M20" s="1341" t="str">
        <f>IF(OR(AND(D3&gt;30,D3&lt;50),AND(D3&gt;60,D3&lt;76)),"0",IF(F3+G3=54,"0",IF($F$3+$G$3=53,IF($T$14=$T$15,"résultat",IF($T$14&gt;$T$15,$Q$14,$Q$15)),(IF($F$3+$G$3=52,IF(T14=T15,"résultat",IF(T14&gt;T15,Q14,Q15)),IF(F3+G3=51,IF(T14=T15,"résultat",IF(T14&gt;T15,Q14,Q15)),IF($F$3+$G$3=43,IF(0&gt;0,0,0),(IF($F$3+$G$3=42,IF(0&gt;0,0,0),(IF($F$3+$G$3=32,IF(0&gt;0,0,0),(IF($F$3+$G$3=31,IF(0&gt;0,0,0))))))))))))))</f>
        <v>0</v>
      </c>
      <c r="N20" s="1342"/>
      <c r="O20" s="1342"/>
      <c r="P20" s="1343"/>
      <c r="Q20" s="53"/>
      <c r="R20" s="118"/>
      <c r="S20" s="124"/>
      <c r="T20" s="119"/>
      <c r="U20" s="118"/>
      <c r="X20" s="109"/>
      <c r="Y20" s="118"/>
      <c r="Z20" s="118"/>
      <c r="AA20" s="118"/>
      <c r="AB20" s="118"/>
      <c r="AC20" s="118"/>
      <c r="AD20" s="118"/>
      <c r="AE20" s="1325"/>
      <c r="AF20" s="1250" t="str">
        <f>IF(OR(AND(Z3&gt;30,Z3&lt;60),AND(Z3=66,Z3&lt;79)),"0",IF($AB$3+$AC$3=32,IF($AO$14=$AO$15,"résultat",IF($AO$14&lt;$AO$15,$AK$14,$AK$15))))</f>
        <v>0</v>
      </c>
      <c r="AG20" s="1327"/>
      <c r="AH20" s="1327"/>
      <c r="AI20" s="1328"/>
      <c r="AJ20" s="53">
        <v>2</v>
      </c>
      <c r="AK20" s="110"/>
      <c r="AL20" s="118"/>
      <c r="AM20" s="118"/>
      <c r="AN20" s="118"/>
      <c r="AO20" s="118"/>
      <c r="AP20" s="119"/>
      <c r="AQ20" s="41"/>
      <c r="AR20" s="41"/>
      <c r="AS20" s="41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</row>
    <row r="21" spans="2:58" ht="15.75" thickBot="1">
      <c r="B21" s="109"/>
      <c r="C21" s="118"/>
      <c r="D21" s="118"/>
      <c r="E21" s="118"/>
      <c r="F21" s="118"/>
      <c r="G21" s="199"/>
      <c r="H21" s="199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9"/>
      <c r="U21" s="118"/>
      <c r="V21" s="118"/>
      <c r="X21" s="109"/>
      <c r="Y21" s="118"/>
      <c r="Z21" s="118"/>
      <c r="AA21" s="118"/>
      <c r="AB21" s="118"/>
      <c r="AC21" s="118"/>
      <c r="AD21" s="118"/>
      <c r="AE21" s="1326"/>
      <c r="AF21" s="1347" t="str">
        <f>IF(OR(AND(Z3&gt;30,Z3&lt;60),AND(Z3&gt;65,Z3&lt;71)),"0",IF($AB$3+$AC$3=32,IF(AD14=AD15,"résultat",IF($AD$14&gt;$AD$15,$Z$14,$Z$15))))</f>
        <v>0</v>
      </c>
      <c r="AG21" s="1348"/>
      <c r="AH21" s="1348"/>
      <c r="AI21" s="1349"/>
      <c r="AJ21" s="53">
        <v>0</v>
      </c>
      <c r="AK21" s="110"/>
      <c r="AL21" s="118"/>
      <c r="AM21" s="118"/>
      <c r="AN21" s="118"/>
      <c r="AO21" s="118"/>
      <c r="AP21" s="119"/>
      <c r="AQ21" s="41"/>
      <c r="AR21" s="41"/>
      <c r="AS21" s="41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</row>
    <row r="22" spans="2:58">
      <c r="B22" s="109"/>
      <c r="C22" s="124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9"/>
      <c r="U22" s="118"/>
      <c r="V22" s="118"/>
      <c r="X22" s="109"/>
      <c r="Y22" s="118"/>
      <c r="Z22" s="118"/>
      <c r="AA22" s="118"/>
      <c r="AB22" s="118"/>
      <c r="AC22" s="118"/>
      <c r="AD22" s="118"/>
      <c r="AE22" s="110"/>
      <c r="AF22" s="238"/>
      <c r="AG22" s="105"/>
      <c r="AH22" s="105"/>
      <c r="AI22" s="105"/>
      <c r="AJ22" s="110"/>
      <c r="AK22" s="110"/>
      <c r="AL22" s="118"/>
      <c r="AM22" s="118"/>
      <c r="AN22" s="118"/>
      <c r="AO22" s="118"/>
      <c r="AP22" s="119"/>
      <c r="AQ22" s="41"/>
      <c r="AR22" s="41"/>
      <c r="AS22" s="41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</row>
    <row r="23" spans="2:58" ht="15.75" thickBot="1">
      <c r="B23" s="109"/>
      <c r="C23" s="118"/>
      <c r="D23" s="118"/>
      <c r="E23" s="118"/>
      <c r="F23" s="118"/>
      <c r="G23" s="118"/>
      <c r="H23" s="118"/>
      <c r="I23" s="110" t="s">
        <v>6</v>
      </c>
      <c r="J23" s="118"/>
      <c r="K23" s="118"/>
      <c r="L23" s="118"/>
      <c r="M23" s="118"/>
      <c r="N23" s="110" t="s">
        <v>5</v>
      </c>
      <c r="O23" s="110"/>
      <c r="P23" s="125"/>
      <c r="Q23" s="118"/>
      <c r="R23" s="118"/>
      <c r="S23" s="118"/>
      <c r="T23" s="119"/>
      <c r="U23" s="118"/>
      <c r="V23" s="118"/>
      <c r="X23" s="109"/>
      <c r="Y23" s="118"/>
      <c r="Z23" s="118"/>
      <c r="AA23" s="118"/>
      <c r="AB23" s="118"/>
      <c r="AC23" s="118"/>
      <c r="AD23" s="118"/>
      <c r="AE23" s="110"/>
      <c r="AF23" s="238"/>
      <c r="AG23" s="105"/>
      <c r="AH23" s="105"/>
      <c r="AI23" s="105"/>
      <c r="AJ23" s="110"/>
      <c r="AK23" s="110"/>
      <c r="AL23" s="118"/>
      <c r="AM23" s="118"/>
      <c r="AN23" s="118"/>
      <c r="AO23" s="118"/>
      <c r="AP23" s="119"/>
      <c r="AQ23" s="41"/>
      <c r="AR23" s="41"/>
      <c r="AS23" s="41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</row>
    <row r="24" spans="2:58" ht="15.75" thickBot="1">
      <c r="B24" s="109"/>
      <c r="C24" s="118"/>
      <c r="D24" s="118"/>
      <c r="E24" s="118"/>
      <c r="F24" s="118"/>
      <c r="G24" s="213"/>
      <c r="H24" s="214"/>
      <c r="I24" s="1325"/>
      <c r="J24" s="1250" t="str">
        <f>IF(F3+G3=54,"0",IF($F$3+$G$3=53,"0",(IF($F$3+$G$3=52,IF($Q$19=$Q$20,"résultat",IF($Q$19&lt;$Q$20,$M$19,$M$20)),IF(F3+G3=51,IF(Q19=Q20,"résultat",IF(Q19&lt;Q20,M19,M20)),IF($F$3+$G$3=43,IF(0&lt;0,0,0),(IF($F$3+$G$3=42,IF($T$14=$T$15,"résultat",IF($T$14&lt;$T$15,$Q$14,$Q$15)),(IF($F$3+$G$3=41,IF($T$14=$T$15,"résultat",IF($T$14&gt;$T$15,$Q$14,$Q$15)),IF($F$3+$G$3=32,IF($T$14=$T$15,"résultat",IF($T$14&lt;$T$15,$Q$14,$Q$15)),IF($F$3+$G$3=31,IF($J$19=$J$20,"résultat",IF($J$19&gt;$J$20,$F$19,$F$20))))))))))))))</f>
        <v>A</v>
      </c>
      <c r="K24" s="1327"/>
      <c r="L24" s="1327"/>
      <c r="M24" s="1328"/>
      <c r="N24" s="53">
        <v>0</v>
      </c>
      <c r="O24" s="110"/>
      <c r="P24" s="118"/>
      <c r="Q24" s="118"/>
      <c r="R24" s="118"/>
      <c r="S24" s="118"/>
      <c r="T24" s="119"/>
      <c r="U24" s="118"/>
      <c r="V24" s="118"/>
      <c r="X24" s="109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9"/>
      <c r="AQ24" s="41"/>
      <c r="AR24" s="41"/>
      <c r="AS24" s="41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</row>
    <row r="25" spans="2:58" ht="15.75" thickBot="1">
      <c r="B25" s="109"/>
      <c r="C25" s="118"/>
      <c r="D25" s="118"/>
      <c r="E25" s="118"/>
      <c r="F25" s="118"/>
      <c r="G25" s="213"/>
      <c r="H25" s="214"/>
      <c r="I25" s="1326"/>
      <c r="J25" s="1347" t="str">
        <f>IF(F3+G3=54,"0",IF($F$3+$G$3=53,IF(0&gt;0,0,0),(IF($F$3+$G$3=52,IF($J$19=$J$20,"résultat",IF($J$19&gt;$J$20,$F$19,$F$20)),IF(F3+G3=51,IF(J19=J20,"résultat",IF(J19&lt;J20,F19,F20)),IF($F$3+$G$3=43,IF(0&gt;0,0,0),(IF(F3+G3=42,IF($G$14=$G$15,"résultat",IF($G$14&gt;$G$15,$C$14,$C$15)),(IF(F3+G3=41,IF($J$19=$J$20,"résultat",IF($J$19&gt;$J$20,$F$19,$F$20)),(IF($F$3+$G$3=32,IF($G$14=$G$15,"résultat",IF($G$14&gt;$G$15,$C$14,$C$15)),(IF($F$3+$G$3=31,IF($T$14=$T$15,"résultat",IF($T$14&gt;$T$15,$Q$14,$Q$15))))))))))))))))</f>
        <v>C</v>
      </c>
      <c r="K25" s="1348"/>
      <c r="L25" s="1348"/>
      <c r="M25" s="1349"/>
      <c r="N25" s="53">
        <v>0</v>
      </c>
      <c r="O25" s="110"/>
      <c r="P25" s="118"/>
      <c r="Q25" s="118"/>
      <c r="R25" s="118"/>
      <c r="S25" s="118"/>
      <c r="T25" s="119"/>
      <c r="U25" s="118"/>
      <c r="V25" s="118"/>
      <c r="X25" s="109"/>
      <c r="Y25" s="118"/>
      <c r="Z25" s="118"/>
      <c r="AA25" s="118"/>
      <c r="AB25" s="118"/>
      <c r="AC25" s="118"/>
      <c r="AD25" s="118"/>
      <c r="AE25" s="118"/>
      <c r="AF25" s="1322" t="s">
        <v>56</v>
      </c>
      <c r="AG25" s="1323"/>
      <c r="AH25" s="1323"/>
      <c r="AI25" s="1324"/>
      <c r="AJ25" s="118"/>
      <c r="AK25" s="118"/>
      <c r="AL25" s="124"/>
      <c r="AM25" s="118"/>
      <c r="AN25" s="118"/>
      <c r="AO25" s="118"/>
      <c r="AP25" s="119"/>
      <c r="AQ25" s="41"/>
      <c r="AR25" s="41"/>
      <c r="AS25" s="41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</row>
    <row r="26" spans="2:58">
      <c r="B26" s="109"/>
      <c r="C26" s="118"/>
      <c r="D26" s="118"/>
      <c r="E26" s="118"/>
      <c r="F26" s="118"/>
      <c r="G26" s="118"/>
      <c r="H26" s="118"/>
      <c r="I26" s="110"/>
      <c r="J26" s="38"/>
      <c r="K26" s="240"/>
      <c r="L26" s="240"/>
      <c r="M26" s="38"/>
      <c r="N26" s="110"/>
      <c r="O26" s="110"/>
      <c r="P26" s="118"/>
      <c r="Q26" s="212"/>
      <c r="R26" s="118"/>
      <c r="S26" s="118"/>
      <c r="T26" s="119"/>
      <c r="U26" s="118"/>
      <c r="V26" s="118"/>
      <c r="X26" s="109"/>
      <c r="Y26" s="118"/>
      <c r="Z26" s="118"/>
      <c r="AA26" s="1384" t="s">
        <v>0</v>
      </c>
      <c r="AB26" s="1385"/>
      <c r="AC26" s="1386"/>
      <c r="AD26" s="118"/>
      <c r="AE26" s="1250" t="str">
        <f>IF(OR(AND(Z3&gt;30,Z3&lt;60),AND(Z3&gt;65,Z3&lt;71)),"0",IF($AB$3+$AC$3=33,IF($AO$14=$AO$15,"résultat",IF($AO$14&gt;$AO$15,$AK$14,$AK$15)),IF($AB$3+$AC$3=32,IF($AO$14=$AO$15,"résultat",IF($AO$14&gt;$AO$15,$AK$14,$AK$15)))))</f>
        <v>0</v>
      </c>
      <c r="AF26" s="1352"/>
      <c r="AG26" s="1352"/>
      <c r="AH26" s="1352"/>
      <c r="AI26" s="1352"/>
      <c r="AJ26" s="1353"/>
      <c r="AK26" s="118"/>
      <c r="AL26" s="118"/>
      <c r="AM26" s="118"/>
      <c r="AN26" s="118"/>
      <c r="AO26" s="118"/>
      <c r="AP26" s="119"/>
      <c r="AQ26" s="41"/>
      <c r="AR26" s="41"/>
      <c r="AS26" s="41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</row>
    <row r="27" spans="2:58">
      <c r="B27" s="109"/>
      <c r="C27" s="118"/>
      <c r="D27" s="118"/>
      <c r="E27" s="118"/>
      <c r="F27" s="118"/>
      <c r="G27" s="118"/>
      <c r="H27" s="118"/>
      <c r="I27" s="110"/>
      <c r="J27" s="38"/>
      <c r="K27" s="38"/>
      <c r="L27" s="38"/>
      <c r="M27" s="38"/>
      <c r="N27" s="110"/>
      <c r="O27" s="110"/>
      <c r="P27" s="118"/>
      <c r="Q27" s="212"/>
      <c r="R27" s="118"/>
      <c r="S27" s="118"/>
      <c r="T27" s="119"/>
      <c r="U27" s="118"/>
      <c r="V27" s="118"/>
      <c r="X27" s="109"/>
      <c r="Y27" s="118"/>
      <c r="Z27" s="118"/>
      <c r="AA27" s="1381" t="s">
        <v>1</v>
      </c>
      <c r="AB27" s="1382"/>
      <c r="AC27" s="1383"/>
      <c r="AD27" s="118"/>
      <c r="AE27" s="1308" t="str">
        <f>IF(OR(AND(Z3&gt;30,Z3&lt;60),AND(Z3&gt;65,Z3&lt;71)),"0",IF($AB$3+$AC$3=33,IF($AO$14=$AO$15,"résultat",IF($AO$14&lt;$AO$15,$AK$14,$AK$15)),IF($AB$3+$AC$3=32,IF($AJ$20=$AJ$21,"résultat",IF($AJ$20&gt;$AJ$21,$AF$20,$AF$21)))))</f>
        <v>0</v>
      </c>
      <c r="AF27" s="1309"/>
      <c r="AG27" s="1309"/>
      <c r="AH27" s="1309"/>
      <c r="AI27" s="1309"/>
      <c r="AJ27" s="1310"/>
      <c r="AK27" s="118"/>
      <c r="AL27" s="128"/>
      <c r="AM27" s="118"/>
      <c r="AN27" s="118"/>
      <c r="AO27" s="118"/>
      <c r="AP27" s="119"/>
      <c r="AQ27" s="41"/>
      <c r="AR27" s="41"/>
      <c r="AS27" s="41"/>
      <c r="AT27" s="41"/>
    </row>
    <row r="28" spans="2:58" ht="15.75" thickBot="1">
      <c r="B28" s="109"/>
      <c r="C28" s="118"/>
      <c r="D28" s="118"/>
      <c r="E28" s="118"/>
      <c r="F28" s="118"/>
      <c r="G28" s="118"/>
      <c r="H28" s="118"/>
      <c r="I28" s="110" t="s">
        <v>6</v>
      </c>
      <c r="J28" s="47"/>
      <c r="K28" s="47"/>
      <c r="L28" s="47"/>
      <c r="M28" s="47"/>
      <c r="N28" s="110" t="s">
        <v>5</v>
      </c>
      <c r="O28" s="110"/>
      <c r="P28" s="118"/>
      <c r="Q28" s="118"/>
      <c r="R28" s="118"/>
      <c r="S28" s="118"/>
      <c r="T28" s="119"/>
      <c r="U28" s="118"/>
      <c r="V28" s="118"/>
      <c r="X28" s="109"/>
      <c r="Y28" s="118"/>
      <c r="Z28" s="201"/>
      <c r="AA28" s="1387" t="s">
        <v>2</v>
      </c>
      <c r="AB28" s="1388"/>
      <c r="AC28" s="1389"/>
      <c r="AD28" s="118"/>
      <c r="AE28" s="1378" t="str">
        <f>IF(OR(AND(Z3&gt;30,Z3&lt;60),AND(Z3&gt;65,Z3&lt;71)),"0",IF($AB$3+$AC$3=33,IF($AD$14=$AD$15,"résultat",IF($AD$14&lt;$AD$15,$Z$14,$Z$15)),IF($AB$3+$AC$3=32,IF($AJ$20=$AJ$21,"résultat",IF($AJ$20&lt;$AJ$21,$AF$20,$AF$21)))))</f>
        <v>0</v>
      </c>
      <c r="AF28" s="1379"/>
      <c r="AG28" s="1379"/>
      <c r="AH28" s="1379"/>
      <c r="AI28" s="1379"/>
      <c r="AJ28" s="1380"/>
      <c r="AK28" s="118"/>
      <c r="AL28" s="118"/>
      <c r="AM28" s="118"/>
      <c r="AN28" s="118"/>
      <c r="AO28" s="118"/>
      <c r="AP28" s="119"/>
      <c r="AQ28" s="41"/>
      <c r="AR28" s="41"/>
      <c r="AS28" s="41"/>
      <c r="AT28" s="41"/>
    </row>
    <row r="29" spans="2:58" ht="15.75" thickBot="1">
      <c r="B29" s="109"/>
      <c r="C29" s="118"/>
      <c r="D29" s="118"/>
      <c r="E29" s="1295" t="s">
        <v>92</v>
      </c>
      <c r="F29" s="1296"/>
      <c r="G29" s="1295" t="s">
        <v>91</v>
      </c>
      <c r="H29" s="1296"/>
      <c r="I29" s="1325"/>
      <c r="J29" s="1250" t="str">
        <f>IF(OR(AND(D3&gt;31,D3&lt;50),AND(D3&gt;51,D3&lt;76)),"0",IF(F3+G3=51,IF(Q19=Q20,"résultat",IF(Q19&gt;Q20,M19,M20)),IF(F3+G3=31,IF(T14=T15,"résultat",IF(T14&gt;T15,Q14,Q15)))))</f>
        <v>C</v>
      </c>
      <c r="K29" s="1327"/>
      <c r="L29" s="1327"/>
      <c r="M29" s="1328"/>
      <c r="N29" s="53">
        <v>1</v>
      </c>
      <c r="O29" s="110"/>
      <c r="P29" s="118"/>
      <c r="Q29" s="118"/>
      <c r="R29" s="118"/>
      <c r="S29" s="118"/>
      <c r="T29" s="119"/>
      <c r="U29" s="118"/>
      <c r="V29" s="118"/>
      <c r="X29" s="109"/>
      <c r="Y29" s="118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118"/>
      <c r="AL29" s="118"/>
      <c r="AM29" s="201"/>
      <c r="AN29" s="118"/>
      <c r="AO29" s="118"/>
      <c r="AP29" s="119"/>
      <c r="AQ29" s="41"/>
      <c r="AR29" s="41"/>
      <c r="AS29" s="41"/>
      <c r="AT29" s="41"/>
    </row>
    <row r="30" spans="2:58" ht="15.75" thickBot="1">
      <c r="B30" s="109"/>
      <c r="C30" s="118"/>
      <c r="D30" s="118"/>
      <c r="E30" s="1297"/>
      <c r="F30" s="1298"/>
      <c r="G30" s="1297"/>
      <c r="H30" s="1298"/>
      <c r="I30" s="1326"/>
      <c r="J30" s="1347" t="str">
        <f>IF(OR(AND(D3&gt;31,D3&lt;50),AND(D3&gt;51,D3&lt;76)),"0",IF(F3+G3=51,IF(J19=J20,"résultat",IF(J19&gt;J20,F19,F20)),IF(F3+G3=31,IF(J19=J20,"résultat",IF(J19&gt;J20,F19,F20)))))</f>
        <v>A</v>
      </c>
      <c r="K30" s="1348"/>
      <c r="L30" s="1348"/>
      <c r="M30" s="1349"/>
      <c r="N30" s="53">
        <v>0</v>
      </c>
      <c r="O30" s="110"/>
      <c r="P30" s="118"/>
      <c r="Q30" s="118"/>
      <c r="R30" s="118"/>
      <c r="S30" s="118"/>
      <c r="T30" s="119"/>
      <c r="U30" s="118"/>
      <c r="V30" s="118"/>
      <c r="X30" s="122"/>
      <c r="Y30" s="129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129"/>
      <c r="AL30" s="129"/>
      <c r="AM30" s="221"/>
      <c r="AN30" s="221"/>
      <c r="AO30" s="129"/>
      <c r="AP30" s="130"/>
      <c r="AQ30" s="41"/>
      <c r="AR30" s="41"/>
      <c r="AS30" s="41"/>
      <c r="AT30" s="41"/>
    </row>
    <row r="31" spans="2:58">
      <c r="B31" s="109"/>
      <c r="C31" s="118"/>
      <c r="D31" s="118"/>
      <c r="E31" s="118"/>
      <c r="F31" s="118"/>
      <c r="G31" s="200"/>
      <c r="H31" s="200"/>
      <c r="I31" s="110"/>
      <c r="J31" s="110"/>
      <c r="K31" s="199"/>
      <c r="L31" s="110"/>
      <c r="M31" s="110"/>
      <c r="N31" s="110"/>
      <c r="O31" s="110"/>
      <c r="P31" s="118"/>
      <c r="Q31" s="118"/>
      <c r="R31" s="118"/>
      <c r="S31" s="118"/>
      <c r="T31" s="119"/>
      <c r="U31" s="118"/>
      <c r="V31" s="118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41"/>
      <c r="AR31" s="41"/>
      <c r="AS31" s="41"/>
      <c r="AT31" s="41"/>
    </row>
    <row r="32" spans="2:58" ht="18" customHeight="1" thickBot="1">
      <c r="B32" s="109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9"/>
      <c r="U32" s="126"/>
      <c r="V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41"/>
      <c r="AT32" s="41"/>
      <c r="AU32" s="41"/>
    </row>
    <row r="33" spans="1:47" ht="15.75" thickBot="1">
      <c r="B33" s="109"/>
      <c r="C33" s="126"/>
      <c r="D33" s="118"/>
      <c r="E33" s="118"/>
      <c r="F33" s="118"/>
      <c r="G33" s="118"/>
      <c r="H33" s="118"/>
      <c r="I33" s="118"/>
      <c r="J33" s="1322" t="s">
        <v>56</v>
      </c>
      <c r="K33" s="1323"/>
      <c r="L33" s="1323"/>
      <c r="M33" s="1324"/>
      <c r="N33" s="118"/>
      <c r="O33" s="118"/>
      <c r="P33" s="124"/>
      <c r="Q33" s="118"/>
      <c r="R33" s="118"/>
      <c r="S33" s="118"/>
      <c r="T33" s="119"/>
      <c r="U33" s="126"/>
      <c r="V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41"/>
      <c r="AT33" s="41"/>
      <c r="AU33" s="41"/>
    </row>
    <row r="34" spans="1:47" ht="15" customHeight="1">
      <c r="B34" s="109"/>
      <c r="C34" s="118"/>
      <c r="D34" s="126"/>
      <c r="E34" s="1316" t="s">
        <v>0</v>
      </c>
      <c r="F34" s="1317"/>
      <c r="G34" s="1318"/>
      <c r="H34" s="118"/>
      <c r="I34" s="1305" t="str">
        <f>IF(F3+G3=54,IF(T14=T15,"résultat",IF(T14&gt;T15,Q14,Q15)),IF($F$3+$G$3=53,IF($Q$19=$Q$20,"résultat",IF($Q$19&gt;$Q$20,$M$19,$M$20)),(IF($F$3+$G$3=52,IF($Q$19=$Q$20,"résultat",IF($Q$19&gt;$Q$20,$M$19,$M$20)),IF(F3+G3=51,IF(N29=N30,"résultat",IF(N29&gt;N30,J29,J30)),IF($F$3+$G$3=44,IF($T$14=$T$15,"résultat",IF($T$14&gt;$T$15,$Q$14,$Q$15)),IF($F$3+$G$3=43,IF($T$14=$T$15,"résultat",IF($T$14&gt;$T$15,$Q$14,$Q$15)),IF($F$3+$G$3=42,IF($T$14=$T$15,"résultat",IF($T$14&gt;$T$15,$Q$14,$Q$15)),(IF($F$3+$G$3=32,IF($T$14=$T$15,"résultat",IF($T$14&gt;$T$15,$Q$14,$Q$15)),(IF($F$3+$G$3=31,IF($N$29=$N$30,"résultat",IF($N$29&gt;$N$30,$J$29,$J$30)),IF(F3+G3=41,IF($N$24=$N$25,"résultat",IF($N$24&gt;$N$25,$J$24,$J$25)))))))))))))))</f>
        <v>C</v>
      </c>
      <c r="J34" s="1306"/>
      <c r="K34" s="1306"/>
      <c r="L34" s="1306"/>
      <c r="M34" s="1306"/>
      <c r="N34" s="1307"/>
      <c r="O34" s="118"/>
      <c r="P34" s="118"/>
      <c r="Q34" s="118"/>
      <c r="R34" s="118"/>
      <c r="S34" s="118"/>
      <c r="T34" s="119"/>
      <c r="U34" s="126"/>
      <c r="V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41"/>
      <c r="AT34" s="41"/>
      <c r="AU34" s="41"/>
    </row>
    <row r="35" spans="1:47">
      <c r="B35" s="109"/>
      <c r="C35" s="118"/>
      <c r="D35" s="126"/>
      <c r="E35" s="1302" t="s">
        <v>1</v>
      </c>
      <c r="F35" s="1303"/>
      <c r="G35" s="1304"/>
      <c r="H35" s="118"/>
      <c r="I35" s="1308" t="str">
        <f>IF(F3+G3=54,IF(T14=T15,"résultat",IF(T14&lt;T15,Q14,Q15)),IF($F$3+$G$3=53,IF($Q$19=$Q$20,"résultat",IF($Q$19&lt;$Q$20,$M$19,$M$20)),IF($F$3+$G$3=52,IF($N$24=$N$25,"résultat",IF($N$24&gt;$N$25,$J$24,$J$25)),IF(F3+G3=51,IF(N29=N30,"résultat",IF(N29&lt;N30,J29,J30)),IF($F$3+$G$3=44,IF($T$14=$T$15,"résultat",IF($T$14&lt;$T$15,$Q$14,$Q$15)),IF($F$3+$G$3=43,IF($T$14=$T$15,"résultat",IF($T$14&lt;$T$15,$Q$14,$Q$15)),IF($F$3+$G$3=42,IF($N$24=$N$25,"résultat",IF($N$24&gt;$N$25,$J$24,$J$25)),IF($F$3+$G$3=41,IF($N$24=$N$25,"résultat",IF($N$24&lt;$N$25,$J$24,$J$25)),IF($F$3+$G$3=32,IF($N$24=$N$25,"résultat",IF($N$24&gt;$N$25,$J$24,$J$25)),(IF($F$3+$G$3=31,IF($N$29=$N$30,"résultat",IF($N$29&lt;$N$30,$J$29,$J$30)))))))))))))</f>
        <v>A</v>
      </c>
      <c r="J35" s="1309"/>
      <c r="K35" s="1309"/>
      <c r="L35" s="1309"/>
      <c r="M35" s="1309"/>
      <c r="N35" s="1310"/>
      <c r="O35" s="118"/>
      <c r="P35" s="128"/>
      <c r="Q35" s="128"/>
      <c r="R35" s="128"/>
      <c r="S35" s="128"/>
      <c r="T35" s="119"/>
      <c r="U35" s="126"/>
      <c r="V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41"/>
      <c r="AT35" s="41"/>
      <c r="AU35" s="41"/>
    </row>
    <row r="36" spans="1:47">
      <c r="B36" s="109"/>
      <c r="C36" s="118"/>
      <c r="D36" s="126"/>
      <c r="E36" s="1302" t="s">
        <v>2</v>
      </c>
      <c r="F36" s="1303"/>
      <c r="G36" s="1304"/>
      <c r="H36" s="118"/>
      <c r="I36" s="1311" t="str">
        <f>IF(F3+G3=54,IF(G14=G15,"résultat",IF(G14&gt;G15,C14,C15)),IF($F$3+$G$3=53,IF($J$19=$J$20,"résultat",IF($J$19&gt;$J$20,$F$19,$F$20)),(IF($F$3+$G$3=52,IF($N$24=$N$25,"résultat",IF($N$24&lt;$N$25,$J$24,$J$25)),IF(F3+G3=51,IF(N24=N25,"résultat",IF(N24&gt;N25,J24,J25)),IF($F$3+$G$3=44,IF($G$14=$G$15,"résultat",IF($G$14&gt;$G$15,$C$14,$C$15)),IF($F$3+$G$3=43,IF($G$14=$G$15,"résultat",IF($G$14&gt;$G$15,$C$14,$C$15)),IF($F$3+$G$3=42,IF($N$24=$N$25,"résultat",IF($N$24&lt;$N$25,$J$24,$J$25)),IF($F$3+$G$3=41,IF($J$19=$J$20,"résultat",IF($J$19&lt;$J$20,$F$19,$F$20)),IF($F$3+$G$3=32,IF($N$24=$N$25,"résultat",IF($N$24&lt;$N$25,$J$24,$J$25)),(IF($F$3+$G$3=31,IF($J$19=$J$20,"résultat",IF($J$19&lt;$J$20,$F$19,$F$20))))))))))))))</f>
        <v>B</v>
      </c>
      <c r="J36" s="1312"/>
      <c r="K36" s="1312"/>
      <c r="L36" s="1312"/>
      <c r="M36" s="1312"/>
      <c r="N36" s="1313"/>
      <c r="O36" s="118"/>
      <c r="P36" s="118"/>
      <c r="Q36" s="118"/>
      <c r="R36" s="118"/>
      <c r="S36" s="118"/>
      <c r="T36" s="119"/>
      <c r="U36" s="126"/>
      <c r="V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41"/>
      <c r="AT36" s="41"/>
      <c r="AU36" s="41"/>
    </row>
    <row r="37" spans="1:47">
      <c r="B37" s="109"/>
      <c r="C37" s="118"/>
      <c r="D37" s="126"/>
      <c r="E37" s="1302" t="s">
        <v>3</v>
      </c>
      <c r="F37" s="1303"/>
      <c r="G37" s="1304"/>
      <c r="H37" s="118"/>
      <c r="I37" s="1311" t="str">
        <f>IF(OR(AND(D3&gt;30,D3&lt;40),AND(D3&gt;60,D3&lt;76)),"0",IF(F3+G3=54,IF(N14=N15,"résultat",IF(N14&gt;N15,J14,J15)),IF($F$3+$G$3=53,IF($J$19=$J$20,"résultat",IF($J$19&lt;$J$20,$F$19,$F$20)),(IF($F$3+$G$3=52,IF($J$19=$J$20,"résultat",IF($J$19&lt;$J$20,$F$19,$F$20)),IF(F3+G3=51,IF(N24=N25,"résultat",IF(N24&lt;N25,J24,J25)),IF($F$3+$G$3=44,IF($G$14=$G$15,"résultat",IF($G$14&lt;$G$15,$C$14,$C$15)),IF($F$3+$G$3=43,IF($G$14=$G$15,"résultat",IF($G$14&lt;$G$15,$C$14,$C$15)),(IF($F$3+$G$3=42,IF($G$14=$G$15,"résultat",IF($G$14&lt;$G$15,$C$14,$C$15)),IF($F$3+$G$3=41,IF($G$14=$G$15,"résultat",IF($G$14&lt;$G$15,$C$14,$C$15)))))))))))))</f>
        <v>0</v>
      </c>
      <c r="J37" s="1312"/>
      <c r="K37" s="1312"/>
      <c r="L37" s="1312"/>
      <c r="M37" s="1312"/>
      <c r="N37" s="1313"/>
      <c r="O37" s="118"/>
      <c r="P37" s="118"/>
      <c r="Q37" s="118"/>
      <c r="R37" s="118"/>
      <c r="S37" s="118"/>
      <c r="T37" s="119"/>
      <c r="U37" s="126"/>
      <c r="V37" s="126"/>
      <c r="X37" s="41"/>
      <c r="Y37" s="41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41"/>
      <c r="AN37" s="41"/>
      <c r="AO37" s="41"/>
      <c r="AP37" s="41"/>
      <c r="AQ37" s="126"/>
      <c r="AR37" s="126"/>
      <c r="AS37" s="41"/>
      <c r="AT37" s="41"/>
      <c r="AU37" s="41"/>
    </row>
    <row r="38" spans="1:47" ht="15.75" thickBot="1">
      <c r="B38" s="109"/>
      <c r="C38" s="118"/>
      <c r="D38" s="126"/>
      <c r="E38" s="1319" t="s">
        <v>4</v>
      </c>
      <c r="F38" s="1320"/>
      <c r="G38" s="1321"/>
      <c r="H38" s="118"/>
      <c r="I38" s="1240" t="str">
        <f>IF(OR(AND(D3&gt;30,D3&lt;50),AND(D3&gt;60,D3&lt;77)),"0",IF(F3+G3=54,IF(G14=G15,"résultat",IF(G14&lt;G15,C14,C15)),IF($F$3+$G$3=53,IF($G$14=$G$15,"résultat",IF($G$14&lt;$G$15,$C$14,$C$15)),(IF($F$3+$G$3=52,IF($G$14=$G$15,"résultat",IF($G$14&lt;$G$15,$C$14,$C$15)),IF(F3+G3=51,IF(G14=G15,"résultat",IF(G14&lt;G15,C14,C15))))))))</f>
        <v>0</v>
      </c>
      <c r="J38" s="1314"/>
      <c r="K38" s="1314"/>
      <c r="L38" s="1314"/>
      <c r="M38" s="1314"/>
      <c r="N38" s="1315"/>
      <c r="O38" s="118"/>
      <c r="P38" s="118"/>
      <c r="Q38" s="118"/>
      <c r="R38" s="118"/>
      <c r="S38" s="118"/>
      <c r="T38" s="119"/>
      <c r="U38" s="118"/>
      <c r="V38" s="118"/>
      <c r="X38" s="41"/>
      <c r="Y38" s="41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41"/>
      <c r="AN38" s="41"/>
      <c r="AO38" s="41"/>
      <c r="AP38" s="41"/>
      <c r="AQ38" s="41"/>
      <c r="AR38" s="41"/>
      <c r="AS38" s="41"/>
      <c r="AT38" s="41"/>
    </row>
    <row r="39" spans="1:47">
      <c r="B39" s="109"/>
      <c r="H39" s="126"/>
      <c r="I39" s="126"/>
      <c r="N39" s="118"/>
      <c r="O39" s="118"/>
      <c r="P39" s="118"/>
      <c r="Q39" s="118"/>
      <c r="R39" s="118"/>
      <c r="S39" s="118"/>
      <c r="T39" s="119"/>
      <c r="X39" s="41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41"/>
      <c r="AQ39" s="126"/>
      <c r="AR39" s="126"/>
      <c r="AS39" s="41"/>
      <c r="AT39" s="41"/>
    </row>
    <row r="40" spans="1:47" ht="15.75" thickBot="1">
      <c r="B40" s="122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30"/>
      <c r="U40" s="41"/>
      <c r="V40" s="41"/>
      <c r="X40" s="41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41"/>
      <c r="AQ40" s="126"/>
      <c r="AR40" s="126"/>
      <c r="AS40" s="41"/>
      <c r="AT40" s="41"/>
    </row>
    <row r="41" spans="1:47" ht="15.75" thickBot="1">
      <c r="A41" s="41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41"/>
      <c r="AQ41" s="41"/>
      <c r="AR41" s="41"/>
      <c r="AS41" s="41"/>
      <c r="AT41" s="41"/>
    </row>
    <row r="42" spans="1:47" ht="15.75" thickBot="1">
      <c r="A42" s="41"/>
      <c r="B42" s="41"/>
      <c r="C42" s="41"/>
      <c r="G42" s="41"/>
      <c r="H42" s="41"/>
      <c r="I42" s="41"/>
      <c r="J42" s="41"/>
      <c r="K42" s="41"/>
      <c r="L42" s="41"/>
      <c r="M42" s="1299" t="s">
        <v>60</v>
      </c>
      <c r="N42" s="1300"/>
      <c r="O42" s="1301"/>
      <c r="P42" s="41"/>
      <c r="Q42" s="41"/>
      <c r="R42" s="41"/>
      <c r="S42" s="41"/>
      <c r="T42" s="41"/>
      <c r="U42" s="41"/>
      <c r="V42" s="41"/>
      <c r="W42" s="41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41"/>
      <c r="AQ42" s="41"/>
      <c r="AR42" s="41"/>
      <c r="AS42" s="41"/>
      <c r="AT42" s="41"/>
    </row>
    <row r="43" spans="1:47">
      <c r="A43" s="41"/>
      <c r="B43" s="41"/>
      <c r="C43" s="41"/>
      <c r="D43" s="126"/>
      <c r="E43" s="126"/>
      <c r="F43" s="126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41"/>
      <c r="AQ43" s="41"/>
      <c r="AR43" s="41"/>
      <c r="AS43" s="41"/>
      <c r="AT43" s="41"/>
    </row>
    <row r="44" spans="1:47">
      <c r="A44" s="41"/>
      <c r="B44" s="41"/>
      <c r="C44" s="41"/>
      <c r="D44" s="126"/>
      <c r="E44" s="126"/>
      <c r="F44" s="126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41"/>
      <c r="AQ44" s="41"/>
      <c r="AR44" s="41"/>
      <c r="AS44" s="41"/>
      <c r="AT44" s="41"/>
    </row>
    <row r="45" spans="1:47">
      <c r="A45" s="41"/>
      <c r="B45" s="41"/>
      <c r="C45" s="41"/>
      <c r="D45" s="126"/>
      <c r="E45" s="126"/>
      <c r="F45" s="126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41"/>
      <c r="AQ45" s="41"/>
      <c r="AR45" s="41"/>
      <c r="AS45" s="41"/>
      <c r="AT45" s="41"/>
    </row>
    <row r="46" spans="1:47">
      <c r="A46" s="41"/>
      <c r="B46" s="41"/>
      <c r="C46" s="41"/>
      <c r="D46" s="126"/>
      <c r="E46" s="126"/>
      <c r="F46" s="126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Q46" s="41"/>
      <c r="AR46" s="41"/>
      <c r="AS46" s="41"/>
      <c r="AT46" s="41"/>
    </row>
    <row r="47" spans="1:47">
      <c r="A47" s="41"/>
      <c r="B47" s="41"/>
      <c r="C47" s="41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41"/>
      <c r="AQ47" s="41"/>
      <c r="AR47" s="41"/>
      <c r="AS47" s="41"/>
      <c r="AT47" s="41"/>
    </row>
    <row r="48" spans="1:47">
      <c r="A48" s="41"/>
      <c r="B48" s="41"/>
      <c r="C48" s="41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41"/>
      <c r="AQ48" s="41"/>
      <c r="AR48" s="41"/>
      <c r="AS48" s="41"/>
      <c r="AT48" s="41"/>
    </row>
    <row r="49" spans="1:46">
      <c r="A49" s="41"/>
      <c r="B49" s="41"/>
      <c r="C49" s="41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41"/>
      <c r="AQ49" s="41"/>
      <c r="AR49" s="41"/>
      <c r="AS49" s="41"/>
      <c r="AT49" s="41"/>
    </row>
    <row r="50" spans="1:46">
      <c r="A50" s="41"/>
      <c r="B50" s="41"/>
      <c r="C50" s="41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S50" s="41"/>
      <c r="AT50" s="41"/>
    </row>
    <row r="51" spans="1:46">
      <c r="A51" s="41"/>
      <c r="B51" s="41"/>
      <c r="C51" s="41"/>
      <c r="D51" s="41"/>
      <c r="E51" s="41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Q51" s="41"/>
      <c r="AR51" s="41"/>
    </row>
    <row r="52" spans="1:46">
      <c r="A52" s="41"/>
      <c r="B52" s="41"/>
      <c r="C52" s="41"/>
      <c r="D52" s="41"/>
      <c r="E52" s="41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AM52" s="126"/>
      <c r="AN52" s="126"/>
      <c r="AO52" s="126"/>
      <c r="AQ52" s="41"/>
      <c r="AR52" s="41"/>
      <c r="AS52" s="41"/>
      <c r="AT52" s="41"/>
    </row>
    <row r="53" spans="1:46" ht="117.75" customHeight="1">
      <c r="A53" s="41"/>
      <c r="B53" s="41"/>
      <c r="C53" s="41"/>
      <c r="D53" s="41"/>
      <c r="E53" s="41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AM53" s="126"/>
      <c r="AN53" s="126"/>
      <c r="AO53" s="126"/>
      <c r="AQ53" s="41"/>
      <c r="AR53" s="41"/>
      <c r="AS53" s="41"/>
      <c r="AT53" s="41"/>
    </row>
    <row r="54" spans="1:46">
      <c r="A54" s="41"/>
      <c r="B54" s="41"/>
      <c r="C54" s="41"/>
      <c r="D54" s="41"/>
      <c r="E54" s="41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AM54" s="126"/>
      <c r="AN54" s="126"/>
      <c r="AO54" s="126"/>
      <c r="AS54" s="41"/>
    </row>
    <row r="55" spans="1:46">
      <c r="B55" s="41"/>
      <c r="C55" s="41"/>
      <c r="D55" s="41"/>
      <c r="E55" s="41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</row>
    <row r="56" spans="1:46"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</row>
    <row r="57" spans="1:46"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</row>
    <row r="58" spans="1:46"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</row>
    <row r="59" spans="1:46"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</row>
    <row r="60" spans="1:46"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</row>
    <row r="61" spans="1:46"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</row>
    <row r="62" spans="1:46"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</row>
  </sheetData>
  <sheetProtection formatCells="0" formatColumns="0" formatRows="0" insertColumns="0" insertRows="0" insertHyperlinks="0" deleteColumns="0" deleteRows="0" sort="0"/>
  <mergeCells count="83">
    <mergeCell ref="J30:M30"/>
    <mergeCell ref="J25:M25"/>
    <mergeCell ref="I24:I25"/>
    <mergeCell ref="J24:M24"/>
    <mergeCell ref="AE28:AJ28"/>
    <mergeCell ref="AE26:AJ26"/>
    <mergeCell ref="AE27:AJ27"/>
    <mergeCell ref="AA27:AC27"/>
    <mergeCell ref="AA26:AC26"/>
    <mergeCell ref="AA28:AC28"/>
    <mergeCell ref="N1:S1"/>
    <mergeCell ref="AE1:AH1"/>
    <mergeCell ref="L2:T2"/>
    <mergeCell ref="X2:Z2"/>
    <mergeCell ref="X1:Z1"/>
    <mergeCell ref="AA1:AC1"/>
    <mergeCell ref="F19:I19"/>
    <mergeCell ref="M19:P19"/>
    <mergeCell ref="J14:M14"/>
    <mergeCell ref="Q15:S15"/>
    <mergeCell ref="J15:M15"/>
    <mergeCell ref="C15:F15"/>
    <mergeCell ref="C14:F14"/>
    <mergeCell ref="E19:E20"/>
    <mergeCell ref="L19:L20"/>
    <mergeCell ref="F20:I20"/>
    <mergeCell ref="M20:P20"/>
    <mergeCell ref="B8:B9"/>
    <mergeCell ref="I8:I9"/>
    <mergeCell ref="B14:B15"/>
    <mergeCell ref="I2:K2"/>
    <mergeCell ref="C4:S4"/>
    <mergeCell ref="C9:F9"/>
    <mergeCell ref="J8:M8"/>
    <mergeCell ref="J9:M9"/>
    <mergeCell ref="Q8:S8"/>
    <mergeCell ref="C8:F8"/>
    <mergeCell ref="P14:P15"/>
    <mergeCell ref="Q14:S14"/>
    <mergeCell ref="B1:D1"/>
    <mergeCell ref="E1:G1"/>
    <mergeCell ref="B2:D2"/>
    <mergeCell ref="F2:G2"/>
    <mergeCell ref="I1:L1"/>
    <mergeCell ref="T4:T5"/>
    <mergeCell ref="Y8:Y9"/>
    <mergeCell ref="AJ8:AJ9"/>
    <mergeCell ref="Z4:AO4"/>
    <mergeCell ref="AK15:AN15"/>
    <mergeCell ref="Y14:Y15"/>
    <mergeCell ref="AK14:AN14"/>
    <mergeCell ref="AJ1:AO1"/>
    <mergeCell ref="AB2:AC2"/>
    <mergeCell ref="AE2:AG2"/>
    <mergeCell ref="AH2:AP2"/>
    <mergeCell ref="AF25:AI25"/>
    <mergeCell ref="AP4:AP5"/>
    <mergeCell ref="AJ14:AJ15"/>
    <mergeCell ref="Z15:AC15"/>
    <mergeCell ref="Z14:AC14"/>
    <mergeCell ref="Z8:AC8"/>
    <mergeCell ref="AK8:AN8"/>
    <mergeCell ref="Z9:AC9"/>
    <mergeCell ref="AK9:AN9"/>
    <mergeCell ref="AF21:AI21"/>
    <mergeCell ref="AF20:AI20"/>
    <mergeCell ref="AE20:AE21"/>
    <mergeCell ref="E29:F30"/>
    <mergeCell ref="M42:O42"/>
    <mergeCell ref="E37:G37"/>
    <mergeCell ref="I34:N34"/>
    <mergeCell ref="I35:N35"/>
    <mergeCell ref="I36:N36"/>
    <mergeCell ref="I37:N37"/>
    <mergeCell ref="I38:N38"/>
    <mergeCell ref="E36:G36"/>
    <mergeCell ref="E34:G34"/>
    <mergeCell ref="E38:G38"/>
    <mergeCell ref="E35:G35"/>
    <mergeCell ref="J33:M33"/>
    <mergeCell ref="G29:H30"/>
    <mergeCell ref="I29:I30"/>
    <mergeCell ref="J29:M29"/>
  </mergeCells>
  <conditionalFormatting sqref="AF20:AI23 J24:M25 J29:M30 AK14:AK15 G19:I19 N19:P19 AK8:AK9 M19:M20 F19:F20 J14:M14 C14:F15 Q14:S15 Q8 C8:F9 Z14:AC15 J8:J9 Z8:Z9">
    <cfRule type="expression" dxfId="541" priority="263">
      <formula>$E$2=0</formula>
    </cfRule>
  </conditionalFormatting>
  <conditionalFormatting sqref="AF21:AI23">
    <cfRule type="expression" dxfId="540" priority="316" stopIfTrue="1">
      <formula>(AND($AK$8="",$AK$9="",$AR$8=""))</formula>
    </cfRule>
  </conditionalFormatting>
  <conditionalFormatting sqref="AF20:AI20 Z15:AC15 C15:F15 I37:I38">
    <cfRule type="cellIs" dxfId="539" priority="83" operator="equal">
      <formula>0</formula>
    </cfRule>
  </conditionalFormatting>
  <conditionalFormatting sqref="I38">
    <cfRule type="expression" dxfId="538" priority="409">
      <formula>$AD$2=5</formula>
    </cfRule>
  </conditionalFormatting>
  <conditionalFormatting sqref="Z15">
    <cfRule type="expression" dxfId="537" priority="254">
      <formula>(OR(AA2=3,AA2=4,AA2=5))</formula>
    </cfRule>
  </conditionalFormatting>
  <conditionalFormatting sqref="Z8:Z9 AK8:AK9">
    <cfRule type="expression" dxfId="536" priority="223">
      <formula>$AA$2=0</formula>
    </cfRule>
  </conditionalFormatting>
  <conditionalFormatting sqref="AE26">
    <cfRule type="expression" dxfId="535" priority="210">
      <formula>$AD$2=2</formula>
    </cfRule>
    <cfRule type="expression" dxfId="534" priority="278">
      <formula>$AD$2=5</formula>
    </cfRule>
    <cfRule type="expression" dxfId="533" priority="279">
      <formula>$AD$2=4</formula>
    </cfRule>
    <cfRule type="expression" dxfId="532" priority="282">
      <formula>$AD$2=3</formula>
    </cfRule>
    <cfRule type="expression" dxfId="531" priority="284">
      <formula>$H$2=0</formula>
    </cfRule>
  </conditionalFormatting>
  <conditionalFormatting sqref="AE27:AE28">
    <cfRule type="expression" dxfId="530" priority="275">
      <formula>$AD$2=0</formula>
    </cfRule>
    <cfRule type="expression" dxfId="529" priority="276">
      <formula>$AD$2=5</formula>
    </cfRule>
    <cfRule type="expression" dxfId="528" priority="277">
      <formula>$AD$2=4</formula>
    </cfRule>
    <cfRule type="expression" dxfId="527" priority="280">
      <formula>$AD$2=3</formula>
    </cfRule>
    <cfRule type="expression" dxfId="526" priority="281">
      <formula>$AD$2=2</formula>
    </cfRule>
  </conditionalFormatting>
  <conditionalFormatting sqref="I37">
    <cfRule type="expression" dxfId="525" priority="202">
      <formula>$H$2=0</formula>
    </cfRule>
  </conditionalFormatting>
  <conditionalFormatting sqref="AE26">
    <cfRule type="expression" dxfId="524" priority="199">
      <formula>$AD$2=1</formula>
    </cfRule>
  </conditionalFormatting>
  <conditionalFormatting sqref="I34">
    <cfRule type="expression" dxfId="523" priority="201">
      <formula>$H$2=0</formula>
    </cfRule>
    <cfRule type="expression" dxfId="522" priority="206" stopIfTrue="1">
      <formula>(OR(H2="1",H2="2",H2="3",H2="4"))</formula>
    </cfRule>
  </conditionalFormatting>
  <conditionalFormatting sqref="I35">
    <cfRule type="expression" dxfId="521" priority="145">
      <formula>(OR(H2="2",H2="3",H2="4"))</formula>
    </cfRule>
  </conditionalFormatting>
  <conditionalFormatting sqref="I36">
    <cfRule type="cellIs" dxfId="520" priority="90" operator="equal">
      <formula>0</formula>
    </cfRule>
    <cfRule type="expression" dxfId="519" priority="144" stopIfTrue="1">
      <formula>(OR(H2="3",H2="4"))</formula>
    </cfRule>
  </conditionalFormatting>
  <conditionalFormatting sqref="AE26">
    <cfRule type="expression" dxfId="518" priority="131">
      <formula>$H$2=0</formula>
    </cfRule>
    <cfRule type="expression" dxfId="517" priority="132" stopIfTrue="1">
      <formula>(OR(AD2="1",AD2="2",AD2="3"))</formula>
    </cfRule>
  </conditionalFormatting>
  <conditionalFormatting sqref="AE27:AE28">
    <cfRule type="expression" dxfId="516" priority="130">
      <formula>(OR(AD2="2",AD2="3"))</formula>
    </cfRule>
  </conditionalFormatting>
  <conditionalFormatting sqref="C9:F9 J9 AK9 Z9">
    <cfRule type="cellIs" dxfId="515" priority="63" operator="equal">
      <formula>$E$2=0</formula>
    </cfRule>
    <cfRule type="expression" dxfId="514" priority="116">
      <formula>(OR($E$2=3,$E$2=4,$E$2=5))</formula>
    </cfRule>
  </conditionalFormatting>
  <conditionalFormatting sqref="C14:F14 Q15:S15 C8:F9 Z14:AC14 J8:J9 Z8:Z9 AK8:AK9 J25:M25 J30:M30">
    <cfRule type="expression" dxfId="513" priority="115">
      <formula>(OR($E$2=3,$E$2=4,$E$2=5))</formula>
    </cfRule>
  </conditionalFormatting>
  <conditionalFormatting sqref="J9 C15:F15 AK9 Z15:AC15">
    <cfRule type="expression" dxfId="512" priority="114">
      <formula>(OR($E$2=4,$E$2=5))</formula>
    </cfRule>
  </conditionalFormatting>
  <conditionalFormatting sqref="Z8:Z9 Z14:AC14 AK8:AK9 AK15">
    <cfRule type="expression" dxfId="511" priority="107">
      <formula>(OR($AA$2=3,$AA$2=4,$AA$2=5))</formula>
    </cfRule>
  </conditionalFormatting>
  <conditionalFormatting sqref="F20:I20 M20:P20">
    <cfRule type="expression" dxfId="510" priority="72">
      <formula>$E$2=5</formula>
    </cfRule>
  </conditionalFormatting>
  <conditionalFormatting sqref="J24:M24 J29:M29">
    <cfRule type="expression" dxfId="509" priority="54">
      <formula>(OR($F$3=3,$E$2=4,$E$2=5))</formula>
    </cfRule>
  </conditionalFormatting>
  <conditionalFormatting sqref="S23">
    <cfRule type="containsText" dxfId="508" priority="81" operator="containsText" text="5">
      <formula>NOT(ISERROR(SEARCH("5",S23)))</formula>
    </cfRule>
  </conditionalFormatting>
  <conditionalFormatting sqref="F19:I19">
    <cfRule type="cellIs" dxfId="507" priority="20" operator="equal">
      <formula>0</formula>
    </cfRule>
    <cfRule type="expression" dxfId="506" priority="68">
      <formula>$E$2=5</formula>
    </cfRule>
  </conditionalFormatting>
  <conditionalFormatting sqref="I37">
    <cfRule type="expression" dxfId="505" priority="30">
      <formula>OR(H2="4")</formula>
    </cfRule>
  </conditionalFormatting>
  <conditionalFormatting sqref="F20:I20 M19:P20 J24:M25 J29:M30">
    <cfRule type="cellIs" dxfId="504" priority="19" operator="equal">
      <formula>0</formula>
    </cfRule>
  </conditionalFormatting>
  <conditionalFormatting sqref="AE28:AJ28">
    <cfRule type="expression" dxfId="503" priority="11" stopIfTrue="1">
      <formula>(OR(AD2="3"))</formula>
    </cfRule>
  </conditionalFormatting>
  <conditionalFormatting sqref="C8:F8">
    <cfRule type="containsText" dxfId="502" priority="8" operator="containsText" text="A">
      <formula>NOT(ISERROR(SEARCH("A",C8)))</formula>
    </cfRule>
  </conditionalFormatting>
  <conditionalFormatting sqref="C9:F9">
    <cfRule type="cellIs" dxfId="501" priority="7" operator="equal">
      <formula>"B"</formula>
    </cfRule>
  </conditionalFormatting>
  <conditionalFormatting sqref="J8:M8">
    <cfRule type="cellIs" dxfId="500" priority="6" operator="equal">
      <formula>"C"</formula>
    </cfRule>
  </conditionalFormatting>
  <conditionalFormatting sqref="J9:M9">
    <cfRule type="cellIs" dxfId="499" priority="5" operator="equal">
      <formula>"Office"</formula>
    </cfRule>
    <cfRule type="cellIs" dxfId="498" priority="4" operator="equal">
      <formula>"D"</formula>
    </cfRule>
  </conditionalFormatting>
  <conditionalFormatting sqref="C15:F15">
    <cfRule type="containsText" dxfId="497" priority="3" operator="containsText" text="OFFICE">
      <formula>NOT(ISERROR(SEARCH("OFFICE",C15)))</formula>
    </cfRule>
  </conditionalFormatting>
  <conditionalFormatting sqref="Z15:AC15">
    <cfRule type="containsText" dxfId="496" priority="2" operator="containsText" text="OFFICE">
      <formula>NOT(ISERROR(SEARCH("OFFICE",Z15)))</formula>
    </cfRule>
  </conditionalFormatting>
  <conditionalFormatting sqref="AK9:AN9">
    <cfRule type="containsText" dxfId="495" priority="1" operator="containsText" text="OFFICE">
      <formula>NOT(ISERROR(SEARCH("OFFICE",AK9)))</formula>
    </cfRule>
  </conditionalFormatting>
  <pageMargins left="0.15" right="0.2" top="0.31496062992125984" bottom="0.33" header="0.23622047244094491" footer="0.17"/>
  <pageSetup paperSize="9" scale="95" orientation="landscape" horizontalDpi="4294967292" verticalDpi="0" r:id="rId1"/>
  <rowBreaks count="1" manualBreakCount="1">
    <brk id="39" max="16383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11</vt:i4>
      </vt:variant>
    </vt:vector>
  </HeadingPairs>
  <TitlesOfParts>
    <vt:vector size="30" baseType="lpstr">
      <vt:lpstr>Données</vt:lpstr>
      <vt:lpstr>Rens.</vt:lpstr>
      <vt:lpstr>Déroulement</vt:lpstr>
      <vt:lpstr>Poule 3Eq. </vt:lpstr>
      <vt:lpstr>Poule 4Eq.</vt:lpstr>
      <vt:lpstr>Poule 5 Eq. (1_2_3 Q.)</vt:lpstr>
      <vt:lpstr>Poule 5 Eq. (4 Q.)</vt:lpstr>
      <vt:lpstr>6.7 Eq.</vt:lpstr>
      <vt:lpstr>Poule 1 et 2</vt:lpstr>
      <vt:lpstr>Poule 3 et 4</vt:lpstr>
      <vt:lpstr>Poule 5 et 6</vt:lpstr>
      <vt:lpstr>Poule 7 et 8</vt:lpstr>
      <vt:lpstr>Poule 9 et 10</vt:lpstr>
      <vt:lpstr>Poule 11 et 12</vt:lpstr>
      <vt:lpstr>Poule 13 et 14</vt:lpstr>
      <vt:lpstr>Poule 15 et 16</vt:lpstr>
      <vt:lpstr>parties éliminatoires </vt:lpstr>
      <vt:lpstr>déroul 3.4.5 Eq.</vt:lpstr>
      <vt:lpstr>Feuil1</vt:lpstr>
      <vt:lpstr>Catégorie</vt:lpstr>
      <vt:lpstr>Féminine</vt:lpstr>
      <vt:lpstr>Jeunes</vt:lpstr>
      <vt:lpstr>Masculin</vt:lpstr>
      <vt:lpstr>Série</vt:lpstr>
      <vt:lpstr>'6.7 Eq.'!Zone_d_impression</vt:lpstr>
      <vt:lpstr>'Poule 1 et 2'!Zone_d_impression</vt:lpstr>
      <vt:lpstr>'Poule 3Eq. '!Zone_d_impression</vt:lpstr>
      <vt:lpstr>'Poule 4Eq.'!Zone_d_impression</vt:lpstr>
      <vt:lpstr>'Poule 5 Eq. (1_2_3 Q.)'!Zone_d_impression</vt:lpstr>
      <vt:lpstr>'Poule 5 Eq. (4 Q.)'!Zone_d_impression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2021-02-01T11:11:34Z</cp:lastPrinted>
  <dcterms:created xsi:type="dcterms:W3CDTF">2013-08-06T09:32:55Z</dcterms:created>
  <dcterms:modified xsi:type="dcterms:W3CDTF">2021-02-12T17:52:21Z</dcterms:modified>
</cp:coreProperties>
</file>