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90" yWindow="780" windowWidth="10620" windowHeight="9285" activeTab="1"/>
  </bookViews>
  <sheets>
    <sheet name="Méthode" sheetId="10" r:id="rId1"/>
    <sheet name="Joueurs et TirageV" sheetId="1" r:id="rId2"/>
    <sheet name="RésultatsV" sheetId="6" r:id="rId3"/>
    <sheet name="ClassementV" sheetId="5" r:id="rId4"/>
    <sheet name="Feuil2" sheetId="11" r:id="rId5"/>
  </sheets>
  <calcPr calcId="125725"/>
</workbook>
</file>

<file path=xl/calcChain.xml><?xml version="1.0" encoding="utf-8"?>
<calcChain xmlns="http://schemas.openxmlformats.org/spreadsheetml/2006/main">
  <c r="D44" i="6"/>
  <c r="D43"/>
  <c r="D42"/>
  <c r="C44"/>
  <c r="C43"/>
  <c r="B39"/>
  <c r="E42"/>
  <c r="B42"/>
  <c r="C40"/>
  <c r="I174"/>
  <c r="F8" i="1"/>
  <c r="F9"/>
  <c r="F10"/>
  <c r="F11"/>
  <c r="F12"/>
  <c r="F13"/>
  <c r="L13" s="1"/>
  <c r="F14"/>
  <c r="L14" s="1"/>
  <c r="F15"/>
  <c r="L15" s="1"/>
  <c r="F16"/>
  <c r="L16" s="1"/>
  <c r="F17"/>
  <c r="L17" s="1"/>
  <c r="F18"/>
  <c r="L18" s="1"/>
  <c r="F19"/>
  <c r="L19" s="1"/>
  <c r="F20"/>
  <c r="L20" s="1"/>
  <c r="F21"/>
  <c r="L21" s="1"/>
  <c r="F22"/>
  <c r="L22" s="1"/>
  <c r="F23"/>
  <c r="L23" s="1"/>
  <c r="F24"/>
  <c r="L24" s="1"/>
  <c r="F25"/>
  <c r="L25" s="1"/>
  <c r="F26"/>
  <c r="L26" s="1"/>
  <c r="F27"/>
  <c r="L27" s="1"/>
  <c r="F28"/>
  <c r="L28" s="1"/>
  <c r="F29"/>
  <c r="L29" s="1"/>
  <c r="F30"/>
  <c r="L30" s="1"/>
  <c r="F31"/>
  <c r="L31" s="1"/>
  <c r="F32"/>
  <c r="L32" s="1"/>
  <c r="F33"/>
  <c r="L33" s="1"/>
  <c r="F34"/>
  <c r="L34" s="1"/>
  <c r="F35"/>
  <c r="L35" s="1"/>
  <c r="F36"/>
  <c r="L36" s="1"/>
  <c r="F37"/>
  <c r="L37" s="1"/>
  <c r="F38"/>
  <c r="L38" s="1"/>
  <c r="F39"/>
  <c r="L39" s="1"/>
  <c r="F40"/>
  <c r="L40" s="1"/>
  <c r="F41"/>
  <c r="L41" s="1"/>
  <c r="F42"/>
  <c r="L42" s="1"/>
  <c r="F43"/>
  <c r="L43" s="1"/>
  <c r="F44"/>
  <c r="L44" s="1"/>
  <c r="F45"/>
  <c r="L45" s="1"/>
  <c r="F46"/>
  <c r="L46" s="1"/>
  <c r="F47"/>
  <c r="L47" s="1"/>
  <c r="F48"/>
  <c r="L48" s="1"/>
  <c r="F49"/>
  <c r="L49" s="1"/>
  <c r="F50"/>
  <c r="L50" s="1"/>
  <c r="F51"/>
  <c r="L51" s="1"/>
  <c r="F52"/>
  <c r="L52" s="1"/>
  <c r="F53"/>
  <c r="L53" s="1"/>
  <c r="F54"/>
  <c r="L54" s="1"/>
  <c r="F55"/>
  <c r="L55" s="1"/>
  <c r="F56"/>
  <c r="L56" s="1"/>
  <c r="F57"/>
  <c r="L57" s="1"/>
  <c r="F58"/>
  <c r="L58" s="1"/>
  <c r="F59"/>
  <c r="L59" s="1"/>
  <c r="F60"/>
  <c r="L60" s="1"/>
  <c r="F61"/>
  <c r="L61" s="1"/>
  <c r="F62"/>
  <c r="L62" s="1"/>
  <c r="F63"/>
  <c r="L63" s="1"/>
  <c r="F64"/>
  <c r="L64" s="1"/>
  <c r="F65"/>
  <c r="L65" s="1"/>
  <c r="F66"/>
  <c r="L66" s="1"/>
  <c r="D8"/>
  <c r="D9"/>
  <c r="D10"/>
  <c r="D11"/>
  <c r="D12"/>
  <c r="D13"/>
  <c r="D14"/>
  <c r="D15"/>
  <c r="K15" s="1"/>
  <c r="D16"/>
  <c r="K16" s="1"/>
  <c r="D17"/>
  <c r="K17" s="1"/>
  <c r="D18"/>
  <c r="K18" s="1"/>
  <c r="D19"/>
  <c r="K19" s="1"/>
  <c r="D20"/>
  <c r="K20" s="1"/>
  <c r="D21"/>
  <c r="K21" s="1"/>
  <c r="D22"/>
  <c r="K22" s="1"/>
  <c r="D23"/>
  <c r="K23" s="1"/>
  <c r="D24"/>
  <c r="K24" s="1"/>
  <c r="D25"/>
  <c r="K25" s="1"/>
  <c r="D26"/>
  <c r="K26" s="1"/>
  <c r="D27"/>
  <c r="K27" s="1"/>
  <c r="D28"/>
  <c r="K28" s="1"/>
  <c r="D29"/>
  <c r="K29" s="1"/>
  <c r="D30"/>
  <c r="K30" s="1"/>
  <c r="D31"/>
  <c r="K31" s="1"/>
  <c r="D32"/>
  <c r="K32" s="1"/>
  <c r="D33"/>
  <c r="K33" s="1"/>
  <c r="D34"/>
  <c r="K34" s="1"/>
  <c r="D35"/>
  <c r="K35" s="1"/>
  <c r="D36"/>
  <c r="K36" s="1"/>
  <c r="D37"/>
  <c r="K37" s="1"/>
  <c r="D38"/>
  <c r="K38" s="1"/>
  <c r="D39"/>
  <c r="K39" s="1"/>
  <c r="D40"/>
  <c r="K40" s="1"/>
  <c r="D41"/>
  <c r="K41" s="1"/>
  <c r="D42"/>
  <c r="K42" s="1"/>
  <c r="D43"/>
  <c r="K43" s="1"/>
  <c r="D44"/>
  <c r="K44" s="1"/>
  <c r="D45"/>
  <c r="K45" s="1"/>
  <c r="D46"/>
  <c r="K46" s="1"/>
  <c r="D47"/>
  <c r="K47" s="1"/>
  <c r="D48"/>
  <c r="K48" s="1"/>
  <c r="D49"/>
  <c r="K49" s="1"/>
  <c r="D50"/>
  <c r="K50" s="1"/>
  <c r="D51"/>
  <c r="K51" s="1"/>
  <c r="D52"/>
  <c r="K52" s="1"/>
  <c r="D53"/>
  <c r="K53" s="1"/>
  <c r="D54"/>
  <c r="K54" s="1"/>
  <c r="D55"/>
  <c r="K55" s="1"/>
  <c r="D56"/>
  <c r="K56" s="1"/>
  <c r="D57"/>
  <c r="K57" s="1"/>
  <c r="D58"/>
  <c r="K58" s="1"/>
  <c r="D59"/>
  <c r="K59" s="1"/>
  <c r="D60"/>
  <c r="K60" s="1"/>
  <c r="D61"/>
  <c r="K61" s="1"/>
  <c r="D62"/>
  <c r="K62" s="1"/>
  <c r="D63"/>
  <c r="K63" s="1"/>
  <c r="D64"/>
  <c r="K64" s="1"/>
  <c r="D65"/>
  <c r="K65" s="1"/>
  <c r="D66"/>
  <c r="K66" s="1"/>
  <c r="F7"/>
  <c r="D7"/>
  <c r="B127" i="5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2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66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A248" i="6"/>
  <c r="AA247"/>
  <c r="AA246"/>
  <c r="AA244"/>
  <c r="AA243"/>
  <c r="AA242"/>
  <c r="AA240"/>
  <c r="AA239"/>
  <c r="AA238"/>
  <c r="AA236"/>
  <c r="AA235"/>
  <c r="AA234"/>
  <c r="AA232"/>
  <c r="AA231"/>
  <c r="AD231" s="1"/>
  <c r="AA230"/>
  <c r="AA228"/>
  <c r="AA227"/>
  <c r="AD227" s="1"/>
  <c r="AA226"/>
  <c r="AA224"/>
  <c r="AA223"/>
  <c r="AA222"/>
  <c r="AA220"/>
  <c r="AA219"/>
  <c r="AA218"/>
  <c r="AA216"/>
  <c r="AA215"/>
  <c r="AA214"/>
  <c r="AA212"/>
  <c r="AA211"/>
  <c r="AA210"/>
  <c r="AA208"/>
  <c r="AA207"/>
  <c r="AA206"/>
  <c r="AA204"/>
  <c r="AA203"/>
  <c r="AA202"/>
  <c r="AA200"/>
  <c r="AA199"/>
  <c r="AA198"/>
  <c r="AA196"/>
  <c r="AA195"/>
  <c r="AA194"/>
  <c r="AA192"/>
  <c r="AA191"/>
  <c r="AA190"/>
  <c r="AA188"/>
  <c r="AA187"/>
  <c r="AA186"/>
  <c r="AA184"/>
  <c r="AA183"/>
  <c r="AA182"/>
  <c r="AA180"/>
  <c r="AA179"/>
  <c r="AA178"/>
  <c r="AA176"/>
  <c r="AA175"/>
  <c r="AA174"/>
  <c r="AA172"/>
  <c r="AA171"/>
  <c r="AA170"/>
  <c r="AA168"/>
  <c r="AA167"/>
  <c r="AA166"/>
  <c r="AA164"/>
  <c r="AA163"/>
  <c r="AA162"/>
  <c r="AA160"/>
  <c r="AA159"/>
  <c r="AA158"/>
  <c r="AA156"/>
  <c r="AA155"/>
  <c r="AA154"/>
  <c r="AA144"/>
  <c r="AA143"/>
  <c r="AA142"/>
  <c r="AA140"/>
  <c r="AA139"/>
  <c r="AA138"/>
  <c r="AA136"/>
  <c r="AA135"/>
  <c r="AA134"/>
  <c r="AA132"/>
  <c r="AA131"/>
  <c r="AA130"/>
  <c r="AA128"/>
  <c r="AA127"/>
  <c r="AA126"/>
  <c r="AA124"/>
  <c r="AA123"/>
  <c r="AA122"/>
  <c r="AA112"/>
  <c r="AA111"/>
  <c r="AA110"/>
  <c r="AA108"/>
  <c r="AA107"/>
  <c r="AA106"/>
  <c r="AA104"/>
  <c r="AA103"/>
  <c r="AA102"/>
  <c r="AA100"/>
  <c r="AA99"/>
  <c r="AA98"/>
  <c r="AA96"/>
  <c r="AA95"/>
  <c r="AA94"/>
  <c r="AA92"/>
  <c r="AA91"/>
  <c r="AA90"/>
  <c r="V240"/>
  <c r="V239"/>
  <c r="V238"/>
  <c r="V236"/>
  <c r="V235"/>
  <c r="V234"/>
  <c r="V232"/>
  <c r="V231"/>
  <c r="V230"/>
  <c r="V228"/>
  <c r="V227"/>
  <c r="V226"/>
  <c r="V224"/>
  <c r="V223"/>
  <c r="V222"/>
  <c r="V220"/>
  <c r="V219"/>
  <c r="V218"/>
  <c r="V210"/>
  <c r="V208"/>
  <c r="V207"/>
  <c r="V206"/>
  <c r="V204"/>
  <c r="V203"/>
  <c r="V202"/>
  <c r="V200"/>
  <c r="V199"/>
  <c r="V198"/>
  <c r="V196"/>
  <c r="V195"/>
  <c r="V194"/>
  <c r="V192"/>
  <c r="V191"/>
  <c r="V190"/>
  <c r="V188"/>
  <c r="V187"/>
  <c r="V186"/>
  <c r="V176"/>
  <c r="V175"/>
  <c r="V174"/>
  <c r="V172"/>
  <c r="V171"/>
  <c r="V170"/>
  <c r="V168"/>
  <c r="V167"/>
  <c r="V166"/>
  <c r="V164"/>
  <c r="V163"/>
  <c r="V162"/>
  <c r="V160"/>
  <c r="V159"/>
  <c r="V158"/>
  <c r="V156"/>
  <c r="V155"/>
  <c r="V154"/>
  <c r="V144"/>
  <c r="V143"/>
  <c r="V142"/>
  <c r="V140"/>
  <c r="V139"/>
  <c r="V138"/>
  <c r="V136"/>
  <c r="V135"/>
  <c r="V134"/>
  <c r="V132"/>
  <c r="V131"/>
  <c r="V130"/>
  <c r="V128"/>
  <c r="V127"/>
  <c r="V126"/>
  <c r="V124"/>
  <c r="V123"/>
  <c r="V122"/>
  <c r="V112"/>
  <c r="V111"/>
  <c r="V110"/>
  <c r="V108"/>
  <c r="V107"/>
  <c r="V106"/>
  <c r="V104"/>
  <c r="V103"/>
  <c r="V102"/>
  <c r="V100"/>
  <c r="V99"/>
  <c r="V98"/>
  <c r="V96"/>
  <c r="V95"/>
  <c r="V94"/>
  <c r="V92"/>
  <c r="V91"/>
  <c r="V90"/>
  <c r="Q242"/>
  <c r="Q240"/>
  <c r="Q239"/>
  <c r="Q238"/>
  <c r="Q236"/>
  <c r="Q235"/>
  <c r="Q234"/>
  <c r="Q232"/>
  <c r="Q231"/>
  <c r="Q230"/>
  <c r="Q228"/>
  <c r="Q227"/>
  <c r="Q226"/>
  <c r="Q224"/>
  <c r="Q223"/>
  <c r="Q222"/>
  <c r="Q220"/>
  <c r="Q219"/>
  <c r="Q218"/>
  <c r="Q208"/>
  <c r="Q207"/>
  <c r="S207" s="1"/>
  <c r="Q206"/>
  <c r="Q204"/>
  <c r="Q203"/>
  <c r="Q202"/>
  <c r="Q200"/>
  <c r="Q199"/>
  <c r="Q198"/>
  <c r="Q196"/>
  <c r="Q195"/>
  <c r="Q194"/>
  <c r="Q192"/>
  <c r="Q191"/>
  <c r="Q190"/>
  <c r="Q188"/>
  <c r="Q187"/>
  <c r="Q186"/>
  <c r="Q178"/>
  <c r="Q176"/>
  <c r="Q175"/>
  <c r="Q174"/>
  <c r="Q172"/>
  <c r="Q171"/>
  <c r="Q170"/>
  <c r="Q168"/>
  <c r="Q167"/>
  <c r="Q166"/>
  <c r="Q164"/>
  <c r="Q163"/>
  <c r="Q162"/>
  <c r="Q160"/>
  <c r="Q159"/>
  <c r="Q158"/>
  <c r="Q156"/>
  <c r="Q155"/>
  <c r="Q154"/>
  <c r="Q144"/>
  <c r="Q143"/>
  <c r="Q142"/>
  <c r="Q140"/>
  <c r="Q139"/>
  <c r="Q138"/>
  <c r="Q136"/>
  <c r="Q135"/>
  <c r="Q134"/>
  <c r="Q132"/>
  <c r="Q131"/>
  <c r="Q130"/>
  <c r="Q128"/>
  <c r="Q127"/>
  <c r="Q126"/>
  <c r="Q124"/>
  <c r="Q123"/>
  <c r="Q122"/>
  <c r="Q114"/>
  <c r="Q112"/>
  <c r="Q111"/>
  <c r="Q110"/>
  <c r="Q108"/>
  <c r="Q107"/>
  <c r="Q106"/>
  <c r="Q104"/>
  <c r="Q103"/>
  <c r="Q102"/>
  <c r="Q100"/>
  <c r="Q99"/>
  <c r="Q98"/>
  <c r="Q96"/>
  <c r="Q95"/>
  <c r="Q94"/>
  <c r="Q92"/>
  <c r="Q91"/>
  <c r="Q90"/>
  <c r="L112"/>
  <c r="L240"/>
  <c r="L239"/>
  <c r="L238"/>
  <c r="L236"/>
  <c r="L235"/>
  <c r="L234"/>
  <c r="L232"/>
  <c r="L231"/>
  <c r="L230"/>
  <c r="L228"/>
  <c r="L227"/>
  <c r="L226"/>
  <c r="L224"/>
  <c r="L223"/>
  <c r="L222"/>
  <c r="L220"/>
  <c r="L219"/>
  <c r="L218"/>
  <c r="L208"/>
  <c r="L207"/>
  <c r="L206"/>
  <c r="L204"/>
  <c r="L203"/>
  <c r="L202"/>
  <c r="L200"/>
  <c r="L199"/>
  <c r="L198"/>
  <c r="L196"/>
  <c r="L195"/>
  <c r="L194"/>
  <c r="L192"/>
  <c r="L191"/>
  <c r="L190"/>
  <c r="L188"/>
  <c r="L187"/>
  <c r="L186"/>
  <c r="L176"/>
  <c r="L175"/>
  <c r="L174"/>
  <c r="L172"/>
  <c r="L171"/>
  <c r="L170"/>
  <c r="L168"/>
  <c r="L167"/>
  <c r="L166"/>
  <c r="L164"/>
  <c r="L163"/>
  <c r="L162"/>
  <c r="L160"/>
  <c r="L159"/>
  <c r="L158"/>
  <c r="L156"/>
  <c r="L155"/>
  <c r="L154"/>
  <c r="L144"/>
  <c r="L143"/>
  <c r="L142"/>
  <c r="L140"/>
  <c r="L139"/>
  <c r="L138"/>
  <c r="L136"/>
  <c r="L135"/>
  <c r="L134"/>
  <c r="L132"/>
  <c r="L131"/>
  <c r="L130"/>
  <c r="L128"/>
  <c r="L127"/>
  <c r="L126"/>
  <c r="L124"/>
  <c r="L123"/>
  <c r="L122"/>
  <c r="L111"/>
  <c r="L110"/>
  <c r="L108"/>
  <c r="L107"/>
  <c r="L106"/>
  <c r="L104"/>
  <c r="L103"/>
  <c r="L102"/>
  <c r="L100"/>
  <c r="L99"/>
  <c r="L98"/>
  <c r="L96"/>
  <c r="L95"/>
  <c r="L94"/>
  <c r="L91"/>
  <c r="L92"/>
  <c r="L90"/>
  <c r="G242"/>
  <c r="G240"/>
  <c r="I240" s="1"/>
  <c r="G239"/>
  <c r="G238"/>
  <c r="G236"/>
  <c r="G235"/>
  <c r="G234"/>
  <c r="G232"/>
  <c r="G231"/>
  <c r="G230"/>
  <c r="G228"/>
  <c r="G227"/>
  <c r="G226"/>
  <c r="G224"/>
  <c r="G223"/>
  <c r="G222"/>
  <c r="G220"/>
  <c r="G219"/>
  <c r="G218"/>
  <c r="G208"/>
  <c r="G207"/>
  <c r="G206"/>
  <c r="G204"/>
  <c r="G203"/>
  <c r="G202"/>
  <c r="G200"/>
  <c r="G199"/>
  <c r="G198"/>
  <c r="G196"/>
  <c r="G195"/>
  <c r="G194"/>
  <c r="G192"/>
  <c r="G191"/>
  <c r="G190"/>
  <c r="G188"/>
  <c r="G187"/>
  <c r="G186"/>
  <c r="G176"/>
  <c r="G175"/>
  <c r="G174"/>
  <c r="G172"/>
  <c r="G171"/>
  <c r="G170"/>
  <c r="G168"/>
  <c r="G167"/>
  <c r="G166"/>
  <c r="G164"/>
  <c r="G163"/>
  <c r="G162"/>
  <c r="G160"/>
  <c r="G159"/>
  <c r="G158"/>
  <c r="G156"/>
  <c r="G155"/>
  <c r="G154"/>
  <c r="G144"/>
  <c r="G143"/>
  <c r="G142"/>
  <c r="G140"/>
  <c r="G139"/>
  <c r="G138"/>
  <c r="G135"/>
  <c r="G134"/>
  <c r="G132"/>
  <c r="G131"/>
  <c r="G130"/>
  <c r="G128"/>
  <c r="G127"/>
  <c r="G126"/>
  <c r="G124"/>
  <c r="G123"/>
  <c r="G122"/>
  <c r="G112"/>
  <c r="G111"/>
  <c r="G110"/>
  <c r="G108"/>
  <c r="G107"/>
  <c r="G106"/>
  <c r="G104"/>
  <c r="G103"/>
  <c r="G102"/>
  <c r="G100"/>
  <c r="G99"/>
  <c r="G98"/>
  <c r="G96"/>
  <c r="G95"/>
  <c r="G94"/>
  <c r="G92"/>
  <c r="G91"/>
  <c r="G90"/>
  <c r="B240"/>
  <c r="B239"/>
  <c r="B238"/>
  <c r="B236"/>
  <c r="B235"/>
  <c r="C235" s="1"/>
  <c r="B234"/>
  <c r="AC240"/>
  <c r="X240"/>
  <c r="S240"/>
  <c r="N240"/>
  <c r="AC239"/>
  <c r="X239"/>
  <c r="S239"/>
  <c r="N239"/>
  <c r="I239"/>
  <c r="D239"/>
  <c r="AD238"/>
  <c r="AC238"/>
  <c r="Y238"/>
  <c r="X238"/>
  <c r="T238"/>
  <c r="S238"/>
  <c r="O238"/>
  <c r="N238"/>
  <c r="J238"/>
  <c r="I238"/>
  <c r="E238"/>
  <c r="D238"/>
  <c r="AC236"/>
  <c r="X236"/>
  <c r="S236"/>
  <c r="N236"/>
  <c r="I236"/>
  <c r="AC235"/>
  <c r="X235"/>
  <c r="S235"/>
  <c r="N235"/>
  <c r="H235"/>
  <c r="I235"/>
  <c r="AD234"/>
  <c r="AC234"/>
  <c r="Y234"/>
  <c r="X234"/>
  <c r="T234"/>
  <c r="S234"/>
  <c r="O234"/>
  <c r="N234"/>
  <c r="J234"/>
  <c r="I234"/>
  <c r="E234"/>
  <c r="E235" s="1"/>
  <c r="D234"/>
  <c r="D236" s="1"/>
  <c r="B232"/>
  <c r="B231"/>
  <c r="B230"/>
  <c r="B228"/>
  <c r="B227"/>
  <c r="B226"/>
  <c r="AD232"/>
  <c r="Y232"/>
  <c r="T232"/>
  <c r="O232"/>
  <c r="J232"/>
  <c r="Y231"/>
  <c r="T231"/>
  <c r="O231"/>
  <c r="J231"/>
  <c r="AD230"/>
  <c r="AC230"/>
  <c r="Y230"/>
  <c r="X230"/>
  <c r="T230"/>
  <c r="S230"/>
  <c r="O230"/>
  <c r="N230"/>
  <c r="J230"/>
  <c r="I230"/>
  <c r="E230"/>
  <c r="D230"/>
  <c r="AD228"/>
  <c r="Y228"/>
  <c r="T228"/>
  <c r="O228"/>
  <c r="J228"/>
  <c r="Y227"/>
  <c r="T227"/>
  <c r="O227"/>
  <c r="J227"/>
  <c r="AD226"/>
  <c r="AC226"/>
  <c r="Y226"/>
  <c r="X226"/>
  <c r="T226"/>
  <c r="S226"/>
  <c r="O226"/>
  <c r="N226"/>
  <c r="J226"/>
  <c r="I226"/>
  <c r="E226"/>
  <c r="E228" s="1"/>
  <c r="D226"/>
  <c r="B224"/>
  <c r="B223"/>
  <c r="B222"/>
  <c r="B220"/>
  <c r="B219"/>
  <c r="B218"/>
  <c r="AD222"/>
  <c r="AC222"/>
  <c r="Y222"/>
  <c r="X222"/>
  <c r="T222"/>
  <c r="S222"/>
  <c r="O222"/>
  <c r="N222"/>
  <c r="J222"/>
  <c r="I222"/>
  <c r="E222"/>
  <c r="D222"/>
  <c r="AD218"/>
  <c r="AC218"/>
  <c r="Y218"/>
  <c r="X218"/>
  <c r="T218"/>
  <c r="S218"/>
  <c r="O218"/>
  <c r="N218"/>
  <c r="J218"/>
  <c r="I218"/>
  <c r="E218"/>
  <c r="D218"/>
  <c r="D220" s="1"/>
  <c r="B208"/>
  <c r="B207"/>
  <c r="B206"/>
  <c r="B204"/>
  <c r="B203"/>
  <c r="B202"/>
  <c r="AC208"/>
  <c r="X208"/>
  <c r="S208"/>
  <c r="N208"/>
  <c r="I208"/>
  <c r="AC207"/>
  <c r="X207"/>
  <c r="N207"/>
  <c r="I207"/>
  <c r="AD206"/>
  <c r="AC206"/>
  <c r="Y206"/>
  <c r="X206"/>
  <c r="T206"/>
  <c r="S206"/>
  <c r="O206"/>
  <c r="N206"/>
  <c r="J206"/>
  <c r="I206"/>
  <c r="E206"/>
  <c r="D206"/>
  <c r="AC204"/>
  <c r="X204"/>
  <c r="S204"/>
  <c r="N204"/>
  <c r="I204"/>
  <c r="AC203"/>
  <c r="X203"/>
  <c r="S203"/>
  <c r="N203"/>
  <c r="I203"/>
  <c r="AD202"/>
  <c r="AC202"/>
  <c r="Y202"/>
  <c r="X202"/>
  <c r="T202"/>
  <c r="S202"/>
  <c r="O202"/>
  <c r="N202"/>
  <c r="J202"/>
  <c r="I202"/>
  <c r="E202"/>
  <c r="D202"/>
  <c r="B200"/>
  <c r="B199"/>
  <c r="B198"/>
  <c r="B196"/>
  <c r="B195"/>
  <c r="B194"/>
  <c r="AD198"/>
  <c r="AC198"/>
  <c r="Y198"/>
  <c r="X198"/>
  <c r="T198"/>
  <c r="S198"/>
  <c r="O198"/>
  <c r="N198"/>
  <c r="J198"/>
  <c r="I198"/>
  <c r="E198"/>
  <c r="D198"/>
  <c r="AD194"/>
  <c r="AC194"/>
  <c r="Y194"/>
  <c r="X194"/>
  <c r="T194"/>
  <c r="S194"/>
  <c r="O194"/>
  <c r="N194"/>
  <c r="J194"/>
  <c r="I194"/>
  <c r="E194"/>
  <c r="D194"/>
  <c r="B192"/>
  <c r="B191"/>
  <c r="B190"/>
  <c r="B188"/>
  <c r="B187"/>
  <c r="B186"/>
  <c r="AD190"/>
  <c r="AC190"/>
  <c r="Y190"/>
  <c r="X190"/>
  <c r="T190"/>
  <c r="S190"/>
  <c r="O190"/>
  <c r="N190"/>
  <c r="J190"/>
  <c r="I190"/>
  <c r="E190"/>
  <c r="D190"/>
  <c r="AD186"/>
  <c r="AC186"/>
  <c r="Y186"/>
  <c r="X186"/>
  <c r="T186"/>
  <c r="S186"/>
  <c r="O186"/>
  <c r="N186"/>
  <c r="J186"/>
  <c r="I186"/>
  <c r="E186"/>
  <c r="D186"/>
  <c r="B176"/>
  <c r="B175"/>
  <c r="B174"/>
  <c r="B172"/>
  <c r="B171"/>
  <c r="B170"/>
  <c r="AD174"/>
  <c r="AC174"/>
  <c r="Y174"/>
  <c r="X174"/>
  <c r="T174"/>
  <c r="S174"/>
  <c r="O174"/>
  <c r="N174"/>
  <c r="J174"/>
  <c r="E174"/>
  <c r="D174"/>
  <c r="AD170"/>
  <c r="AC170"/>
  <c r="Y170"/>
  <c r="X170"/>
  <c r="T170"/>
  <c r="S170"/>
  <c r="O170"/>
  <c r="N170"/>
  <c r="J170"/>
  <c r="I170"/>
  <c r="E170"/>
  <c r="D170"/>
  <c r="B168"/>
  <c r="B167"/>
  <c r="B166"/>
  <c r="B164"/>
  <c r="B163"/>
  <c r="B162"/>
  <c r="AD166"/>
  <c r="AC166"/>
  <c r="Y166"/>
  <c r="X166"/>
  <c r="T166"/>
  <c r="S166"/>
  <c r="O166"/>
  <c r="N166"/>
  <c r="J166"/>
  <c r="I166"/>
  <c r="E166"/>
  <c r="D166"/>
  <c r="AD162"/>
  <c r="AC162"/>
  <c r="Y162"/>
  <c r="X162"/>
  <c r="T162"/>
  <c r="S162"/>
  <c r="O162"/>
  <c r="N162"/>
  <c r="J162"/>
  <c r="I162"/>
  <c r="E162"/>
  <c r="D162"/>
  <c r="B160"/>
  <c r="B159"/>
  <c r="B158"/>
  <c r="B156"/>
  <c r="B155"/>
  <c r="B154"/>
  <c r="AD158"/>
  <c r="AC158"/>
  <c r="Y158"/>
  <c r="X158"/>
  <c r="T158"/>
  <c r="S158"/>
  <c r="O158"/>
  <c r="N158"/>
  <c r="J158"/>
  <c r="I158"/>
  <c r="E158"/>
  <c r="D158"/>
  <c r="AD154"/>
  <c r="AC154"/>
  <c r="Y154"/>
  <c r="X154"/>
  <c r="T154"/>
  <c r="S154"/>
  <c r="O154"/>
  <c r="N154"/>
  <c r="J154"/>
  <c r="I154"/>
  <c r="E154"/>
  <c r="D154"/>
  <c r="B144"/>
  <c r="B143"/>
  <c r="B142"/>
  <c r="B140"/>
  <c r="B139"/>
  <c r="B138"/>
  <c r="AD142"/>
  <c r="AC142"/>
  <c r="Y142"/>
  <c r="X142"/>
  <c r="T142"/>
  <c r="S142"/>
  <c r="O142"/>
  <c r="N142"/>
  <c r="J142"/>
  <c r="I142"/>
  <c r="E142"/>
  <c r="D142"/>
  <c r="AD138"/>
  <c r="AC138"/>
  <c r="Y138"/>
  <c r="X138"/>
  <c r="T138"/>
  <c r="S138"/>
  <c r="O138"/>
  <c r="N138"/>
  <c r="J138"/>
  <c r="I138"/>
  <c r="E138"/>
  <c r="D138"/>
  <c r="D140" s="1"/>
  <c r="B136"/>
  <c r="B135"/>
  <c r="B134"/>
  <c r="B132"/>
  <c r="B131"/>
  <c r="B130"/>
  <c r="G136"/>
  <c r="AD134"/>
  <c r="AC134"/>
  <c r="Y134"/>
  <c r="X134"/>
  <c r="T134"/>
  <c r="S134"/>
  <c r="O134"/>
  <c r="N134"/>
  <c r="J134"/>
  <c r="I134"/>
  <c r="E134"/>
  <c r="D134"/>
  <c r="AC132"/>
  <c r="AD130"/>
  <c r="AC130"/>
  <c r="Y130"/>
  <c r="X130"/>
  <c r="T130"/>
  <c r="S130"/>
  <c r="O130"/>
  <c r="N130"/>
  <c r="J130"/>
  <c r="I130"/>
  <c r="E130"/>
  <c r="D130"/>
  <c r="B128"/>
  <c r="B127"/>
  <c r="B126"/>
  <c r="B124"/>
  <c r="B123"/>
  <c r="B122"/>
  <c r="X128"/>
  <c r="N128"/>
  <c r="AD126"/>
  <c r="AC126"/>
  <c r="Y126"/>
  <c r="X126"/>
  <c r="T126"/>
  <c r="S126"/>
  <c r="O126"/>
  <c r="N126"/>
  <c r="J126"/>
  <c r="I126"/>
  <c r="E126"/>
  <c r="D126"/>
  <c r="AC124"/>
  <c r="S124"/>
  <c r="I124"/>
  <c r="AD122"/>
  <c r="AD124" s="1"/>
  <c r="AC122"/>
  <c r="Y122"/>
  <c r="X122"/>
  <c r="T122"/>
  <c r="T124" s="1"/>
  <c r="S122"/>
  <c r="O122"/>
  <c r="N122"/>
  <c r="J122"/>
  <c r="J124" s="1"/>
  <c r="I122"/>
  <c r="E122"/>
  <c r="D122"/>
  <c r="B112"/>
  <c r="B111"/>
  <c r="B110"/>
  <c r="B108"/>
  <c r="B107"/>
  <c r="B106"/>
  <c r="AD110"/>
  <c r="AC110"/>
  <c r="Y110"/>
  <c r="X110"/>
  <c r="T110"/>
  <c r="S110"/>
  <c r="O110"/>
  <c r="N110"/>
  <c r="J110"/>
  <c r="I110"/>
  <c r="E110"/>
  <c r="E111" s="1"/>
  <c r="D110"/>
  <c r="AD106"/>
  <c r="AC106"/>
  <c r="Y106"/>
  <c r="X106"/>
  <c r="T106"/>
  <c r="S106"/>
  <c r="O106"/>
  <c r="N106"/>
  <c r="J106"/>
  <c r="I106"/>
  <c r="E106"/>
  <c r="D106"/>
  <c r="B104"/>
  <c r="B103"/>
  <c r="B102"/>
  <c r="B100"/>
  <c r="B99"/>
  <c r="B98"/>
  <c r="AD102"/>
  <c r="AC102"/>
  <c r="Y102"/>
  <c r="X102"/>
  <c r="T102"/>
  <c r="S102"/>
  <c r="O102"/>
  <c r="N102"/>
  <c r="J102"/>
  <c r="I102"/>
  <c r="E102"/>
  <c r="D102"/>
  <c r="AD98"/>
  <c r="AC98"/>
  <c r="Y98"/>
  <c r="X98"/>
  <c r="T98"/>
  <c r="S98"/>
  <c r="O98"/>
  <c r="N98"/>
  <c r="J98"/>
  <c r="I98"/>
  <c r="E98"/>
  <c r="D98"/>
  <c r="D100" s="1"/>
  <c r="B96"/>
  <c r="B95"/>
  <c r="B94"/>
  <c r="B92"/>
  <c r="B91"/>
  <c r="B90"/>
  <c r="AD94"/>
  <c r="AC94"/>
  <c r="Y94"/>
  <c r="X94"/>
  <c r="T94"/>
  <c r="S94"/>
  <c r="O94"/>
  <c r="N94"/>
  <c r="J94"/>
  <c r="I94"/>
  <c r="E94"/>
  <c r="D94"/>
  <c r="AD90"/>
  <c r="AC90"/>
  <c r="Y90"/>
  <c r="X90"/>
  <c r="T90"/>
  <c r="S90"/>
  <c r="O90"/>
  <c r="N90"/>
  <c r="J90"/>
  <c r="I90"/>
  <c r="E90"/>
  <c r="D90"/>
  <c r="L7" i="1" l="1"/>
  <c r="K13"/>
  <c r="K14"/>
  <c r="K11"/>
  <c r="K9"/>
  <c r="L10"/>
  <c r="K12"/>
  <c r="K10"/>
  <c r="L11"/>
  <c r="L9"/>
  <c r="L8"/>
  <c r="L12"/>
  <c r="K8"/>
  <c r="K7"/>
  <c r="E124" i="6"/>
  <c r="D127"/>
  <c r="I132"/>
  <c r="S132"/>
  <c r="N136"/>
  <c r="X136"/>
  <c r="D135"/>
  <c r="I143"/>
  <c r="S143"/>
  <c r="AC143"/>
  <c r="D143"/>
  <c r="N155"/>
  <c r="X155"/>
  <c r="I156"/>
  <c r="S156"/>
  <c r="AC156"/>
  <c r="I159"/>
  <c r="S159"/>
  <c r="AC159"/>
  <c r="N160"/>
  <c r="X160"/>
  <c r="D156"/>
  <c r="D159"/>
  <c r="N163"/>
  <c r="X163"/>
  <c r="I164"/>
  <c r="S164"/>
  <c r="AC164"/>
  <c r="I167"/>
  <c r="S167"/>
  <c r="AC167"/>
  <c r="N168"/>
  <c r="X168"/>
  <c r="D164"/>
  <c r="D167"/>
  <c r="N171"/>
  <c r="X171"/>
  <c r="I172"/>
  <c r="S172"/>
  <c r="AC172"/>
  <c r="I175"/>
  <c r="S175"/>
  <c r="AC175"/>
  <c r="N176"/>
  <c r="X176"/>
  <c r="D172"/>
  <c r="D175"/>
  <c r="O187"/>
  <c r="Y187"/>
  <c r="J188"/>
  <c r="T188"/>
  <c r="AD188"/>
  <c r="J191"/>
  <c r="T191"/>
  <c r="AD191"/>
  <c r="O192"/>
  <c r="Y192"/>
  <c r="E188"/>
  <c r="E191"/>
  <c r="N195"/>
  <c r="X195"/>
  <c r="I196"/>
  <c r="S196"/>
  <c r="AC196"/>
  <c r="I199"/>
  <c r="S199"/>
  <c r="AC199"/>
  <c r="N200"/>
  <c r="X200"/>
  <c r="D196"/>
  <c r="D199"/>
  <c r="D204"/>
  <c r="D207"/>
  <c r="N219"/>
  <c r="X219"/>
  <c r="N220"/>
  <c r="X220"/>
  <c r="N223"/>
  <c r="X223"/>
  <c r="I224"/>
  <c r="S224"/>
  <c r="AC224"/>
  <c r="D219"/>
  <c r="D224"/>
  <c r="E231"/>
  <c r="D240"/>
  <c r="I155"/>
  <c r="S155"/>
  <c r="AC155"/>
  <c r="N156"/>
  <c r="X156"/>
  <c r="N159"/>
  <c r="X159"/>
  <c r="I160"/>
  <c r="S160"/>
  <c r="AC160"/>
  <c r="D155"/>
  <c r="D160"/>
  <c r="I163"/>
  <c r="S163"/>
  <c r="AC163"/>
  <c r="N164"/>
  <c r="X164"/>
  <c r="N167"/>
  <c r="X167"/>
  <c r="I168"/>
  <c r="S168"/>
  <c r="AC168"/>
  <c r="D163"/>
  <c r="D168"/>
  <c r="I171"/>
  <c r="S171"/>
  <c r="AC171"/>
  <c r="N172"/>
  <c r="X172"/>
  <c r="N175"/>
  <c r="X175"/>
  <c r="I176"/>
  <c r="S176"/>
  <c r="AC176"/>
  <c r="D171"/>
  <c r="D176"/>
  <c r="J187"/>
  <c r="T187"/>
  <c r="AD187"/>
  <c r="O188"/>
  <c r="Y188"/>
  <c r="O191"/>
  <c r="Y191"/>
  <c r="J192"/>
  <c r="T192"/>
  <c r="AD192"/>
  <c r="E187"/>
  <c r="E192"/>
  <c r="I195"/>
  <c r="S195"/>
  <c r="AC195"/>
  <c r="N196"/>
  <c r="X196"/>
  <c r="N199"/>
  <c r="X199"/>
  <c r="I200"/>
  <c r="S200"/>
  <c r="AC200"/>
  <c r="D195"/>
  <c r="D200"/>
  <c r="D203"/>
  <c r="D208"/>
  <c r="I219"/>
  <c r="S219"/>
  <c r="AC219"/>
  <c r="I220"/>
  <c r="S220"/>
  <c r="AC220"/>
  <c r="I223"/>
  <c r="S223"/>
  <c r="AC223"/>
  <c r="N224"/>
  <c r="X224"/>
  <c r="D223"/>
  <c r="E227"/>
  <c r="E232"/>
  <c r="D235"/>
  <c r="J235"/>
  <c r="M235"/>
  <c r="O235"/>
  <c r="R235"/>
  <c r="T235"/>
  <c r="W235"/>
  <c r="Y235"/>
  <c r="AB235"/>
  <c r="AD235"/>
  <c r="C236"/>
  <c r="E236"/>
  <c r="H236"/>
  <c r="J236"/>
  <c r="M236"/>
  <c r="O236"/>
  <c r="R236"/>
  <c r="T236"/>
  <c r="W236"/>
  <c r="Y236"/>
  <c r="AB236"/>
  <c r="AD236"/>
  <c r="C239"/>
  <c r="E239"/>
  <c r="H239"/>
  <c r="J239"/>
  <c r="M239"/>
  <c r="O239"/>
  <c r="R239"/>
  <c r="T239"/>
  <c r="W239"/>
  <c r="Y239"/>
  <c r="AB239"/>
  <c r="AD239"/>
  <c r="C240"/>
  <c r="E240"/>
  <c r="H240"/>
  <c r="J240"/>
  <c r="M240"/>
  <c r="O240"/>
  <c r="R240"/>
  <c r="T240"/>
  <c r="W240"/>
  <c r="Y240"/>
  <c r="AB240"/>
  <c r="AD240"/>
  <c r="D227"/>
  <c r="I227"/>
  <c r="N227"/>
  <c r="S227"/>
  <c r="X227"/>
  <c r="AC227"/>
  <c r="D228"/>
  <c r="I228"/>
  <c r="N228"/>
  <c r="S228"/>
  <c r="X228"/>
  <c r="AC228"/>
  <c r="D231"/>
  <c r="I231"/>
  <c r="N231"/>
  <c r="S231"/>
  <c r="X231"/>
  <c r="AC231"/>
  <c r="D232"/>
  <c r="I232"/>
  <c r="N232"/>
  <c r="S232"/>
  <c r="X232"/>
  <c r="AC232"/>
  <c r="C227"/>
  <c r="H227"/>
  <c r="M227"/>
  <c r="R227"/>
  <c r="W227"/>
  <c r="AB227"/>
  <c r="C228"/>
  <c r="H228"/>
  <c r="M228"/>
  <c r="R228"/>
  <c r="W228"/>
  <c r="AB228"/>
  <c r="C231"/>
  <c r="H231"/>
  <c r="M231"/>
  <c r="R231"/>
  <c r="W231"/>
  <c r="AB231"/>
  <c r="C232"/>
  <c r="H232"/>
  <c r="M232"/>
  <c r="R232"/>
  <c r="W232"/>
  <c r="AB232"/>
  <c r="C219"/>
  <c r="E219"/>
  <c r="H219"/>
  <c r="J219"/>
  <c r="M219"/>
  <c r="O219"/>
  <c r="R219"/>
  <c r="T219"/>
  <c r="W219"/>
  <c r="Y219"/>
  <c r="AB219"/>
  <c r="AD219"/>
  <c r="C220"/>
  <c r="E220"/>
  <c r="H220"/>
  <c r="J220"/>
  <c r="M220"/>
  <c r="O220"/>
  <c r="R220"/>
  <c r="T220"/>
  <c r="W220"/>
  <c r="Y220"/>
  <c r="AB220"/>
  <c r="AD220"/>
  <c r="C223"/>
  <c r="E223"/>
  <c r="H223"/>
  <c r="J223"/>
  <c r="M223"/>
  <c r="O223"/>
  <c r="R223"/>
  <c r="T223"/>
  <c r="W223"/>
  <c r="Y223"/>
  <c r="AB223"/>
  <c r="AD223"/>
  <c r="C224"/>
  <c r="E224"/>
  <c r="H224"/>
  <c r="J224"/>
  <c r="M224"/>
  <c r="O224"/>
  <c r="R224"/>
  <c r="T224"/>
  <c r="W224"/>
  <c r="Y224"/>
  <c r="AB224"/>
  <c r="AD224"/>
  <c r="C203"/>
  <c r="E203"/>
  <c r="H203"/>
  <c r="J203"/>
  <c r="M203"/>
  <c r="O203"/>
  <c r="R203"/>
  <c r="T203"/>
  <c r="W203"/>
  <c r="Y203"/>
  <c r="AB203"/>
  <c r="AD203"/>
  <c r="C204"/>
  <c r="E204"/>
  <c r="H204"/>
  <c r="J204"/>
  <c r="M204"/>
  <c r="O204"/>
  <c r="R204"/>
  <c r="T204"/>
  <c r="W204"/>
  <c r="Y204"/>
  <c r="AB204"/>
  <c r="AD204"/>
  <c r="C207"/>
  <c r="E207"/>
  <c r="H207"/>
  <c r="J207"/>
  <c r="M207"/>
  <c r="O207"/>
  <c r="R207"/>
  <c r="T207"/>
  <c r="W207"/>
  <c r="Y207"/>
  <c r="AB207"/>
  <c r="AD207"/>
  <c r="C208"/>
  <c r="E208"/>
  <c r="H208"/>
  <c r="J208"/>
  <c r="M208"/>
  <c r="O208"/>
  <c r="R208"/>
  <c r="T208"/>
  <c r="W208"/>
  <c r="Y208"/>
  <c r="AB208"/>
  <c r="AD208"/>
  <c r="C195"/>
  <c r="E195"/>
  <c r="H195"/>
  <c r="J195"/>
  <c r="M195"/>
  <c r="O195"/>
  <c r="R195"/>
  <c r="T195"/>
  <c r="W195"/>
  <c r="Y195"/>
  <c r="AB195"/>
  <c r="AD195"/>
  <c r="C196"/>
  <c r="E196"/>
  <c r="H196"/>
  <c r="J196"/>
  <c r="M196"/>
  <c r="O196"/>
  <c r="R196"/>
  <c r="T196"/>
  <c r="W196"/>
  <c r="Y196"/>
  <c r="AB196"/>
  <c r="AD196"/>
  <c r="C199"/>
  <c r="E199"/>
  <c r="H199"/>
  <c r="J199"/>
  <c r="M199"/>
  <c r="O199"/>
  <c r="R199"/>
  <c r="T199"/>
  <c r="W199"/>
  <c r="Y199"/>
  <c r="AB199"/>
  <c r="AD199"/>
  <c r="C200"/>
  <c r="E200"/>
  <c r="H200"/>
  <c r="J200"/>
  <c r="M200"/>
  <c r="O200"/>
  <c r="R200"/>
  <c r="T200"/>
  <c r="W200"/>
  <c r="Y200"/>
  <c r="AB200"/>
  <c r="AD200"/>
  <c r="D187"/>
  <c r="I187"/>
  <c r="N187"/>
  <c r="S187"/>
  <c r="X187"/>
  <c r="AC187"/>
  <c r="D188"/>
  <c r="I188"/>
  <c r="N188"/>
  <c r="S188"/>
  <c r="X188"/>
  <c r="AC188"/>
  <c r="D191"/>
  <c r="I191"/>
  <c r="N191"/>
  <c r="S191"/>
  <c r="X191"/>
  <c r="AC191"/>
  <c r="D192"/>
  <c r="I192"/>
  <c r="N192"/>
  <c r="S192"/>
  <c r="X192"/>
  <c r="AC192"/>
  <c r="C187"/>
  <c r="H187"/>
  <c r="M187"/>
  <c r="R187"/>
  <c r="W187"/>
  <c r="AB187"/>
  <c r="C188"/>
  <c r="H188"/>
  <c r="M188"/>
  <c r="R188"/>
  <c r="W188"/>
  <c r="AB188"/>
  <c r="C191"/>
  <c r="H191"/>
  <c r="M191"/>
  <c r="R191"/>
  <c r="W191"/>
  <c r="AB191"/>
  <c r="C192"/>
  <c r="H192"/>
  <c r="M192"/>
  <c r="R192"/>
  <c r="W192"/>
  <c r="AB192"/>
  <c r="C171"/>
  <c r="E171"/>
  <c r="H171"/>
  <c r="J171"/>
  <c r="M171"/>
  <c r="O171"/>
  <c r="R171"/>
  <c r="T171"/>
  <c r="W171"/>
  <c r="Y171"/>
  <c r="AB171"/>
  <c r="AD171"/>
  <c r="C172"/>
  <c r="E172"/>
  <c r="H172"/>
  <c r="J172"/>
  <c r="M172"/>
  <c r="O172"/>
  <c r="R172"/>
  <c r="T172"/>
  <c r="W172"/>
  <c r="Y172"/>
  <c r="AB172"/>
  <c r="AD172"/>
  <c r="C175"/>
  <c r="E175"/>
  <c r="H175"/>
  <c r="J175"/>
  <c r="M175"/>
  <c r="O175"/>
  <c r="R175"/>
  <c r="T175"/>
  <c r="W175"/>
  <c r="Y175"/>
  <c r="AB175"/>
  <c r="AD175"/>
  <c r="C176"/>
  <c r="E176"/>
  <c r="H176"/>
  <c r="J176"/>
  <c r="M176"/>
  <c r="O176"/>
  <c r="R176"/>
  <c r="T176"/>
  <c r="W176"/>
  <c r="Y176"/>
  <c r="AB176"/>
  <c r="AD176"/>
  <c r="C163"/>
  <c r="E163"/>
  <c r="H163"/>
  <c r="J163"/>
  <c r="M163"/>
  <c r="O163"/>
  <c r="R163"/>
  <c r="T163"/>
  <c r="W163"/>
  <c r="Y163"/>
  <c r="AB163"/>
  <c r="AD163"/>
  <c r="C164"/>
  <c r="E164"/>
  <c r="H164"/>
  <c r="J164"/>
  <c r="M164"/>
  <c r="O164"/>
  <c r="R164"/>
  <c r="T164"/>
  <c r="W164"/>
  <c r="Y164"/>
  <c r="AB164"/>
  <c r="AD164"/>
  <c r="C167"/>
  <c r="E167"/>
  <c r="H167"/>
  <c r="J167"/>
  <c r="M167"/>
  <c r="O167"/>
  <c r="R167"/>
  <c r="T167"/>
  <c r="W167"/>
  <c r="Y167"/>
  <c r="AB167"/>
  <c r="AD167"/>
  <c r="C168"/>
  <c r="E168"/>
  <c r="H168"/>
  <c r="J168"/>
  <c r="M168"/>
  <c r="O168"/>
  <c r="R168"/>
  <c r="T168"/>
  <c r="W168"/>
  <c r="Y168"/>
  <c r="AB168"/>
  <c r="AD168"/>
  <c r="C155"/>
  <c r="E155"/>
  <c r="H155"/>
  <c r="J155"/>
  <c r="M155"/>
  <c r="O155"/>
  <c r="R155"/>
  <c r="T155"/>
  <c r="W155"/>
  <c r="Y155"/>
  <c r="AB155"/>
  <c r="AD155"/>
  <c r="C156"/>
  <c r="E156"/>
  <c r="H156"/>
  <c r="J156"/>
  <c r="M156"/>
  <c r="O156"/>
  <c r="R156"/>
  <c r="T156"/>
  <c r="W156"/>
  <c r="Y156"/>
  <c r="AB156"/>
  <c r="AD156"/>
  <c r="C159"/>
  <c r="E159"/>
  <c r="H159"/>
  <c r="J159"/>
  <c r="M159"/>
  <c r="O159"/>
  <c r="R159"/>
  <c r="T159"/>
  <c r="W159"/>
  <c r="Y159"/>
  <c r="AB159"/>
  <c r="AD159"/>
  <c r="C160"/>
  <c r="E160"/>
  <c r="H160"/>
  <c r="J160"/>
  <c r="M160"/>
  <c r="O160"/>
  <c r="R160"/>
  <c r="T160"/>
  <c r="W160"/>
  <c r="Y160"/>
  <c r="AB160"/>
  <c r="AD160"/>
  <c r="N123"/>
  <c r="X123"/>
  <c r="I127"/>
  <c r="S127"/>
  <c r="AC127"/>
  <c r="N131"/>
  <c r="X131"/>
  <c r="I135"/>
  <c r="S135"/>
  <c r="AC135"/>
  <c r="D132"/>
  <c r="N139"/>
  <c r="X139"/>
  <c r="N140"/>
  <c r="X140"/>
  <c r="N144"/>
  <c r="X144"/>
  <c r="I123"/>
  <c r="S123"/>
  <c r="AC123"/>
  <c r="N124"/>
  <c r="X124"/>
  <c r="N127"/>
  <c r="X127"/>
  <c r="I128"/>
  <c r="S128"/>
  <c r="AC128"/>
  <c r="E123"/>
  <c r="D128"/>
  <c r="I131"/>
  <c r="S131"/>
  <c r="AC131"/>
  <c r="N132"/>
  <c r="X132"/>
  <c r="N135"/>
  <c r="X135"/>
  <c r="I136"/>
  <c r="S136"/>
  <c r="AC136"/>
  <c r="D131"/>
  <c r="D136"/>
  <c r="I139"/>
  <c r="S139"/>
  <c r="AC139"/>
  <c r="I140"/>
  <c r="S140"/>
  <c r="AC140"/>
  <c r="N143"/>
  <c r="X143"/>
  <c r="I144"/>
  <c r="S144"/>
  <c r="AC144"/>
  <c r="D139"/>
  <c r="D144"/>
  <c r="C139"/>
  <c r="E139"/>
  <c r="H139"/>
  <c r="J139"/>
  <c r="M139"/>
  <c r="O139"/>
  <c r="R139"/>
  <c r="T139"/>
  <c r="W139"/>
  <c r="Y139"/>
  <c r="AB139"/>
  <c r="AD139"/>
  <c r="C140"/>
  <c r="E140"/>
  <c r="H140"/>
  <c r="J140"/>
  <c r="M140"/>
  <c r="O140"/>
  <c r="R140"/>
  <c r="T140"/>
  <c r="W140"/>
  <c r="Y140"/>
  <c r="AB140"/>
  <c r="AD140"/>
  <c r="C143"/>
  <c r="E143"/>
  <c r="H143"/>
  <c r="J143"/>
  <c r="M143"/>
  <c r="O143"/>
  <c r="R143"/>
  <c r="T143"/>
  <c r="W143"/>
  <c r="Y143"/>
  <c r="AB143"/>
  <c r="AD143"/>
  <c r="C144"/>
  <c r="E144"/>
  <c r="H144"/>
  <c r="J144"/>
  <c r="M144"/>
  <c r="O144"/>
  <c r="R144"/>
  <c r="T144"/>
  <c r="W144"/>
  <c r="Y144"/>
  <c r="AB144"/>
  <c r="AD144"/>
  <c r="C131"/>
  <c r="E131"/>
  <c r="H131"/>
  <c r="J131"/>
  <c r="M131"/>
  <c r="O131"/>
  <c r="R131"/>
  <c r="T131"/>
  <c r="W131"/>
  <c r="Y131"/>
  <c r="AB131"/>
  <c r="AD131"/>
  <c r="C132"/>
  <c r="E132"/>
  <c r="H132"/>
  <c r="J132"/>
  <c r="M132"/>
  <c r="O132"/>
  <c r="R132"/>
  <c r="T132"/>
  <c r="W132"/>
  <c r="Y132"/>
  <c r="AB132"/>
  <c r="AD132"/>
  <c r="C135"/>
  <c r="E135"/>
  <c r="H135"/>
  <c r="J135"/>
  <c r="M135"/>
  <c r="O135"/>
  <c r="R135"/>
  <c r="T135"/>
  <c r="W135"/>
  <c r="Y135"/>
  <c r="AB135"/>
  <c r="AD135"/>
  <c r="C136"/>
  <c r="E136"/>
  <c r="H136"/>
  <c r="J136"/>
  <c r="M136"/>
  <c r="O136"/>
  <c r="R136"/>
  <c r="T136"/>
  <c r="W136"/>
  <c r="Y136"/>
  <c r="AB136"/>
  <c r="AD136"/>
  <c r="C123"/>
  <c r="C124"/>
  <c r="AB123"/>
  <c r="M124"/>
  <c r="O123"/>
  <c r="R123"/>
  <c r="W123"/>
  <c r="H124"/>
  <c r="Y124"/>
  <c r="AB124"/>
  <c r="H123"/>
  <c r="M123"/>
  <c r="Y123"/>
  <c r="O124"/>
  <c r="R124"/>
  <c r="W124"/>
  <c r="D124"/>
  <c r="D123"/>
  <c r="C127"/>
  <c r="E127"/>
  <c r="H127"/>
  <c r="J127"/>
  <c r="M127"/>
  <c r="O127"/>
  <c r="R127"/>
  <c r="T127"/>
  <c r="W127"/>
  <c r="Y127"/>
  <c r="AB127"/>
  <c r="AD127"/>
  <c r="C128"/>
  <c r="E128"/>
  <c r="H128"/>
  <c r="J128"/>
  <c r="M128"/>
  <c r="O128"/>
  <c r="R128"/>
  <c r="T128"/>
  <c r="W128"/>
  <c r="Y128"/>
  <c r="AB128"/>
  <c r="AD128"/>
  <c r="J123"/>
  <c r="T123"/>
  <c r="AD123"/>
  <c r="E108"/>
  <c r="N91"/>
  <c r="X91"/>
  <c r="I92"/>
  <c r="S92"/>
  <c r="AC92"/>
  <c r="I95"/>
  <c r="S95"/>
  <c r="AC95"/>
  <c r="N96"/>
  <c r="X96"/>
  <c r="D92"/>
  <c r="D95"/>
  <c r="N99"/>
  <c r="X99"/>
  <c r="N100"/>
  <c r="X100"/>
  <c r="N103"/>
  <c r="X103"/>
  <c r="I104"/>
  <c r="S104"/>
  <c r="AC104"/>
  <c r="D99"/>
  <c r="D104"/>
  <c r="J107"/>
  <c r="T107"/>
  <c r="AD107"/>
  <c r="J108"/>
  <c r="T108"/>
  <c r="AD108"/>
  <c r="O111"/>
  <c r="Y111"/>
  <c r="J112"/>
  <c r="T112"/>
  <c r="AD112"/>
  <c r="E107"/>
  <c r="E112"/>
  <c r="I91"/>
  <c r="S91"/>
  <c r="AC91"/>
  <c r="N92"/>
  <c r="X92"/>
  <c r="N95"/>
  <c r="X95"/>
  <c r="I96"/>
  <c r="S96"/>
  <c r="AC96"/>
  <c r="D91"/>
  <c r="D96"/>
  <c r="I99"/>
  <c r="S99"/>
  <c r="AC99"/>
  <c r="I100"/>
  <c r="S100"/>
  <c r="AC100"/>
  <c r="I103"/>
  <c r="S103"/>
  <c r="AC103"/>
  <c r="N104"/>
  <c r="X104"/>
  <c r="D103"/>
  <c r="O107"/>
  <c r="Y107"/>
  <c r="O108"/>
  <c r="Y108"/>
  <c r="J111"/>
  <c r="T111"/>
  <c r="AD111"/>
  <c r="O112"/>
  <c r="Y112"/>
  <c r="D107"/>
  <c r="I107"/>
  <c r="N107"/>
  <c r="S107"/>
  <c r="X107"/>
  <c r="AC107"/>
  <c r="D108"/>
  <c r="I108"/>
  <c r="N108"/>
  <c r="S108"/>
  <c r="X108"/>
  <c r="AC108"/>
  <c r="D111"/>
  <c r="I111"/>
  <c r="N111"/>
  <c r="S111"/>
  <c r="X111"/>
  <c r="AC111"/>
  <c r="D112"/>
  <c r="I112"/>
  <c r="N112"/>
  <c r="S112"/>
  <c r="X112"/>
  <c r="AC112"/>
  <c r="C107"/>
  <c r="H107"/>
  <c r="M107"/>
  <c r="R107"/>
  <c r="W107"/>
  <c r="AB107"/>
  <c r="C108"/>
  <c r="H108"/>
  <c r="M108"/>
  <c r="R108"/>
  <c r="W108"/>
  <c r="AB108"/>
  <c r="C111"/>
  <c r="H111"/>
  <c r="M111"/>
  <c r="R111"/>
  <c r="W111"/>
  <c r="AB111"/>
  <c r="C112"/>
  <c r="H112"/>
  <c r="M112"/>
  <c r="R112"/>
  <c r="W112"/>
  <c r="AB112"/>
  <c r="C99"/>
  <c r="E99"/>
  <c r="H99"/>
  <c r="J99"/>
  <c r="M99"/>
  <c r="O99"/>
  <c r="R99"/>
  <c r="T99"/>
  <c r="W99"/>
  <c r="Y99"/>
  <c r="AB99"/>
  <c r="AD99"/>
  <c r="C100"/>
  <c r="E100"/>
  <c r="H100"/>
  <c r="J100"/>
  <c r="M100"/>
  <c r="O100"/>
  <c r="R100"/>
  <c r="T100"/>
  <c r="W100"/>
  <c r="Y100"/>
  <c r="AB100"/>
  <c r="AD100"/>
  <c r="C103"/>
  <c r="E103"/>
  <c r="H103"/>
  <c r="J103"/>
  <c r="M103"/>
  <c r="O103"/>
  <c r="R103"/>
  <c r="T103"/>
  <c r="W103"/>
  <c r="Y103"/>
  <c r="AB103"/>
  <c r="AD103"/>
  <c r="C104"/>
  <c r="E104"/>
  <c r="H104"/>
  <c r="J104"/>
  <c r="M104"/>
  <c r="O104"/>
  <c r="R104"/>
  <c r="T104"/>
  <c r="W104"/>
  <c r="Y104"/>
  <c r="AB104"/>
  <c r="AD104"/>
  <c r="C91"/>
  <c r="E91"/>
  <c r="H91"/>
  <c r="J91"/>
  <c r="M91"/>
  <c r="O91"/>
  <c r="R91"/>
  <c r="T91"/>
  <c r="W91"/>
  <c r="Y91"/>
  <c r="AB91"/>
  <c r="AD91"/>
  <c r="C92"/>
  <c r="E92"/>
  <c r="H92"/>
  <c r="J92"/>
  <c r="M92"/>
  <c r="O92"/>
  <c r="R92"/>
  <c r="T92"/>
  <c r="W92"/>
  <c r="Y92"/>
  <c r="AB92"/>
  <c r="AD92"/>
  <c r="C95"/>
  <c r="E95"/>
  <c r="H95"/>
  <c r="J95"/>
  <c r="M95"/>
  <c r="O95"/>
  <c r="R95"/>
  <c r="T95"/>
  <c r="W95"/>
  <c r="Y95"/>
  <c r="AB95"/>
  <c r="AD95"/>
  <c r="C96"/>
  <c r="E96"/>
  <c r="H96"/>
  <c r="J96"/>
  <c r="M96"/>
  <c r="O96"/>
  <c r="R96"/>
  <c r="T96"/>
  <c r="W96"/>
  <c r="Y96"/>
  <c r="AB96"/>
  <c r="AD96"/>
  <c r="B27" i="1" l="1"/>
  <c r="J27" s="1"/>
  <c r="B28"/>
  <c r="J28" s="1"/>
  <c r="B29"/>
  <c r="J29" s="1"/>
  <c r="B30"/>
  <c r="J30" s="1"/>
  <c r="B31"/>
  <c r="J31" s="1"/>
  <c r="B32"/>
  <c r="J32" s="1"/>
  <c r="B33"/>
  <c r="J33" s="1"/>
  <c r="B34"/>
  <c r="J34" s="1"/>
  <c r="B35"/>
  <c r="J35" s="1"/>
  <c r="B36"/>
  <c r="J36" s="1"/>
  <c r="B37"/>
  <c r="J37" s="1"/>
  <c r="B38"/>
  <c r="J38" s="1"/>
  <c r="B39"/>
  <c r="J39" s="1"/>
  <c r="B40"/>
  <c r="J40" s="1"/>
  <c r="B41"/>
  <c r="J41" s="1"/>
  <c r="B42"/>
  <c r="J42" s="1"/>
  <c r="B43"/>
  <c r="J43" s="1"/>
  <c r="B44"/>
  <c r="J44" s="1"/>
  <c r="B45"/>
  <c r="J45" s="1"/>
  <c r="B46"/>
  <c r="J46" s="1"/>
  <c r="B47"/>
  <c r="J47" s="1"/>
  <c r="B48"/>
  <c r="J48" s="1"/>
  <c r="B49"/>
  <c r="J49" s="1"/>
  <c r="B50"/>
  <c r="J50" s="1"/>
  <c r="B51"/>
  <c r="J51" s="1"/>
  <c r="B52"/>
  <c r="J52" s="1"/>
  <c r="B53"/>
  <c r="J53" s="1"/>
  <c r="B54"/>
  <c r="J54" s="1"/>
  <c r="B55"/>
  <c r="J55" s="1"/>
  <c r="B56"/>
  <c r="J56" s="1"/>
  <c r="B57"/>
  <c r="J57" s="1"/>
  <c r="B58"/>
  <c r="J58" s="1"/>
  <c r="B59"/>
  <c r="J59" s="1"/>
  <c r="B60"/>
  <c r="J60" s="1"/>
  <c r="B61"/>
  <c r="J61" s="1"/>
  <c r="B62"/>
  <c r="J62" s="1"/>
  <c r="B63"/>
  <c r="J63" s="1"/>
  <c r="B64"/>
  <c r="J64" s="1"/>
  <c r="B65"/>
  <c r="J65" s="1"/>
  <c r="B66"/>
  <c r="J66" s="1"/>
  <c r="AD246" i="6"/>
  <c r="AC246"/>
  <c r="AD242"/>
  <c r="AC242"/>
  <c r="AD214"/>
  <c r="AC214"/>
  <c r="AD210"/>
  <c r="AC210"/>
  <c r="AD182"/>
  <c r="AC182"/>
  <c r="AD178"/>
  <c r="AC178"/>
  <c r="AD150"/>
  <c r="AC150"/>
  <c r="AD146"/>
  <c r="AC146"/>
  <c r="AD118"/>
  <c r="AC118"/>
  <c r="AD114"/>
  <c r="AC114"/>
  <c r="AD86"/>
  <c r="AC86"/>
  <c r="AD82"/>
  <c r="AC82"/>
  <c r="AD78"/>
  <c r="AC78"/>
  <c r="AD74"/>
  <c r="AC74"/>
  <c r="AD70"/>
  <c r="AC70"/>
  <c r="AD66"/>
  <c r="AC66"/>
  <c r="AD62"/>
  <c r="AC62"/>
  <c r="AD58"/>
  <c r="AC58"/>
  <c r="AD54"/>
  <c r="AC54"/>
  <c r="AD50"/>
  <c r="AC50"/>
  <c r="AD46"/>
  <c r="AC46"/>
  <c r="AD42"/>
  <c r="AC42"/>
  <c r="AD38"/>
  <c r="AC38"/>
  <c r="AD34"/>
  <c r="AC34"/>
  <c r="AD30"/>
  <c r="AC30"/>
  <c r="AD26"/>
  <c r="AC26"/>
  <c r="AD22"/>
  <c r="AC22"/>
  <c r="AD18"/>
  <c r="AC18"/>
  <c r="Y246"/>
  <c r="X246"/>
  <c r="Y242"/>
  <c r="X242"/>
  <c r="Y214"/>
  <c r="X214"/>
  <c r="Y210"/>
  <c r="X210"/>
  <c r="Y182"/>
  <c r="X182"/>
  <c r="Y178"/>
  <c r="X178"/>
  <c r="Y150"/>
  <c r="X150"/>
  <c r="Y146"/>
  <c r="X146"/>
  <c r="Y118"/>
  <c r="X118"/>
  <c r="Y114"/>
  <c r="X114"/>
  <c r="Y86"/>
  <c r="X86"/>
  <c r="Y82"/>
  <c r="X82"/>
  <c r="Y78"/>
  <c r="X78"/>
  <c r="Y74"/>
  <c r="X74"/>
  <c r="Y70"/>
  <c r="X70"/>
  <c r="Y66"/>
  <c r="X66"/>
  <c r="Y62"/>
  <c r="X62"/>
  <c r="Y58"/>
  <c r="X58"/>
  <c r="Y54"/>
  <c r="X54"/>
  <c r="Y50"/>
  <c r="X50"/>
  <c r="Y46"/>
  <c r="X46"/>
  <c r="Y42"/>
  <c r="X42"/>
  <c r="Y38"/>
  <c r="X38"/>
  <c r="Y34"/>
  <c r="X34"/>
  <c r="Y30"/>
  <c r="X30"/>
  <c r="Y26"/>
  <c r="X26"/>
  <c r="Y22"/>
  <c r="X22"/>
  <c r="Y18"/>
  <c r="X18"/>
  <c r="T246"/>
  <c r="S246"/>
  <c r="T242"/>
  <c r="S242"/>
  <c r="T214"/>
  <c r="S214"/>
  <c r="T210"/>
  <c r="S210"/>
  <c r="T182"/>
  <c r="S182"/>
  <c r="T178"/>
  <c r="S178"/>
  <c r="T150"/>
  <c r="S150"/>
  <c r="T146"/>
  <c r="S146"/>
  <c r="T118"/>
  <c r="S118"/>
  <c r="T114"/>
  <c r="S114"/>
  <c r="T86"/>
  <c r="S86"/>
  <c r="T82"/>
  <c r="S82"/>
  <c r="T78"/>
  <c r="S78"/>
  <c r="T74"/>
  <c r="S74"/>
  <c r="T70"/>
  <c r="S70"/>
  <c r="T66"/>
  <c r="S66"/>
  <c r="T62"/>
  <c r="S62"/>
  <c r="T58"/>
  <c r="S58"/>
  <c r="T54"/>
  <c r="S54"/>
  <c r="T50"/>
  <c r="S50"/>
  <c r="T46"/>
  <c r="S46"/>
  <c r="T42"/>
  <c r="S42"/>
  <c r="T38"/>
  <c r="S38"/>
  <c r="T34"/>
  <c r="S34"/>
  <c r="T30"/>
  <c r="S30"/>
  <c r="T26"/>
  <c r="S26"/>
  <c r="T22"/>
  <c r="S22"/>
  <c r="T18"/>
  <c r="S18"/>
  <c r="O246"/>
  <c r="N246"/>
  <c r="O242"/>
  <c r="N242"/>
  <c r="O214"/>
  <c r="N214"/>
  <c r="O210"/>
  <c r="N210"/>
  <c r="O182"/>
  <c r="N182"/>
  <c r="O178"/>
  <c r="N178"/>
  <c r="O150"/>
  <c r="N150"/>
  <c r="O146"/>
  <c r="N146"/>
  <c r="O118"/>
  <c r="N118"/>
  <c r="O114"/>
  <c r="N114"/>
  <c r="O86"/>
  <c r="N86"/>
  <c r="O82"/>
  <c r="N82"/>
  <c r="O78"/>
  <c r="N78"/>
  <c r="O74"/>
  <c r="N74"/>
  <c r="O70"/>
  <c r="N70"/>
  <c r="O66"/>
  <c r="N66"/>
  <c r="O62"/>
  <c r="N62"/>
  <c r="O58"/>
  <c r="N58"/>
  <c r="O54"/>
  <c r="N54"/>
  <c r="O50"/>
  <c r="N50"/>
  <c r="O46"/>
  <c r="N46"/>
  <c r="O42"/>
  <c r="N42"/>
  <c r="O38"/>
  <c r="N38"/>
  <c r="O34"/>
  <c r="N34"/>
  <c r="O30"/>
  <c r="N30"/>
  <c r="O26"/>
  <c r="N26"/>
  <c r="O22"/>
  <c r="N22"/>
  <c r="O18"/>
  <c r="N18"/>
  <c r="J246"/>
  <c r="I246"/>
  <c r="J242"/>
  <c r="I242"/>
  <c r="J214"/>
  <c r="I214"/>
  <c r="J210"/>
  <c r="I210"/>
  <c r="J182"/>
  <c r="I182"/>
  <c r="J178"/>
  <c r="I178"/>
  <c r="J150"/>
  <c r="I150"/>
  <c r="J146"/>
  <c r="I146"/>
  <c r="J118"/>
  <c r="I118"/>
  <c r="J114"/>
  <c r="I114"/>
  <c r="J86"/>
  <c r="I86"/>
  <c r="J82"/>
  <c r="I82"/>
  <c r="J78"/>
  <c r="I78"/>
  <c r="J74"/>
  <c r="I74"/>
  <c r="J70"/>
  <c r="I70"/>
  <c r="J66"/>
  <c r="I66"/>
  <c r="J62"/>
  <c r="I62"/>
  <c r="J58"/>
  <c r="I58"/>
  <c r="J54"/>
  <c r="I54"/>
  <c r="J50"/>
  <c r="I50"/>
  <c r="J46"/>
  <c r="I46"/>
  <c r="J42"/>
  <c r="I42"/>
  <c r="J38"/>
  <c r="I38"/>
  <c r="J34"/>
  <c r="I34"/>
  <c r="J30"/>
  <c r="I30"/>
  <c r="J26"/>
  <c r="I26"/>
  <c r="J22"/>
  <c r="I22"/>
  <c r="J18"/>
  <c r="I18"/>
  <c r="E246"/>
  <c r="D246"/>
  <c r="E242"/>
  <c r="D242"/>
  <c r="E214"/>
  <c r="D214"/>
  <c r="E210"/>
  <c r="D210"/>
  <c r="E182"/>
  <c r="D182"/>
  <c r="E178"/>
  <c r="D178"/>
  <c r="E150"/>
  <c r="D150"/>
  <c r="E146"/>
  <c r="D146"/>
  <c r="E118"/>
  <c r="D118"/>
  <c r="E114"/>
  <c r="D114"/>
  <c r="E86"/>
  <c r="D86"/>
  <c r="E82"/>
  <c r="D82"/>
  <c r="E78"/>
  <c r="D78"/>
  <c r="E74"/>
  <c r="D74"/>
  <c r="E70"/>
  <c r="D70"/>
  <c r="E66"/>
  <c r="D66"/>
  <c r="E62"/>
  <c r="D62"/>
  <c r="E58"/>
  <c r="D58"/>
  <c r="E54"/>
  <c r="D54"/>
  <c r="E50"/>
  <c r="D50"/>
  <c r="E46"/>
  <c r="D46"/>
  <c r="E38"/>
  <c r="D38"/>
  <c r="E34"/>
  <c r="D34"/>
  <c r="E30"/>
  <c r="D30"/>
  <c r="E26"/>
  <c r="D26"/>
  <c r="E22"/>
  <c r="D22"/>
  <c r="E18"/>
  <c r="D18"/>
  <c r="B242" l="1"/>
  <c r="L242"/>
  <c r="V242"/>
  <c r="B243"/>
  <c r="G243"/>
  <c r="L243"/>
  <c r="Q243"/>
  <c r="V243"/>
  <c r="B244"/>
  <c r="G244"/>
  <c r="L244"/>
  <c r="Q244"/>
  <c r="V244"/>
  <c r="B246"/>
  <c r="G246"/>
  <c r="L246"/>
  <c r="Q246"/>
  <c r="V246"/>
  <c r="B247"/>
  <c r="G247"/>
  <c r="L247"/>
  <c r="Q247"/>
  <c r="V247"/>
  <c r="B248"/>
  <c r="G248"/>
  <c r="L248"/>
  <c r="Q248"/>
  <c r="V248"/>
  <c r="B146"/>
  <c r="G146"/>
  <c r="L146"/>
  <c r="Q146"/>
  <c r="V146"/>
  <c r="AA146"/>
  <c r="B147"/>
  <c r="G147"/>
  <c r="L147"/>
  <c r="Q147"/>
  <c r="V147"/>
  <c r="AA147"/>
  <c r="B148"/>
  <c r="G148"/>
  <c r="L148"/>
  <c r="Q148"/>
  <c r="V148"/>
  <c r="AA148"/>
  <c r="B150"/>
  <c r="G150"/>
  <c r="L150"/>
  <c r="Q150"/>
  <c r="V150"/>
  <c r="AA150"/>
  <c r="B151"/>
  <c r="G151"/>
  <c r="L151"/>
  <c r="Q151"/>
  <c r="V151"/>
  <c r="AA151"/>
  <c r="B152"/>
  <c r="G152"/>
  <c r="L152"/>
  <c r="Q152"/>
  <c r="V152"/>
  <c r="AA152"/>
  <c r="B178"/>
  <c r="G178"/>
  <c r="L178"/>
  <c r="V178"/>
  <c r="B179"/>
  <c r="G179"/>
  <c r="L179"/>
  <c r="Q179"/>
  <c r="V179"/>
  <c r="B180"/>
  <c r="G180"/>
  <c r="L180"/>
  <c r="Q180"/>
  <c r="V180"/>
  <c r="B182"/>
  <c r="G182"/>
  <c r="L182"/>
  <c r="Q182"/>
  <c r="V182"/>
  <c r="B183"/>
  <c r="G183"/>
  <c r="L183"/>
  <c r="Q183"/>
  <c r="V183"/>
  <c r="B184"/>
  <c r="G184"/>
  <c r="L184"/>
  <c r="Q184"/>
  <c r="V184"/>
  <c r="B210"/>
  <c r="G210"/>
  <c r="L210"/>
  <c r="Q210"/>
  <c r="B211"/>
  <c r="G211"/>
  <c r="L211"/>
  <c r="Q211"/>
  <c r="V211"/>
  <c r="B212"/>
  <c r="G212"/>
  <c r="L212"/>
  <c r="Q212"/>
  <c r="V212"/>
  <c r="B214"/>
  <c r="G214"/>
  <c r="L214"/>
  <c r="Q214"/>
  <c r="V214"/>
  <c r="B215"/>
  <c r="G215"/>
  <c r="L215"/>
  <c r="Q215"/>
  <c r="V215"/>
  <c r="B216"/>
  <c r="G216"/>
  <c r="L216"/>
  <c r="Q216"/>
  <c r="V216"/>
  <c r="B114"/>
  <c r="G114"/>
  <c r="L114"/>
  <c r="V114"/>
  <c r="AA114"/>
  <c r="B115"/>
  <c r="G115"/>
  <c r="L115"/>
  <c r="Q115"/>
  <c r="V115"/>
  <c r="AA115"/>
  <c r="B116"/>
  <c r="G116"/>
  <c r="L116"/>
  <c r="Q116"/>
  <c r="V116"/>
  <c r="AA116"/>
  <c r="B118"/>
  <c r="G118"/>
  <c r="L118"/>
  <c r="Q118"/>
  <c r="V118"/>
  <c r="AA118"/>
  <c r="B119"/>
  <c r="G119"/>
  <c r="L119"/>
  <c r="Q119"/>
  <c r="V119"/>
  <c r="AA119"/>
  <c r="B120"/>
  <c r="G120"/>
  <c r="L120"/>
  <c r="Q120"/>
  <c r="V120"/>
  <c r="AA120"/>
  <c r="B6" i="5"/>
  <c r="B8" i="1"/>
  <c r="B9"/>
  <c r="B10"/>
  <c r="B11"/>
  <c r="B12"/>
  <c r="B13"/>
  <c r="B14"/>
  <c r="B15"/>
  <c r="J15" s="1"/>
  <c r="B16"/>
  <c r="J16" s="1"/>
  <c r="B17"/>
  <c r="J17" s="1"/>
  <c r="B18"/>
  <c r="J18" s="1"/>
  <c r="B19"/>
  <c r="J19" s="1"/>
  <c r="B20"/>
  <c r="J20" s="1"/>
  <c r="B21"/>
  <c r="J21" s="1"/>
  <c r="B22"/>
  <c r="J22" s="1"/>
  <c r="B23"/>
  <c r="J23" s="1"/>
  <c r="B24"/>
  <c r="J24" s="1"/>
  <c r="B25"/>
  <c r="J25" s="1"/>
  <c r="B26"/>
  <c r="J26" s="1"/>
  <c r="B7"/>
  <c r="J14" l="1"/>
  <c r="J13"/>
  <c r="J11"/>
  <c r="J9"/>
  <c r="J12"/>
  <c r="J10"/>
  <c r="J8"/>
  <c r="J7"/>
  <c r="X120" i="6"/>
  <c r="Y120"/>
  <c r="W120"/>
  <c r="O120"/>
  <c r="M120"/>
  <c r="N120"/>
  <c r="D120"/>
  <c r="E120"/>
  <c r="C120"/>
  <c r="Y119"/>
  <c r="W119"/>
  <c r="X119"/>
  <c r="N119"/>
  <c r="O119"/>
  <c r="M119"/>
  <c r="E119"/>
  <c r="C119"/>
  <c r="D119"/>
  <c r="X116"/>
  <c r="Y116"/>
  <c r="W116"/>
  <c r="O116"/>
  <c r="M116"/>
  <c r="N116"/>
  <c r="D116"/>
  <c r="E116"/>
  <c r="C116"/>
  <c r="Y115"/>
  <c r="W115"/>
  <c r="X115"/>
  <c r="N115"/>
  <c r="O115"/>
  <c r="M115"/>
  <c r="E115"/>
  <c r="C115"/>
  <c r="D115"/>
  <c r="X216"/>
  <c r="Y216"/>
  <c r="W216"/>
  <c r="O216"/>
  <c r="M216"/>
  <c r="N216"/>
  <c r="D216"/>
  <c r="E216"/>
  <c r="C216"/>
  <c r="Y215"/>
  <c r="W215"/>
  <c r="X215"/>
  <c r="N215"/>
  <c r="O215"/>
  <c r="M215"/>
  <c r="E215"/>
  <c r="C215"/>
  <c r="D215"/>
  <c r="X212"/>
  <c r="Y212"/>
  <c r="W212"/>
  <c r="O212"/>
  <c r="M212"/>
  <c r="N212"/>
  <c r="D212"/>
  <c r="E212"/>
  <c r="C212"/>
  <c r="Y211"/>
  <c r="W211"/>
  <c r="X211"/>
  <c r="N211"/>
  <c r="O211"/>
  <c r="M211"/>
  <c r="E211"/>
  <c r="C211"/>
  <c r="D211"/>
  <c r="X184"/>
  <c r="Y184"/>
  <c r="W184"/>
  <c r="O184"/>
  <c r="M184"/>
  <c r="N184"/>
  <c r="D184"/>
  <c r="E184"/>
  <c r="C184"/>
  <c r="Y183"/>
  <c r="W183"/>
  <c r="X183"/>
  <c r="N183"/>
  <c r="O183"/>
  <c r="M183"/>
  <c r="E183"/>
  <c r="C183"/>
  <c r="D183"/>
  <c r="X180"/>
  <c r="Y180"/>
  <c r="W180"/>
  <c r="O180"/>
  <c r="M180"/>
  <c r="N180"/>
  <c r="D180"/>
  <c r="E180"/>
  <c r="C180"/>
  <c r="Y179"/>
  <c r="W179"/>
  <c r="X179"/>
  <c r="N179"/>
  <c r="O179"/>
  <c r="M179"/>
  <c r="E179"/>
  <c r="C179"/>
  <c r="D179"/>
  <c r="X152"/>
  <c r="Y152"/>
  <c r="W152"/>
  <c r="O152"/>
  <c r="M152"/>
  <c r="N152"/>
  <c r="D152"/>
  <c r="E152"/>
  <c r="C152"/>
  <c r="Y151"/>
  <c r="W151"/>
  <c r="X151"/>
  <c r="N151"/>
  <c r="O151"/>
  <c r="M151"/>
  <c r="E151"/>
  <c r="C151"/>
  <c r="D151"/>
  <c r="X148"/>
  <c r="Y148"/>
  <c r="W148"/>
  <c r="O148"/>
  <c r="M148"/>
  <c r="N148"/>
  <c r="D148"/>
  <c r="E148"/>
  <c r="C148"/>
  <c r="Y147"/>
  <c r="W147"/>
  <c r="X147"/>
  <c r="N147"/>
  <c r="O147"/>
  <c r="M147"/>
  <c r="E147"/>
  <c r="C147"/>
  <c r="D147"/>
  <c r="X248"/>
  <c r="Y248"/>
  <c r="W248"/>
  <c r="O248"/>
  <c r="M248"/>
  <c r="N248"/>
  <c r="D248"/>
  <c r="E248"/>
  <c r="C248"/>
  <c r="Y247"/>
  <c r="W247"/>
  <c r="X247"/>
  <c r="N247"/>
  <c r="O247"/>
  <c r="M247"/>
  <c r="E247"/>
  <c r="C247"/>
  <c r="D247"/>
  <c r="X244"/>
  <c r="Y244"/>
  <c r="W244"/>
  <c r="O244"/>
  <c r="M244"/>
  <c r="N244"/>
  <c r="D244"/>
  <c r="E244"/>
  <c r="C244"/>
  <c r="Y243"/>
  <c r="W243"/>
  <c r="X243"/>
  <c r="N243"/>
  <c r="O243"/>
  <c r="M243"/>
  <c r="E243"/>
  <c r="C243"/>
  <c r="D243"/>
  <c r="AC120"/>
  <c r="AD120"/>
  <c r="AB120"/>
  <c r="S120"/>
  <c r="T120"/>
  <c r="R120"/>
  <c r="J120"/>
  <c r="H120"/>
  <c r="I120"/>
  <c r="AD119"/>
  <c r="AB119"/>
  <c r="AC119"/>
  <c r="T119"/>
  <c r="R119"/>
  <c r="S119"/>
  <c r="I119"/>
  <c r="J119"/>
  <c r="H119"/>
  <c r="AC116"/>
  <c r="AD116"/>
  <c r="AB116"/>
  <c r="S116"/>
  <c r="T116"/>
  <c r="R116"/>
  <c r="J116"/>
  <c r="H116"/>
  <c r="I116"/>
  <c r="AD115"/>
  <c r="AB115"/>
  <c r="AC115"/>
  <c r="T115"/>
  <c r="R115"/>
  <c r="S115"/>
  <c r="I115"/>
  <c r="J115"/>
  <c r="H115"/>
  <c r="AC216"/>
  <c r="AD216"/>
  <c r="AB216"/>
  <c r="S216"/>
  <c r="T216"/>
  <c r="R216"/>
  <c r="J216"/>
  <c r="H216"/>
  <c r="I216"/>
  <c r="AD215"/>
  <c r="AB215"/>
  <c r="AC215"/>
  <c r="T215"/>
  <c r="R215"/>
  <c r="S215"/>
  <c r="I215"/>
  <c r="J215"/>
  <c r="H215"/>
  <c r="AC212"/>
  <c r="AD212"/>
  <c r="AB212"/>
  <c r="S212"/>
  <c r="T212"/>
  <c r="R212"/>
  <c r="J212"/>
  <c r="H212"/>
  <c r="I212"/>
  <c r="AD211"/>
  <c r="AB211"/>
  <c r="AC211"/>
  <c r="T211"/>
  <c r="R211"/>
  <c r="S211"/>
  <c r="I211"/>
  <c r="J211"/>
  <c r="H211"/>
  <c r="AC184"/>
  <c r="AD184"/>
  <c r="AB184"/>
  <c r="S184"/>
  <c r="T184"/>
  <c r="R184"/>
  <c r="J184"/>
  <c r="H184"/>
  <c r="I184"/>
  <c r="AD183"/>
  <c r="AB183"/>
  <c r="AC183"/>
  <c r="T183"/>
  <c r="R183"/>
  <c r="S183"/>
  <c r="I183"/>
  <c r="J183"/>
  <c r="H183"/>
  <c r="AC180"/>
  <c r="AD180"/>
  <c r="AB180"/>
  <c r="S180"/>
  <c r="T180"/>
  <c r="R180"/>
  <c r="J180"/>
  <c r="H180"/>
  <c r="I180"/>
  <c r="AD179"/>
  <c r="AB179"/>
  <c r="AC179"/>
  <c r="T179"/>
  <c r="R179"/>
  <c r="S179"/>
  <c r="I179"/>
  <c r="J179"/>
  <c r="H179"/>
  <c r="AC152"/>
  <c r="AD152"/>
  <c r="AB152"/>
  <c r="S152"/>
  <c r="T152"/>
  <c r="R152"/>
  <c r="J152"/>
  <c r="H152"/>
  <c r="I152"/>
  <c r="AD151"/>
  <c r="AB151"/>
  <c r="AC151"/>
  <c r="T151"/>
  <c r="R151"/>
  <c r="S151"/>
  <c r="I151"/>
  <c r="J151"/>
  <c r="H151"/>
  <c r="AC148"/>
  <c r="AD148"/>
  <c r="AB148"/>
  <c r="S148"/>
  <c r="T148"/>
  <c r="R148"/>
  <c r="J148"/>
  <c r="H148"/>
  <c r="I148"/>
  <c r="AD147"/>
  <c r="AB147"/>
  <c r="AC147"/>
  <c r="T147"/>
  <c r="R147"/>
  <c r="S147"/>
  <c r="I147"/>
  <c r="J147"/>
  <c r="H147"/>
  <c r="AC248"/>
  <c r="AD248"/>
  <c r="AB248"/>
  <c r="S248"/>
  <c r="T248"/>
  <c r="R248"/>
  <c r="J248"/>
  <c r="H248"/>
  <c r="I248"/>
  <c r="AD247"/>
  <c r="AB247"/>
  <c r="AC247"/>
  <c r="T247"/>
  <c r="R247"/>
  <c r="S247"/>
  <c r="I247"/>
  <c r="J247"/>
  <c r="H247"/>
  <c r="AC244"/>
  <c r="AD244"/>
  <c r="AB244"/>
  <c r="S244"/>
  <c r="T244"/>
  <c r="R244"/>
  <c r="J244"/>
  <c r="H244"/>
  <c r="I244"/>
  <c r="AD243"/>
  <c r="AB243"/>
  <c r="AC243"/>
  <c r="T243"/>
  <c r="R243"/>
  <c r="S243"/>
  <c r="I243"/>
  <c r="J243"/>
  <c r="H243"/>
  <c r="G28"/>
  <c r="H28" l="1"/>
  <c r="I28"/>
  <c r="J28"/>
  <c r="AD14"/>
  <c r="AC14"/>
  <c r="AD10"/>
  <c r="AC10"/>
  <c r="Y14"/>
  <c r="X14"/>
  <c r="Y10"/>
  <c r="X10"/>
  <c r="T14"/>
  <c r="S14"/>
  <c r="T10"/>
  <c r="S10"/>
  <c r="O14"/>
  <c r="N14"/>
  <c r="O10"/>
  <c r="N10"/>
  <c r="J14"/>
  <c r="I14"/>
  <c r="J10"/>
  <c r="I10"/>
  <c r="E14"/>
  <c r="D14"/>
  <c r="E10"/>
  <c r="D10"/>
  <c r="AA88" l="1"/>
  <c r="AA84"/>
  <c r="AA80"/>
  <c r="AA76"/>
  <c r="AA72"/>
  <c r="AA68"/>
  <c r="AA64"/>
  <c r="AA60"/>
  <c r="AA56"/>
  <c r="AA52"/>
  <c r="AA48"/>
  <c r="AA44"/>
  <c r="AA40"/>
  <c r="AA36"/>
  <c r="AA32"/>
  <c r="AA28"/>
  <c r="AA24"/>
  <c r="AA20"/>
  <c r="AA16"/>
  <c r="AA12"/>
  <c r="V88"/>
  <c r="V84"/>
  <c r="V80"/>
  <c r="V76"/>
  <c r="V72"/>
  <c r="V68"/>
  <c r="V64"/>
  <c r="V63"/>
  <c r="V60"/>
  <c r="V56"/>
  <c r="V52"/>
  <c r="V48"/>
  <c r="V44"/>
  <c r="V40"/>
  <c r="V36"/>
  <c r="V32"/>
  <c r="V28"/>
  <c r="V24"/>
  <c r="V20"/>
  <c r="V16"/>
  <c r="V12"/>
  <c r="Q88"/>
  <c r="Q84"/>
  <c r="Q80"/>
  <c r="Q76"/>
  <c r="Q72"/>
  <c r="Q68"/>
  <c r="Q64"/>
  <c r="Q60"/>
  <c r="Q56"/>
  <c r="Q52"/>
  <c r="Q48"/>
  <c r="Q44"/>
  <c r="Q40"/>
  <c r="Q36"/>
  <c r="Q32"/>
  <c r="Q28"/>
  <c r="Q27"/>
  <c r="Q24"/>
  <c r="Q20"/>
  <c r="Q16"/>
  <c r="Q12"/>
  <c r="L88"/>
  <c r="L84"/>
  <c r="L80"/>
  <c r="L76"/>
  <c r="L72"/>
  <c r="L68"/>
  <c r="L67"/>
  <c r="L64"/>
  <c r="L60"/>
  <c r="L56"/>
  <c r="L52"/>
  <c r="L48"/>
  <c r="L44"/>
  <c r="L40"/>
  <c r="L36"/>
  <c r="L32"/>
  <c r="L28"/>
  <c r="L24"/>
  <c r="L20"/>
  <c r="L16"/>
  <c r="M16" s="1"/>
  <c r="L12"/>
  <c r="AB12"/>
  <c r="G88"/>
  <c r="G84"/>
  <c r="G80"/>
  <c r="G76"/>
  <c r="G72"/>
  <c r="G68"/>
  <c r="G64"/>
  <c r="G60"/>
  <c r="G56"/>
  <c r="G52"/>
  <c r="G48"/>
  <c r="G44"/>
  <c r="G40"/>
  <c r="G36"/>
  <c r="G32"/>
  <c r="G24"/>
  <c r="G20"/>
  <c r="G16"/>
  <c r="G11"/>
  <c r="B88"/>
  <c r="B84"/>
  <c r="B80"/>
  <c r="B76"/>
  <c r="B72"/>
  <c r="B68"/>
  <c r="B64"/>
  <c r="B60"/>
  <c r="B56"/>
  <c r="B52"/>
  <c r="B48"/>
  <c r="B44"/>
  <c r="B40"/>
  <c r="B36"/>
  <c r="B32"/>
  <c r="B28"/>
  <c r="B24"/>
  <c r="B20"/>
  <c r="B16"/>
  <c r="B86"/>
  <c r="G86"/>
  <c r="L86"/>
  <c r="Q86"/>
  <c r="V86"/>
  <c r="AA86"/>
  <c r="G12"/>
  <c r="B12"/>
  <c r="Q10"/>
  <c r="C20" l="1"/>
  <c r="E20"/>
  <c r="D20"/>
  <c r="C28"/>
  <c r="E28"/>
  <c r="D28"/>
  <c r="C36"/>
  <c r="E36"/>
  <c r="D36"/>
  <c r="E44"/>
  <c r="C52"/>
  <c r="D52"/>
  <c r="E52"/>
  <c r="C60"/>
  <c r="D60"/>
  <c r="E60"/>
  <c r="C68"/>
  <c r="E68"/>
  <c r="D68"/>
  <c r="C76"/>
  <c r="D76"/>
  <c r="E76"/>
  <c r="C84"/>
  <c r="E84"/>
  <c r="D84"/>
  <c r="J11"/>
  <c r="H11"/>
  <c r="I11"/>
  <c r="H20"/>
  <c r="J20"/>
  <c r="I20"/>
  <c r="H32"/>
  <c r="I32"/>
  <c r="J32"/>
  <c r="H40"/>
  <c r="I40"/>
  <c r="J40"/>
  <c r="H48"/>
  <c r="I48"/>
  <c r="J48"/>
  <c r="H56"/>
  <c r="I56"/>
  <c r="J56"/>
  <c r="H64"/>
  <c r="I64"/>
  <c r="J64"/>
  <c r="H72"/>
  <c r="I72"/>
  <c r="J72"/>
  <c r="H80"/>
  <c r="I80"/>
  <c r="J80"/>
  <c r="H88"/>
  <c r="I88"/>
  <c r="J88"/>
  <c r="M20"/>
  <c r="O20"/>
  <c r="N20"/>
  <c r="M28"/>
  <c r="N28"/>
  <c r="O28"/>
  <c r="M36"/>
  <c r="N36"/>
  <c r="O36"/>
  <c r="M44"/>
  <c r="N44"/>
  <c r="O44"/>
  <c r="M52"/>
  <c r="O52"/>
  <c r="N52"/>
  <c r="M60"/>
  <c r="O60"/>
  <c r="N60"/>
  <c r="O67"/>
  <c r="M67"/>
  <c r="N67"/>
  <c r="M72"/>
  <c r="N72"/>
  <c r="O72"/>
  <c r="M80"/>
  <c r="N80"/>
  <c r="O80"/>
  <c r="M88"/>
  <c r="N88"/>
  <c r="O88"/>
  <c r="R24"/>
  <c r="S24"/>
  <c r="T24"/>
  <c r="R28"/>
  <c r="S28"/>
  <c r="T28"/>
  <c r="R36"/>
  <c r="T36"/>
  <c r="S36"/>
  <c r="R44"/>
  <c r="T44"/>
  <c r="S44"/>
  <c r="R52"/>
  <c r="S52"/>
  <c r="T52"/>
  <c r="R60"/>
  <c r="S60"/>
  <c r="T60"/>
  <c r="R68"/>
  <c r="S68"/>
  <c r="T68"/>
  <c r="R76"/>
  <c r="S76"/>
  <c r="T76"/>
  <c r="R84"/>
  <c r="S84"/>
  <c r="T84"/>
  <c r="X20"/>
  <c r="Y20"/>
  <c r="W20"/>
  <c r="X28"/>
  <c r="Y28"/>
  <c r="W28"/>
  <c r="X36"/>
  <c r="Y36"/>
  <c r="W36"/>
  <c r="X44"/>
  <c r="Y44"/>
  <c r="W44"/>
  <c r="X52"/>
  <c r="Y52"/>
  <c r="W52"/>
  <c r="X60"/>
  <c r="Y60"/>
  <c r="W60"/>
  <c r="X64"/>
  <c r="Y64"/>
  <c r="W64"/>
  <c r="X72"/>
  <c r="Y72"/>
  <c r="W72"/>
  <c r="X80"/>
  <c r="Y80"/>
  <c r="W80"/>
  <c r="X88"/>
  <c r="Y88"/>
  <c r="W88"/>
  <c r="AC24"/>
  <c r="AD24"/>
  <c r="AB24"/>
  <c r="AC32"/>
  <c r="AD32"/>
  <c r="AB32"/>
  <c r="AC40"/>
  <c r="AD40"/>
  <c r="AB40"/>
  <c r="AC48"/>
  <c r="AD48"/>
  <c r="AB48"/>
  <c r="AC56"/>
  <c r="AD56"/>
  <c r="AB56"/>
  <c r="AC64"/>
  <c r="AD64"/>
  <c r="AB64"/>
  <c r="AC72"/>
  <c r="AD72"/>
  <c r="AB72"/>
  <c r="AC80"/>
  <c r="AD80"/>
  <c r="AB80"/>
  <c r="AC88"/>
  <c r="AD88"/>
  <c r="AB88"/>
  <c r="C24"/>
  <c r="D24"/>
  <c r="E24"/>
  <c r="C32"/>
  <c r="D32"/>
  <c r="E32"/>
  <c r="D40"/>
  <c r="E40"/>
  <c r="C48"/>
  <c r="D48"/>
  <c r="E48"/>
  <c r="C56"/>
  <c r="D56"/>
  <c r="E56"/>
  <c r="C64"/>
  <c r="D64"/>
  <c r="E64"/>
  <c r="C72"/>
  <c r="D72"/>
  <c r="E72"/>
  <c r="C80"/>
  <c r="D80"/>
  <c r="E80"/>
  <c r="C88"/>
  <c r="D88"/>
  <c r="E88"/>
  <c r="H24"/>
  <c r="I24"/>
  <c r="J24"/>
  <c r="H36"/>
  <c r="J36"/>
  <c r="I36"/>
  <c r="H44"/>
  <c r="I44"/>
  <c r="J44"/>
  <c r="H52"/>
  <c r="J52"/>
  <c r="I52"/>
  <c r="H60"/>
  <c r="J60"/>
  <c r="I60"/>
  <c r="H68"/>
  <c r="I68"/>
  <c r="J68"/>
  <c r="H76"/>
  <c r="J76"/>
  <c r="I76"/>
  <c r="H84"/>
  <c r="J84"/>
  <c r="I84"/>
  <c r="M24"/>
  <c r="N24"/>
  <c r="O24"/>
  <c r="M32"/>
  <c r="N32"/>
  <c r="O32"/>
  <c r="M40"/>
  <c r="N40"/>
  <c r="O40"/>
  <c r="M48"/>
  <c r="N48"/>
  <c r="O48"/>
  <c r="M56"/>
  <c r="N56"/>
  <c r="O56"/>
  <c r="M64"/>
  <c r="N64"/>
  <c r="O64"/>
  <c r="M68"/>
  <c r="N68"/>
  <c r="O68"/>
  <c r="M76"/>
  <c r="N76"/>
  <c r="O76"/>
  <c r="M84"/>
  <c r="O84"/>
  <c r="N84"/>
  <c r="R20"/>
  <c r="S20"/>
  <c r="T20"/>
  <c r="R27"/>
  <c r="S27"/>
  <c r="T27"/>
  <c r="R32"/>
  <c r="S32"/>
  <c r="T32"/>
  <c r="R40"/>
  <c r="S40"/>
  <c r="T40"/>
  <c r="R48"/>
  <c r="S48"/>
  <c r="T48"/>
  <c r="R56"/>
  <c r="S56"/>
  <c r="T56"/>
  <c r="R64"/>
  <c r="S64"/>
  <c r="T64"/>
  <c r="R72"/>
  <c r="S72"/>
  <c r="T72"/>
  <c r="R80"/>
  <c r="S80"/>
  <c r="T80"/>
  <c r="R88"/>
  <c r="S88"/>
  <c r="T88"/>
  <c r="X24"/>
  <c r="Y24"/>
  <c r="W24"/>
  <c r="X32"/>
  <c r="Y32"/>
  <c r="W32"/>
  <c r="X40"/>
  <c r="Y40"/>
  <c r="W40"/>
  <c r="X48"/>
  <c r="Y48"/>
  <c r="W48"/>
  <c r="X56"/>
  <c r="Y56"/>
  <c r="W56"/>
  <c r="Y63"/>
  <c r="W63"/>
  <c r="X63"/>
  <c r="X68"/>
  <c r="Y68"/>
  <c r="W68"/>
  <c r="X76"/>
  <c r="Y76"/>
  <c r="W76"/>
  <c r="X84"/>
  <c r="Y84"/>
  <c r="W84"/>
  <c r="AC20"/>
  <c r="AD20"/>
  <c r="AB20"/>
  <c r="AC28"/>
  <c r="AD28"/>
  <c r="AB28"/>
  <c r="AC36"/>
  <c r="AD36"/>
  <c r="AB36"/>
  <c r="AC44"/>
  <c r="AD44"/>
  <c r="AB44"/>
  <c r="AC52"/>
  <c r="AD52"/>
  <c r="AB52"/>
  <c r="AC60"/>
  <c r="AD60"/>
  <c r="AB60"/>
  <c r="AC68"/>
  <c r="AD68"/>
  <c r="AB68"/>
  <c r="AC76"/>
  <c r="AD76"/>
  <c r="AB76"/>
  <c r="AC84"/>
  <c r="AD84"/>
  <c r="AB84"/>
  <c r="AC12"/>
  <c r="AD12"/>
  <c r="AC16"/>
  <c r="AD16"/>
  <c r="X12"/>
  <c r="Y12"/>
  <c r="X16"/>
  <c r="Y16"/>
  <c r="S12"/>
  <c r="T12"/>
  <c r="R16"/>
  <c r="S16"/>
  <c r="T16"/>
  <c r="R12"/>
  <c r="N12"/>
  <c r="O12"/>
  <c r="N16"/>
  <c r="O16"/>
  <c r="J12"/>
  <c r="I12"/>
  <c r="H12"/>
  <c r="J16"/>
  <c r="I16"/>
  <c r="E12"/>
  <c r="D12"/>
  <c r="E16"/>
  <c r="D16"/>
  <c r="H16"/>
  <c r="AB16"/>
  <c r="W16"/>
  <c r="W12"/>
  <c r="M12"/>
  <c r="C12"/>
  <c r="C16"/>
  <c r="AA75" l="1"/>
  <c r="V87"/>
  <c r="V83"/>
  <c r="V82"/>
  <c r="V79"/>
  <c r="V78"/>
  <c r="V75"/>
  <c r="V74"/>
  <c r="V71"/>
  <c r="V70"/>
  <c r="V67"/>
  <c r="V66"/>
  <c r="L87"/>
  <c r="L83"/>
  <c r="L82"/>
  <c r="L79"/>
  <c r="L78"/>
  <c r="L75"/>
  <c r="L74"/>
  <c r="L71"/>
  <c r="L70"/>
  <c r="L66"/>
  <c r="B87"/>
  <c r="B83"/>
  <c r="B82"/>
  <c r="B79"/>
  <c r="B78"/>
  <c r="B75"/>
  <c r="B74"/>
  <c r="AA79"/>
  <c r="AA83"/>
  <c r="AA87"/>
  <c r="AA82"/>
  <c r="AA11"/>
  <c r="AA18"/>
  <c r="AA78"/>
  <c r="AA26"/>
  <c r="AA34"/>
  <c r="AA38"/>
  <c r="AA42"/>
  <c r="AA50"/>
  <c r="AA54"/>
  <c r="AA58"/>
  <c r="AA66"/>
  <c r="AA70"/>
  <c r="AA74"/>
  <c r="AA15"/>
  <c r="AA51"/>
  <c r="AA27"/>
  <c r="AA31"/>
  <c r="AA39"/>
  <c r="AA43"/>
  <c r="AA47"/>
  <c r="AA55"/>
  <c r="AA59"/>
  <c r="AA63"/>
  <c r="AA71"/>
  <c r="L47"/>
  <c r="L55"/>
  <c r="L54"/>
  <c r="L51"/>
  <c r="L50"/>
  <c r="L46"/>
  <c r="L43"/>
  <c r="L42"/>
  <c r="L39"/>
  <c r="L38"/>
  <c r="L35"/>
  <c r="L34"/>
  <c r="L63"/>
  <c r="L62"/>
  <c r="L59"/>
  <c r="L58"/>
  <c r="AA10"/>
  <c r="L10"/>
  <c r="L11"/>
  <c r="L14"/>
  <c r="L15"/>
  <c r="L18"/>
  <c r="L19"/>
  <c r="L22"/>
  <c r="L23"/>
  <c r="L26"/>
  <c r="L27"/>
  <c r="L30"/>
  <c r="L31"/>
  <c r="J35" i="5" l="1"/>
  <c r="J31"/>
  <c r="K31"/>
  <c r="I31"/>
  <c r="J27"/>
  <c r="K27"/>
  <c r="I27"/>
  <c r="K64"/>
  <c r="I62"/>
  <c r="J62"/>
  <c r="K60"/>
  <c r="I58"/>
  <c r="J58"/>
  <c r="K56"/>
  <c r="I54"/>
  <c r="K52"/>
  <c r="I50"/>
  <c r="J50"/>
  <c r="K48"/>
  <c r="I46"/>
  <c r="J46"/>
  <c r="K44"/>
  <c r="I42"/>
  <c r="J42"/>
  <c r="K40"/>
  <c r="I38"/>
  <c r="J38"/>
  <c r="K36"/>
  <c r="I103"/>
  <c r="J103"/>
  <c r="I99"/>
  <c r="J99"/>
  <c r="K97"/>
  <c r="I95"/>
  <c r="J95"/>
  <c r="K35"/>
  <c r="I35"/>
  <c r="J33"/>
  <c r="K33"/>
  <c r="I33"/>
  <c r="J29"/>
  <c r="K29"/>
  <c r="I29"/>
  <c r="I64"/>
  <c r="J64"/>
  <c r="K62"/>
  <c r="I60"/>
  <c r="J60"/>
  <c r="K58"/>
  <c r="I56"/>
  <c r="J56"/>
  <c r="K54"/>
  <c r="J54"/>
  <c r="I52"/>
  <c r="J52"/>
  <c r="K50"/>
  <c r="I48"/>
  <c r="J48"/>
  <c r="K46"/>
  <c r="I44"/>
  <c r="J44"/>
  <c r="K42"/>
  <c r="I40"/>
  <c r="J40"/>
  <c r="K38"/>
  <c r="I36"/>
  <c r="J36"/>
  <c r="K103"/>
  <c r="K99"/>
  <c r="I97"/>
  <c r="J97"/>
  <c r="K95"/>
  <c r="I87"/>
  <c r="J87"/>
  <c r="K120"/>
  <c r="I118"/>
  <c r="J118"/>
  <c r="K112"/>
  <c r="I110"/>
  <c r="J110"/>
  <c r="I123"/>
  <c r="J123"/>
  <c r="K121"/>
  <c r="J26"/>
  <c r="I34"/>
  <c r="K34"/>
  <c r="J32"/>
  <c r="I30"/>
  <c r="K30"/>
  <c r="J28"/>
  <c r="K65"/>
  <c r="I63"/>
  <c r="J63"/>
  <c r="K61"/>
  <c r="I59"/>
  <c r="J59"/>
  <c r="K57"/>
  <c r="I55"/>
  <c r="J55"/>
  <c r="K53"/>
  <c r="I51"/>
  <c r="J51"/>
  <c r="K49"/>
  <c r="I47"/>
  <c r="J47"/>
  <c r="K45"/>
  <c r="I43"/>
  <c r="J43"/>
  <c r="K41"/>
  <c r="I39"/>
  <c r="J39"/>
  <c r="K37"/>
  <c r="I108"/>
  <c r="J108"/>
  <c r="K106"/>
  <c r="I104"/>
  <c r="J104"/>
  <c r="I100"/>
  <c r="J100"/>
  <c r="K98"/>
  <c r="I96"/>
  <c r="J96"/>
  <c r="K94"/>
  <c r="I92"/>
  <c r="J92"/>
  <c r="K90"/>
  <c r="K86"/>
  <c r="K117"/>
  <c r="I115"/>
  <c r="J115"/>
  <c r="K109"/>
  <c r="I124"/>
  <c r="J124"/>
  <c r="K122"/>
  <c r="K87"/>
  <c r="I120"/>
  <c r="J120"/>
  <c r="K118"/>
  <c r="I112"/>
  <c r="J112"/>
  <c r="K110"/>
  <c r="K123"/>
  <c r="I121"/>
  <c r="J121"/>
  <c r="I26"/>
  <c r="K26"/>
  <c r="J34"/>
  <c r="I32"/>
  <c r="K32"/>
  <c r="J30"/>
  <c r="I28"/>
  <c r="K28"/>
  <c r="I65"/>
  <c r="J65"/>
  <c r="K63"/>
  <c r="I61"/>
  <c r="J61"/>
  <c r="K59"/>
  <c r="I57"/>
  <c r="J57"/>
  <c r="K55"/>
  <c r="I53"/>
  <c r="J53"/>
  <c r="K51"/>
  <c r="I49"/>
  <c r="J49"/>
  <c r="K47"/>
  <c r="I45"/>
  <c r="J45"/>
  <c r="K43"/>
  <c r="I41"/>
  <c r="J41"/>
  <c r="K39"/>
  <c r="I37"/>
  <c r="J37"/>
  <c r="K108"/>
  <c r="I106"/>
  <c r="J106"/>
  <c r="K104"/>
  <c r="K100"/>
  <c r="I98"/>
  <c r="J98"/>
  <c r="K96"/>
  <c r="I94"/>
  <c r="J94"/>
  <c r="K92"/>
  <c r="I90"/>
  <c r="J90"/>
  <c r="I86"/>
  <c r="J86"/>
  <c r="I117"/>
  <c r="J117"/>
  <c r="K115"/>
  <c r="I109"/>
  <c r="J109"/>
  <c r="K124"/>
  <c r="I122"/>
  <c r="J122"/>
  <c r="M31" i="6"/>
  <c r="O31"/>
  <c r="N31"/>
  <c r="M23"/>
  <c r="K111" i="5" s="1"/>
  <c r="O23" i="6"/>
  <c r="J111" i="5" s="1"/>
  <c r="N23" i="6"/>
  <c r="I111" i="5" s="1"/>
  <c r="M19" i="6"/>
  <c r="K83" i="5" s="1"/>
  <c r="O19" i="6"/>
  <c r="J67" i="5" s="1"/>
  <c r="N19" i="6"/>
  <c r="I67" i="5" s="1"/>
  <c r="O15" i="6"/>
  <c r="J89" i="5" s="1"/>
  <c r="M15" i="6"/>
  <c r="K89" i="5" s="1"/>
  <c r="N15" i="6"/>
  <c r="I89" i="5" s="1"/>
  <c r="N11" i="6"/>
  <c r="O11"/>
  <c r="M11"/>
  <c r="M59"/>
  <c r="K91" i="5" s="1"/>
  <c r="O59" i="6"/>
  <c r="J91" i="5" s="1"/>
  <c r="N59" i="6"/>
  <c r="I91" i="5" s="1"/>
  <c r="M63" i="6"/>
  <c r="K101" i="5" s="1"/>
  <c r="O63" i="6"/>
  <c r="J101" i="5" s="1"/>
  <c r="N63" i="6"/>
  <c r="I101" i="5" s="1"/>
  <c r="M35" i="6"/>
  <c r="K72" i="5" s="1"/>
  <c r="O35" i="6"/>
  <c r="J72" i="5" s="1"/>
  <c r="N35" i="6"/>
  <c r="I72" i="5" s="1"/>
  <c r="M39" i="6"/>
  <c r="K88" i="5" s="1"/>
  <c r="O39" i="6"/>
  <c r="J80" i="5" s="1"/>
  <c r="N39" i="6"/>
  <c r="I80" i="5" s="1"/>
  <c r="O43" i="6"/>
  <c r="J116" i="5" s="1"/>
  <c r="M43" i="6"/>
  <c r="K116" i="5" s="1"/>
  <c r="N43" i="6"/>
  <c r="I116" i="5" s="1"/>
  <c r="M47" i="6"/>
  <c r="K66" i="5" s="1"/>
  <c r="O47" i="6"/>
  <c r="J66" i="5" s="1"/>
  <c r="N47" i="6"/>
  <c r="I66" i="5" s="1"/>
  <c r="AD63" i="6"/>
  <c r="AB63"/>
  <c r="AC63"/>
  <c r="AD55"/>
  <c r="AB55"/>
  <c r="AC55"/>
  <c r="AD43"/>
  <c r="AB43"/>
  <c r="AC43"/>
  <c r="AD31"/>
  <c r="AB31"/>
  <c r="AC31"/>
  <c r="AD51"/>
  <c r="AB51"/>
  <c r="AC51"/>
  <c r="AD11"/>
  <c r="AB11"/>
  <c r="AC11"/>
  <c r="AD87"/>
  <c r="AB87"/>
  <c r="AC87"/>
  <c r="AD79"/>
  <c r="AB79"/>
  <c r="AC79"/>
  <c r="E75"/>
  <c r="C75"/>
  <c r="D75"/>
  <c r="C79"/>
  <c r="E79"/>
  <c r="D79"/>
  <c r="C83"/>
  <c r="D83"/>
  <c r="E83"/>
  <c r="M71"/>
  <c r="K125" i="5" s="1"/>
  <c r="O71" i="6"/>
  <c r="J125" i="5" s="1"/>
  <c r="N71" i="6"/>
  <c r="I125" i="5" s="1"/>
  <c r="M75" i="6"/>
  <c r="K84" i="5" s="1"/>
  <c r="N75" i="6"/>
  <c r="I84" i="5" s="1"/>
  <c r="O75" i="6"/>
  <c r="J84" i="5" s="1"/>
  <c r="M79" i="6"/>
  <c r="K79" i="5" s="1"/>
  <c r="O79" i="6"/>
  <c r="J79" i="5" s="1"/>
  <c r="N79" i="6"/>
  <c r="I79" i="5" s="1"/>
  <c r="M83" i="6"/>
  <c r="K107" i="5" s="1"/>
  <c r="O83" i="6"/>
  <c r="J107" i="5" s="1"/>
  <c r="N83" i="6"/>
  <c r="I107" i="5" s="1"/>
  <c r="Y87" i="6"/>
  <c r="W87"/>
  <c r="X87"/>
  <c r="I69" i="5"/>
  <c r="K69"/>
  <c r="J69"/>
  <c r="I71"/>
  <c r="K71"/>
  <c r="J71"/>
  <c r="I81"/>
  <c r="K81"/>
  <c r="J81"/>
  <c r="J73"/>
  <c r="I73"/>
  <c r="K73"/>
  <c r="I75"/>
  <c r="K75"/>
  <c r="J75"/>
  <c r="I77"/>
  <c r="K77"/>
  <c r="J77"/>
  <c r="K132"/>
  <c r="I141"/>
  <c r="I132"/>
  <c r="M27" i="6"/>
  <c r="K105" i="5" s="1"/>
  <c r="N27" i="6"/>
  <c r="I85" i="5" s="1"/>
  <c r="O27" i="6"/>
  <c r="J85" i="5" s="1"/>
  <c r="J7"/>
  <c r="K7"/>
  <c r="I24"/>
  <c r="K24"/>
  <c r="I22"/>
  <c r="I20"/>
  <c r="K20"/>
  <c r="J18"/>
  <c r="I16"/>
  <c r="J14"/>
  <c r="K14"/>
  <c r="I12"/>
  <c r="J10"/>
  <c r="K10"/>
  <c r="I8"/>
  <c r="J184"/>
  <c r="K184"/>
  <c r="I182"/>
  <c r="J180"/>
  <c r="K180"/>
  <c r="I178"/>
  <c r="J176"/>
  <c r="K176"/>
  <c r="I174"/>
  <c r="J172"/>
  <c r="K172"/>
  <c r="I170"/>
  <c r="J168"/>
  <c r="K168"/>
  <c r="I166"/>
  <c r="J164"/>
  <c r="K164"/>
  <c r="I162"/>
  <c r="J160"/>
  <c r="K160"/>
  <c r="I158"/>
  <c r="J156"/>
  <c r="K156"/>
  <c r="I154"/>
  <c r="J152"/>
  <c r="K152"/>
  <c r="I150"/>
  <c r="J148"/>
  <c r="K148"/>
  <c r="I146"/>
  <c r="K6"/>
  <c r="J6"/>
  <c r="J23"/>
  <c r="K23"/>
  <c r="I23"/>
  <c r="K21"/>
  <c r="I21"/>
  <c r="J19"/>
  <c r="K19"/>
  <c r="I19"/>
  <c r="K15"/>
  <c r="I15"/>
  <c r="I13"/>
  <c r="J11"/>
  <c r="K11"/>
  <c r="I9"/>
  <c r="J185"/>
  <c r="K185"/>
  <c r="I183"/>
  <c r="J181"/>
  <c r="K181"/>
  <c r="I179"/>
  <c r="J177"/>
  <c r="K177"/>
  <c r="I175"/>
  <c r="J173"/>
  <c r="K173"/>
  <c r="I171"/>
  <c r="J169"/>
  <c r="K169"/>
  <c r="I167"/>
  <c r="J165"/>
  <c r="K165"/>
  <c r="I163"/>
  <c r="J161"/>
  <c r="K161"/>
  <c r="I159"/>
  <c r="J157"/>
  <c r="K157"/>
  <c r="I155"/>
  <c r="J153"/>
  <c r="K153"/>
  <c r="I151"/>
  <c r="J149"/>
  <c r="K149"/>
  <c r="I147"/>
  <c r="I7"/>
  <c r="J24"/>
  <c r="K22"/>
  <c r="J22"/>
  <c r="J20"/>
  <c r="I18"/>
  <c r="K18"/>
  <c r="K16"/>
  <c r="J16"/>
  <c r="I14"/>
  <c r="J12"/>
  <c r="K12"/>
  <c r="I10"/>
  <c r="J8"/>
  <c r="K8"/>
  <c r="I184"/>
  <c r="J182"/>
  <c r="K182"/>
  <c r="I180"/>
  <c r="J178"/>
  <c r="K178"/>
  <c r="I176"/>
  <c r="J174"/>
  <c r="K174"/>
  <c r="I172"/>
  <c r="J170"/>
  <c r="K170"/>
  <c r="I168"/>
  <c r="J166"/>
  <c r="K166"/>
  <c r="I164"/>
  <c r="J162"/>
  <c r="K162"/>
  <c r="I160"/>
  <c r="J158"/>
  <c r="K158"/>
  <c r="I156"/>
  <c r="J154"/>
  <c r="K154"/>
  <c r="I152"/>
  <c r="J150"/>
  <c r="K150"/>
  <c r="I148"/>
  <c r="J146"/>
  <c r="K146"/>
  <c r="I6"/>
  <c r="J25"/>
  <c r="K25"/>
  <c r="I25"/>
  <c r="J21"/>
  <c r="J17"/>
  <c r="K17"/>
  <c r="I17"/>
  <c r="J15"/>
  <c r="J13"/>
  <c r="K13"/>
  <c r="I11"/>
  <c r="J9"/>
  <c r="K9"/>
  <c r="I185"/>
  <c r="J183"/>
  <c r="K183"/>
  <c r="I181"/>
  <c r="J179"/>
  <c r="K179"/>
  <c r="I177"/>
  <c r="J175"/>
  <c r="K175"/>
  <c r="I173"/>
  <c r="J171"/>
  <c r="K171"/>
  <c r="I169"/>
  <c r="J167"/>
  <c r="K167"/>
  <c r="I165"/>
  <c r="J163"/>
  <c r="K163"/>
  <c r="I161"/>
  <c r="J159"/>
  <c r="K159"/>
  <c r="I157"/>
  <c r="J155"/>
  <c r="K155"/>
  <c r="I153"/>
  <c r="J151"/>
  <c r="K151"/>
  <c r="I149"/>
  <c r="J147"/>
  <c r="K147"/>
  <c r="J145"/>
  <c r="K145"/>
  <c r="I143"/>
  <c r="K141"/>
  <c r="I139"/>
  <c r="J137"/>
  <c r="K137"/>
  <c r="I135"/>
  <c r="J133"/>
  <c r="K133"/>
  <c r="K131"/>
  <c r="I129"/>
  <c r="J129"/>
  <c r="K127"/>
  <c r="K126"/>
  <c r="J144"/>
  <c r="K144"/>
  <c r="I142"/>
  <c r="J140"/>
  <c r="K140"/>
  <c r="J134"/>
  <c r="K134"/>
  <c r="K130"/>
  <c r="I128"/>
  <c r="J128"/>
  <c r="K136"/>
  <c r="J136"/>
  <c r="I145"/>
  <c r="J143"/>
  <c r="K143"/>
  <c r="J139"/>
  <c r="K139"/>
  <c r="I137"/>
  <c r="J135"/>
  <c r="K135"/>
  <c r="I133"/>
  <c r="I131"/>
  <c r="J131"/>
  <c r="K129"/>
  <c r="I127"/>
  <c r="J127"/>
  <c r="I126"/>
  <c r="J126"/>
  <c r="I144"/>
  <c r="J142"/>
  <c r="K142"/>
  <c r="I140"/>
  <c r="K138"/>
  <c r="I134"/>
  <c r="I130"/>
  <c r="J130"/>
  <c r="K128"/>
  <c r="I136"/>
  <c r="M51" i="6"/>
  <c r="K78" i="5" s="1"/>
  <c r="O51" i="6"/>
  <c r="J78" i="5" s="1"/>
  <c r="N51" i="6"/>
  <c r="I78" i="5" s="1"/>
  <c r="M55" i="6"/>
  <c r="K93" i="5" s="1"/>
  <c r="O55" i="6"/>
  <c r="J93" i="5" s="1"/>
  <c r="N55" i="6"/>
  <c r="I93" i="5" s="1"/>
  <c r="AD71" i="6"/>
  <c r="AB71"/>
  <c r="AC71"/>
  <c r="AD59"/>
  <c r="AB59"/>
  <c r="AC59"/>
  <c r="AD47"/>
  <c r="AB47"/>
  <c r="AC47"/>
  <c r="AD39"/>
  <c r="AB39"/>
  <c r="AC39"/>
  <c r="AD27"/>
  <c r="AB27"/>
  <c r="AC27"/>
  <c r="AC15"/>
  <c r="AD15"/>
  <c r="AB15"/>
  <c r="AD83"/>
  <c r="AB83"/>
  <c r="AC83"/>
  <c r="D87"/>
  <c r="C87"/>
  <c r="E87"/>
  <c r="M87"/>
  <c r="K113" i="5" s="1"/>
  <c r="O87" i="6"/>
  <c r="J113" i="5" s="1"/>
  <c r="N87" i="6"/>
  <c r="I113" i="5" s="1"/>
  <c r="Y67" i="6"/>
  <c r="W67"/>
  <c r="X67"/>
  <c r="Y71"/>
  <c r="W71"/>
  <c r="X71"/>
  <c r="Y75"/>
  <c r="W75"/>
  <c r="X75"/>
  <c r="Y79"/>
  <c r="W79"/>
  <c r="X79"/>
  <c r="Y83"/>
  <c r="W83"/>
  <c r="X83"/>
  <c r="AD75"/>
  <c r="AB75"/>
  <c r="AC75"/>
  <c r="I70" i="5"/>
  <c r="K70"/>
  <c r="J70"/>
  <c r="I68"/>
  <c r="K68"/>
  <c r="J68"/>
  <c r="K80"/>
  <c r="I82"/>
  <c r="K82"/>
  <c r="J82"/>
  <c r="K85"/>
  <c r="I76"/>
  <c r="K76"/>
  <c r="J76"/>
  <c r="I138"/>
  <c r="J132"/>
  <c r="J138"/>
  <c r="J141"/>
  <c r="J83"/>
  <c r="I83"/>
  <c r="G14" i="6"/>
  <c r="G43"/>
  <c r="G10"/>
  <c r="G26"/>
  <c r="G23"/>
  <c r="G66"/>
  <c r="G63"/>
  <c r="G62"/>
  <c r="B50"/>
  <c r="B47"/>
  <c r="B31"/>
  <c r="B70"/>
  <c r="B54"/>
  <c r="B38"/>
  <c r="B22"/>
  <c r="B67"/>
  <c r="B51"/>
  <c r="B35"/>
  <c r="B19"/>
  <c r="B62"/>
  <c r="B46"/>
  <c r="B59"/>
  <c r="B43"/>
  <c r="B27"/>
  <c r="B66"/>
  <c r="B34"/>
  <c r="B63"/>
  <c r="B15"/>
  <c r="B10"/>
  <c r="B58"/>
  <c r="B26"/>
  <c r="B71"/>
  <c r="B55"/>
  <c r="G18"/>
  <c r="G15"/>
  <c r="G79"/>
  <c r="G78"/>
  <c r="G30"/>
  <c r="G75"/>
  <c r="G82"/>
  <c r="G51"/>
  <c r="G50"/>
  <c r="G47"/>
  <c r="G31"/>
  <c r="G70"/>
  <c r="G38"/>
  <c r="G22"/>
  <c r="G83"/>
  <c r="G67"/>
  <c r="G35"/>
  <c r="G19"/>
  <c r="G74"/>
  <c r="G58"/>
  <c r="G42"/>
  <c r="G87"/>
  <c r="G71"/>
  <c r="G55"/>
  <c r="G39"/>
  <c r="Q14"/>
  <c r="Q59"/>
  <c r="G59"/>
  <c r="G34"/>
  <c r="G54"/>
  <c r="G46"/>
  <c r="G27"/>
  <c r="Q78"/>
  <c r="Q62"/>
  <c r="Q46"/>
  <c r="Q30"/>
  <c r="Q75"/>
  <c r="Q43"/>
  <c r="Q18"/>
  <c r="Q82"/>
  <c r="Q50"/>
  <c r="Q15"/>
  <c r="Q79"/>
  <c r="Q63"/>
  <c r="Q47"/>
  <c r="Q31"/>
  <c r="Q11"/>
  <c r="Q74"/>
  <c r="Q58"/>
  <c r="Q42"/>
  <c r="Q26"/>
  <c r="Q87"/>
  <c r="Q71"/>
  <c r="Q55"/>
  <c r="Q39"/>
  <c r="Q23"/>
  <c r="Q66"/>
  <c r="Q34"/>
  <c r="Q70"/>
  <c r="Q54"/>
  <c r="Q38"/>
  <c r="Q22"/>
  <c r="Q83"/>
  <c r="Q67"/>
  <c r="Q51"/>
  <c r="Q35"/>
  <c r="Q19"/>
  <c r="AA23"/>
  <c r="AA14"/>
  <c r="T33" i="5" s="1"/>
  <c r="AA35" i="6"/>
  <c r="AA46"/>
  <c r="AA62"/>
  <c r="AA67"/>
  <c r="AA22"/>
  <c r="AA19"/>
  <c r="AA30"/>
  <c r="V62"/>
  <c r="B23"/>
  <c r="B30"/>
  <c r="B18"/>
  <c r="B11"/>
  <c r="B14"/>
  <c r="T92" i="5" l="1"/>
  <c r="R37"/>
  <c r="T39"/>
  <c r="S41"/>
  <c r="R45"/>
  <c r="T47"/>
  <c r="S49"/>
  <c r="R53"/>
  <c r="T55"/>
  <c r="S57"/>
  <c r="R61"/>
  <c r="T63"/>
  <c r="S65"/>
  <c r="T28"/>
  <c r="S32"/>
  <c r="R34"/>
  <c r="R39"/>
  <c r="T41"/>
  <c r="S43"/>
  <c r="R47"/>
  <c r="T49"/>
  <c r="S51"/>
  <c r="R55"/>
  <c r="T57"/>
  <c r="S59"/>
  <c r="R63"/>
  <c r="T65"/>
  <c r="S30"/>
  <c r="R32"/>
  <c r="T34"/>
  <c r="S36"/>
  <c r="R40"/>
  <c r="T42"/>
  <c r="S44"/>
  <c r="R48"/>
  <c r="T50"/>
  <c r="S52"/>
  <c r="S54"/>
  <c r="S56"/>
  <c r="R60"/>
  <c r="T62"/>
  <c r="S64"/>
  <c r="S29"/>
  <c r="T31"/>
  <c r="R33"/>
  <c r="S35"/>
  <c r="R38"/>
  <c r="T40"/>
  <c r="S42"/>
  <c r="R46"/>
  <c r="T48"/>
  <c r="S50"/>
  <c r="R54"/>
  <c r="R58"/>
  <c r="T60"/>
  <c r="S62"/>
  <c r="S27"/>
  <c r="T29"/>
  <c r="R31"/>
  <c r="R35"/>
  <c r="R92"/>
  <c r="S92"/>
  <c r="S37"/>
  <c r="R41"/>
  <c r="T43"/>
  <c r="S45"/>
  <c r="R49"/>
  <c r="T51"/>
  <c r="S53"/>
  <c r="R57"/>
  <c r="T59"/>
  <c r="S61"/>
  <c r="R65"/>
  <c r="S28"/>
  <c r="R30"/>
  <c r="T32"/>
  <c r="T37"/>
  <c r="S39"/>
  <c r="R43"/>
  <c r="T45"/>
  <c r="S47"/>
  <c r="R51"/>
  <c r="T53"/>
  <c r="S55"/>
  <c r="R59"/>
  <c r="T61"/>
  <c r="S63"/>
  <c r="R28"/>
  <c r="T30"/>
  <c r="S34"/>
  <c r="R36"/>
  <c r="T38"/>
  <c r="S40"/>
  <c r="R44"/>
  <c r="T46"/>
  <c r="S48"/>
  <c r="R52"/>
  <c r="T54"/>
  <c r="R56"/>
  <c r="T58"/>
  <c r="S60"/>
  <c r="R64"/>
  <c r="T27"/>
  <c r="R29"/>
  <c r="S33"/>
  <c r="T35"/>
  <c r="T36"/>
  <c r="S38"/>
  <c r="R42"/>
  <c r="T44"/>
  <c r="S46"/>
  <c r="R50"/>
  <c r="T52"/>
  <c r="T56"/>
  <c r="S58"/>
  <c r="R62"/>
  <c r="T64"/>
  <c r="R27"/>
  <c r="S31"/>
  <c r="K67"/>
  <c r="R107"/>
  <c r="S26"/>
  <c r="R26"/>
  <c r="T26"/>
  <c r="R147"/>
  <c r="T149"/>
  <c r="S153"/>
  <c r="R155"/>
  <c r="T157"/>
  <c r="S161"/>
  <c r="R163"/>
  <c r="T165"/>
  <c r="S169"/>
  <c r="R171"/>
  <c r="T173"/>
  <c r="S177"/>
  <c r="R179"/>
  <c r="T181"/>
  <c r="S185"/>
  <c r="R146"/>
  <c r="T148"/>
  <c r="S152"/>
  <c r="R154"/>
  <c r="T156"/>
  <c r="S160"/>
  <c r="R162"/>
  <c r="T164"/>
  <c r="S168"/>
  <c r="R170"/>
  <c r="T172"/>
  <c r="S176"/>
  <c r="R178"/>
  <c r="T180"/>
  <c r="S184"/>
  <c r="S147"/>
  <c r="R149"/>
  <c r="T151"/>
  <c r="S155"/>
  <c r="R157"/>
  <c r="T159"/>
  <c r="S163"/>
  <c r="R165"/>
  <c r="T167"/>
  <c r="S171"/>
  <c r="R173"/>
  <c r="T175"/>
  <c r="S179"/>
  <c r="R181"/>
  <c r="T183"/>
  <c r="S146"/>
  <c r="R148"/>
  <c r="T150"/>
  <c r="S154"/>
  <c r="R156"/>
  <c r="T158"/>
  <c r="S162"/>
  <c r="R164"/>
  <c r="T166"/>
  <c r="S170"/>
  <c r="R172"/>
  <c r="T174"/>
  <c r="S178"/>
  <c r="R180"/>
  <c r="T182"/>
  <c r="S122"/>
  <c r="R109"/>
  <c r="T111"/>
  <c r="S113"/>
  <c r="R117"/>
  <c r="T119"/>
  <c r="S86"/>
  <c r="R90"/>
  <c r="S94"/>
  <c r="R98"/>
  <c r="T100"/>
  <c r="S102"/>
  <c r="R106"/>
  <c r="T108"/>
  <c r="R121"/>
  <c r="T123"/>
  <c r="S125"/>
  <c r="R112"/>
  <c r="T114"/>
  <c r="S116"/>
  <c r="R120"/>
  <c r="R124"/>
  <c r="T109"/>
  <c r="S111"/>
  <c r="R115"/>
  <c r="T117"/>
  <c r="S119"/>
  <c r="R88"/>
  <c r="T90"/>
  <c r="R96"/>
  <c r="T98"/>
  <c r="S100"/>
  <c r="R104"/>
  <c r="T106"/>
  <c r="S108"/>
  <c r="T121"/>
  <c r="S123"/>
  <c r="R110"/>
  <c r="T112"/>
  <c r="S114"/>
  <c r="T120"/>
  <c r="S89"/>
  <c r="R93"/>
  <c r="T95"/>
  <c r="S97"/>
  <c r="R101"/>
  <c r="T103"/>
  <c r="S105"/>
  <c r="T89"/>
  <c r="S91"/>
  <c r="R95"/>
  <c r="T97"/>
  <c r="S99"/>
  <c r="R103"/>
  <c r="T105"/>
  <c r="S107"/>
  <c r="S149"/>
  <c r="R151"/>
  <c r="T153"/>
  <c r="S157"/>
  <c r="R159"/>
  <c r="T161"/>
  <c r="S165"/>
  <c r="R167"/>
  <c r="T169"/>
  <c r="S173"/>
  <c r="R175"/>
  <c r="T177"/>
  <c r="S181"/>
  <c r="R183"/>
  <c r="T185"/>
  <c r="S148"/>
  <c r="R150"/>
  <c r="T152"/>
  <c r="S156"/>
  <c r="R158"/>
  <c r="T160"/>
  <c r="S164"/>
  <c r="R166"/>
  <c r="T168"/>
  <c r="S172"/>
  <c r="R174"/>
  <c r="T176"/>
  <c r="S180"/>
  <c r="R182"/>
  <c r="T184"/>
  <c r="T147"/>
  <c r="S151"/>
  <c r="R153"/>
  <c r="T155"/>
  <c r="S159"/>
  <c r="R161"/>
  <c r="T163"/>
  <c r="S167"/>
  <c r="R169"/>
  <c r="T171"/>
  <c r="S175"/>
  <c r="R177"/>
  <c r="T179"/>
  <c r="S183"/>
  <c r="R185"/>
  <c r="T146"/>
  <c r="S150"/>
  <c r="R152"/>
  <c r="T154"/>
  <c r="S158"/>
  <c r="R160"/>
  <c r="T162"/>
  <c r="S166"/>
  <c r="R168"/>
  <c r="T170"/>
  <c r="S174"/>
  <c r="R176"/>
  <c r="T178"/>
  <c r="S182"/>
  <c r="R184"/>
  <c r="R122"/>
  <c r="T124"/>
  <c r="S109"/>
  <c r="R113"/>
  <c r="T115"/>
  <c r="S117"/>
  <c r="R86"/>
  <c r="T88"/>
  <c r="S90"/>
  <c r="R94"/>
  <c r="T96"/>
  <c r="S98"/>
  <c r="R102"/>
  <c r="T104"/>
  <c r="S106"/>
  <c r="S121"/>
  <c r="R125"/>
  <c r="T110"/>
  <c r="S112"/>
  <c r="R116"/>
  <c r="S120"/>
  <c r="T122"/>
  <c r="S124"/>
  <c r="R111"/>
  <c r="T113"/>
  <c r="S115"/>
  <c r="R119"/>
  <c r="T86"/>
  <c r="S88"/>
  <c r="T94"/>
  <c r="S96"/>
  <c r="R100"/>
  <c r="T102"/>
  <c r="S104"/>
  <c r="R108"/>
  <c r="R123"/>
  <c r="T125"/>
  <c r="S110"/>
  <c r="R114"/>
  <c r="T116"/>
  <c r="R89"/>
  <c r="T91"/>
  <c r="S93"/>
  <c r="R97"/>
  <c r="T99"/>
  <c r="S101"/>
  <c r="R105"/>
  <c r="T107"/>
  <c r="R91"/>
  <c r="T93"/>
  <c r="S95"/>
  <c r="R99"/>
  <c r="T101"/>
  <c r="S103"/>
  <c r="N15"/>
  <c r="L15"/>
  <c r="M15"/>
  <c r="I74"/>
  <c r="K74"/>
  <c r="K119"/>
  <c r="I102"/>
  <c r="K114"/>
  <c r="I119"/>
  <c r="J88"/>
  <c r="I114"/>
  <c r="I105"/>
  <c r="J74"/>
  <c r="J102"/>
  <c r="J119"/>
  <c r="I88"/>
  <c r="K102"/>
  <c r="J114"/>
  <c r="J105"/>
  <c r="T24"/>
  <c r="M35"/>
  <c r="M33"/>
  <c r="L29"/>
  <c r="N27"/>
  <c r="M62"/>
  <c r="L60"/>
  <c r="N58"/>
  <c r="M54"/>
  <c r="L52"/>
  <c r="N50"/>
  <c r="M46"/>
  <c r="L44"/>
  <c r="N42"/>
  <c r="M38"/>
  <c r="L36"/>
  <c r="L93"/>
  <c r="L35"/>
  <c r="L31"/>
  <c r="N29"/>
  <c r="M27"/>
  <c r="N64"/>
  <c r="M60"/>
  <c r="L58"/>
  <c r="N56"/>
  <c r="M52"/>
  <c r="L50"/>
  <c r="N48"/>
  <c r="M44"/>
  <c r="L42"/>
  <c r="N40"/>
  <c r="M36"/>
  <c r="N105"/>
  <c r="M93"/>
  <c r="N87"/>
  <c r="M118"/>
  <c r="L116"/>
  <c r="N114"/>
  <c r="M110"/>
  <c r="N123"/>
  <c r="N26"/>
  <c r="L34"/>
  <c r="M32"/>
  <c r="N28"/>
  <c r="L65"/>
  <c r="N63"/>
  <c r="M59"/>
  <c r="L57"/>
  <c r="N55"/>
  <c r="M51"/>
  <c r="L49"/>
  <c r="N47"/>
  <c r="M43"/>
  <c r="L41"/>
  <c r="N39"/>
  <c r="M108"/>
  <c r="L106"/>
  <c r="N104"/>
  <c r="M100"/>
  <c r="L98"/>
  <c r="L90"/>
  <c r="N88"/>
  <c r="M119"/>
  <c r="L117"/>
  <c r="M111"/>
  <c r="L109"/>
  <c r="L87"/>
  <c r="N120"/>
  <c r="M116"/>
  <c r="L114"/>
  <c r="N112"/>
  <c r="L123"/>
  <c r="N121"/>
  <c r="N34"/>
  <c r="L32"/>
  <c r="M30"/>
  <c r="M65"/>
  <c r="L63"/>
  <c r="N61"/>
  <c r="M57"/>
  <c r="L55"/>
  <c r="N53"/>
  <c r="M49"/>
  <c r="L47"/>
  <c r="N45"/>
  <c r="M41"/>
  <c r="L39"/>
  <c r="N37"/>
  <c r="M106"/>
  <c r="L104"/>
  <c r="N102"/>
  <c r="M98"/>
  <c r="M90"/>
  <c r="L88"/>
  <c r="N86"/>
  <c r="M117"/>
  <c r="N113"/>
  <c r="M109"/>
  <c r="N35"/>
  <c r="L33"/>
  <c r="N31"/>
  <c r="M29"/>
  <c r="L64"/>
  <c r="N62"/>
  <c r="M58"/>
  <c r="L56"/>
  <c r="L54"/>
  <c r="M50"/>
  <c r="L48"/>
  <c r="N46"/>
  <c r="M42"/>
  <c r="L40"/>
  <c r="N38"/>
  <c r="L105"/>
  <c r="N33"/>
  <c r="M31"/>
  <c r="L27"/>
  <c r="M64"/>
  <c r="L62"/>
  <c r="N60"/>
  <c r="M56"/>
  <c r="N54"/>
  <c r="N52"/>
  <c r="M48"/>
  <c r="L46"/>
  <c r="N44"/>
  <c r="M40"/>
  <c r="L38"/>
  <c r="N36"/>
  <c r="M105"/>
  <c r="N93"/>
  <c r="M87"/>
  <c r="L120"/>
  <c r="N118"/>
  <c r="M114"/>
  <c r="L112"/>
  <c r="N110"/>
  <c r="M123"/>
  <c r="L121"/>
  <c r="M26"/>
  <c r="N32"/>
  <c r="L30"/>
  <c r="M28"/>
  <c r="M63"/>
  <c r="L61"/>
  <c r="N59"/>
  <c r="M55"/>
  <c r="L53"/>
  <c r="N51"/>
  <c r="M47"/>
  <c r="L45"/>
  <c r="N43"/>
  <c r="M39"/>
  <c r="L37"/>
  <c r="N108"/>
  <c r="M104"/>
  <c r="L102"/>
  <c r="N100"/>
  <c r="M88"/>
  <c r="L86"/>
  <c r="N119"/>
  <c r="L113"/>
  <c r="N111"/>
  <c r="M120"/>
  <c r="L118"/>
  <c r="N116"/>
  <c r="M112"/>
  <c r="L110"/>
  <c r="M121"/>
  <c r="L26"/>
  <c r="M34"/>
  <c r="N30"/>
  <c r="L28"/>
  <c r="N65"/>
  <c r="M61"/>
  <c r="L59"/>
  <c r="N57"/>
  <c r="M53"/>
  <c r="L51"/>
  <c r="N49"/>
  <c r="M45"/>
  <c r="L43"/>
  <c r="N41"/>
  <c r="M37"/>
  <c r="L108"/>
  <c r="N106"/>
  <c r="M102"/>
  <c r="L100"/>
  <c r="N98"/>
  <c r="N90"/>
  <c r="M86"/>
  <c r="L119"/>
  <c r="N117"/>
  <c r="M113"/>
  <c r="L111"/>
  <c r="N109"/>
  <c r="E35"/>
  <c r="D33"/>
  <c r="E33"/>
  <c r="C31"/>
  <c r="D29"/>
  <c r="E29"/>
  <c r="C27"/>
  <c r="C64"/>
  <c r="D64"/>
  <c r="E62"/>
  <c r="C60"/>
  <c r="D60"/>
  <c r="E58"/>
  <c r="C56"/>
  <c r="D56"/>
  <c r="E54"/>
  <c r="D54"/>
  <c r="C52"/>
  <c r="D52"/>
  <c r="E50"/>
  <c r="C48"/>
  <c r="D48"/>
  <c r="E46"/>
  <c r="C44"/>
  <c r="D44"/>
  <c r="E42"/>
  <c r="C40"/>
  <c r="D40"/>
  <c r="E38"/>
  <c r="C36"/>
  <c r="D36"/>
  <c r="C89"/>
  <c r="D89"/>
  <c r="E87"/>
  <c r="D35"/>
  <c r="C35"/>
  <c r="C33"/>
  <c r="D31"/>
  <c r="E31"/>
  <c r="C29"/>
  <c r="D27"/>
  <c r="E27"/>
  <c r="E64"/>
  <c r="C62"/>
  <c r="D62"/>
  <c r="E60"/>
  <c r="C58"/>
  <c r="D58"/>
  <c r="E56"/>
  <c r="C54"/>
  <c r="E52"/>
  <c r="C50"/>
  <c r="D50"/>
  <c r="E48"/>
  <c r="C46"/>
  <c r="D46"/>
  <c r="E44"/>
  <c r="C42"/>
  <c r="D42"/>
  <c r="E40"/>
  <c r="C38"/>
  <c r="D38"/>
  <c r="E36"/>
  <c r="E89"/>
  <c r="C87"/>
  <c r="E110"/>
  <c r="E26"/>
  <c r="D34"/>
  <c r="C34"/>
  <c r="E32"/>
  <c r="D30"/>
  <c r="C30"/>
  <c r="E28"/>
  <c r="C65"/>
  <c r="D65"/>
  <c r="E63"/>
  <c r="C61"/>
  <c r="D61"/>
  <c r="E59"/>
  <c r="C57"/>
  <c r="D57"/>
  <c r="E55"/>
  <c r="C53"/>
  <c r="D53"/>
  <c r="E51"/>
  <c r="C49"/>
  <c r="D49"/>
  <c r="E47"/>
  <c r="C45"/>
  <c r="D45"/>
  <c r="E43"/>
  <c r="C41"/>
  <c r="D41"/>
  <c r="E39"/>
  <c r="C37"/>
  <c r="D37"/>
  <c r="E108"/>
  <c r="E104"/>
  <c r="C102"/>
  <c r="D102"/>
  <c r="E92"/>
  <c r="C90"/>
  <c r="D90"/>
  <c r="C86"/>
  <c r="D86"/>
  <c r="E119"/>
  <c r="C117"/>
  <c r="D117"/>
  <c r="C113"/>
  <c r="D113"/>
  <c r="E111"/>
  <c r="D87"/>
  <c r="C110"/>
  <c r="D110"/>
  <c r="D26"/>
  <c r="C26"/>
  <c r="E34"/>
  <c r="D32"/>
  <c r="C32"/>
  <c r="E30"/>
  <c r="D28"/>
  <c r="C28"/>
  <c r="E65"/>
  <c r="C63"/>
  <c r="D63"/>
  <c r="E61"/>
  <c r="C59"/>
  <c r="D59"/>
  <c r="E57"/>
  <c r="C55"/>
  <c r="D55"/>
  <c r="E53"/>
  <c r="C51"/>
  <c r="D51"/>
  <c r="E49"/>
  <c r="C47"/>
  <c r="D47"/>
  <c r="E45"/>
  <c r="C43"/>
  <c r="D43"/>
  <c r="E41"/>
  <c r="C39"/>
  <c r="D39"/>
  <c r="E37"/>
  <c r="C108"/>
  <c r="D108"/>
  <c r="C104"/>
  <c r="D104"/>
  <c r="E102"/>
  <c r="C92"/>
  <c r="D92"/>
  <c r="E90"/>
  <c r="E86"/>
  <c r="C119"/>
  <c r="D119"/>
  <c r="E117"/>
  <c r="E113"/>
  <c r="C111"/>
  <c r="D111"/>
  <c r="F35"/>
  <c r="G35"/>
  <c r="H33"/>
  <c r="G33"/>
  <c r="F31"/>
  <c r="H29"/>
  <c r="G29"/>
  <c r="F27"/>
  <c r="G64"/>
  <c r="H64"/>
  <c r="F62"/>
  <c r="G60"/>
  <c r="H60"/>
  <c r="F58"/>
  <c r="G56"/>
  <c r="H56"/>
  <c r="H54"/>
  <c r="G52"/>
  <c r="H52"/>
  <c r="F50"/>
  <c r="G48"/>
  <c r="H48"/>
  <c r="F46"/>
  <c r="G44"/>
  <c r="H44"/>
  <c r="F42"/>
  <c r="G40"/>
  <c r="H40"/>
  <c r="F38"/>
  <c r="G36"/>
  <c r="H36"/>
  <c r="G105"/>
  <c r="H105"/>
  <c r="F103"/>
  <c r="F99"/>
  <c r="G97"/>
  <c r="H97"/>
  <c r="H35"/>
  <c r="F33"/>
  <c r="H31"/>
  <c r="G31"/>
  <c r="F29"/>
  <c r="H27"/>
  <c r="G27"/>
  <c r="F64"/>
  <c r="G62"/>
  <c r="H62"/>
  <c r="F60"/>
  <c r="G58"/>
  <c r="H58"/>
  <c r="F56"/>
  <c r="G54"/>
  <c r="F54"/>
  <c r="F52"/>
  <c r="G50"/>
  <c r="H50"/>
  <c r="F48"/>
  <c r="G46"/>
  <c r="H46"/>
  <c r="F44"/>
  <c r="G42"/>
  <c r="H42"/>
  <c r="F40"/>
  <c r="G38"/>
  <c r="H38"/>
  <c r="F36"/>
  <c r="F105"/>
  <c r="G103"/>
  <c r="H103"/>
  <c r="G99"/>
  <c r="H99"/>
  <c r="F97"/>
  <c r="F87"/>
  <c r="G120"/>
  <c r="H120"/>
  <c r="F118"/>
  <c r="F110"/>
  <c r="G125"/>
  <c r="H125"/>
  <c r="F26"/>
  <c r="G26"/>
  <c r="H34"/>
  <c r="F32"/>
  <c r="G32"/>
  <c r="H30"/>
  <c r="F28"/>
  <c r="G28"/>
  <c r="G65"/>
  <c r="H65"/>
  <c r="F63"/>
  <c r="G61"/>
  <c r="H61"/>
  <c r="F59"/>
  <c r="G57"/>
  <c r="H57"/>
  <c r="F55"/>
  <c r="G53"/>
  <c r="H53"/>
  <c r="F51"/>
  <c r="G49"/>
  <c r="H49"/>
  <c r="F47"/>
  <c r="G45"/>
  <c r="H45"/>
  <c r="F43"/>
  <c r="G41"/>
  <c r="H41"/>
  <c r="F39"/>
  <c r="G37"/>
  <c r="H37"/>
  <c r="F100"/>
  <c r="F119"/>
  <c r="G117"/>
  <c r="H117"/>
  <c r="G122"/>
  <c r="H122"/>
  <c r="G87"/>
  <c r="H87"/>
  <c r="F120"/>
  <c r="G118"/>
  <c r="H118"/>
  <c r="G110"/>
  <c r="H110"/>
  <c r="F125"/>
  <c r="H26"/>
  <c r="F34"/>
  <c r="G34"/>
  <c r="H32"/>
  <c r="F30"/>
  <c r="G30"/>
  <c r="H28"/>
  <c r="F65"/>
  <c r="G63"/>
  <c r="H63"/>
  <c r="F61"/>
  <c r="G59"/>
  <c r="H59"/>
  <c r="F57"/>
  <c r="G55"/>
  <c r="H55"/>
  <c r="F53"/>
  <c r="G51"/>
  <c r="H51"/>
  <c r="F49"/>
  <c r="G47"/>
  <c r="H47"/>
  <c r="F45"/>
  <c r="G43"/>
  <c r="H43"/>
  <c r="F41"/>
  <c r="G39"/>
  <c r="H39"/>
  <c r="F37"/>
  <c r="G100"/>
  <c r="H100"/>
  <c r="G119"/>
  <c r="H119"/>
  <c r="F117"/>
  <c r="H111"/>
  <c r="F122"/>
  <c r="C23" i="6"/>
  <c r="E114" i="5" s="1"/>
  <c r="E23" i="6"/>
  <c r="D114" i="5" s="1"/>
  <c r="D23" i="6"/>
  <c r="C114" i="5" s="1"/>
  <c r="R35" i="6"/>
  <c r="N94" i="5" s="1"/>
  <c r="T35" i="6"/>
  <c r="M94" i="5" s="1"/>
  <c r="S35" i="6"/>
  <c r="L94" i="5" s="1"/>
  <c r="R23" i="6"/>
  <c r="N75" i="5" s="1"/>
  <c r="T23" i="6"/>
  <c r="S23"/>
  <c r="R55"/>
  <c r="N101" i="5" s="1"/>
  <c r="T55" i="6"/>
  <c r="M101" i="5" s="1"/>
  <c r="S55" i="6"/>
  <c r="L101" i="5" s="1"/>
  <c r="R87" i="6"/>
  <c r="N85" i="5" s="1"/>
  <c r="T87" i="6"/>
  <c r="S87"/>
  <c r="R31"/>
  <c r="N122" i="5" s="1"/>
  <c r="T31" i="6"/>
  <c r="M122" i="5" s="1"/>
  <c r="S31" i="6"/>
  <c r="L122" i="5" s="1"/>
  <c r="R63" i="6"/>
  <c r="N124" i="5" s="1"/>
  <c r="T63" i="6"/>
  <c r="M124" i="5" s="1"/>
  <c r="S63" i="6"/>
  <c r="L124" i="5" s="1"/>
  <c r="S15" i="6"/>
  <c r="L95" i="5" s="1"/>
  <c r="T15" i="6"/>
  <c r="M95" i="5" s="1"/>
  <c r="R15" i="6"/>
  <c r="N95" i="5" s="1"/>
  <c r="R43" i="6"/>
  <c r="N70" i="5" s="1"/>
  <c r="T43" i="6"/>
  <c r="S43"/>
  <c r="L70" i="5" s="1"/>
  <c r="J27" i="6"/>
  <c r="H27"/>
  <c r="I27"/>
  <c r="H59"/>
  <c r="H89" i="5" s="1"/>
  <c r="J59" i="6"/>
  <c r="G89" i="5" s="1"/>
  <c r="I59" i="6"/>
  <c r="F89" i="5" s="1"/>
  <c r="H55" i="6"/>
  <c r="J55"/>
  <c r="I55"/>
  <c r="H87"/>
  <c r="H116" i="5" s="1"/>
  <c r="J87" i="6"/>
  <c r="G116" i="5" s="1"/>
  <c r="I87" i="6"/>
  <c r="F116" i="5" s="1"/>
  <c r="H19" i="6"/>
  <c r="J19"/>
  <c r="I19"/>
  <c r="J67"/>
  <c r="G109" i="5" s="1"/>
  <c r="H67" i="6"/>
  <c r="H109" i="5" s="1"/>
  <c r="I67" i="6"/>
  <c r="F109" i="5" s="1"/>
  <c r="H47" i="6"/>
  <c r="H91" i="5" s="1"/>
  <c r="J47" i="6"/>
  <c r="G91" i="5" s="1"/>
  <c r="I47" i="6"/>
  <c r="F91" i="5" s="1"/>
  <c r="H51" i="6"/>
  <c r="H124" i="5" s="1"/>
  <c r="J51" i="6"/>
  <c r="G124" i="5" s="1"/>
  <c r="I51" i="6"/>
  <c r="F124" i="5" s="1"/>
  <c r="H75" i="6"/>
  <c r="H94" i="5" s="1"/>
  <c r="J75" i="6"/>
  <c r="G94" i="5" s="1"/>
  <c r="I75" i="6"/>
  <c r="F94" i="5" s="1"/>
  <c r="I15" i="6"/>
  <c r="F93" i="5" s="1"/>
  <c r="J15" i="6"/>
  <c r="G93" i="5" s="1"/>
  <c r="H15" i="6"/>
  <c r="H93" i="5" s="1"/>
  <c r="C39" i="6"/>
  <c r="E118" i="5" s="1"/>
  <c r="D39" i="6"/>
  <c r="C118" i="5" s="1"/>
  <c r="E39" i="6"/>
  <c r="D118" i="5" s="1"/>
  <c r="C71" i="6"/>
  <c r="E71"/>
  <c r="D71"/>
  <c r="C7" i="5"/>
  <c r="D24"/>
  <c r="C24"/>
  <c r="E22"/>
  <c r="D20"/>
  <c r="C20"/>
  <c r="E18"/>
  <c r="D16"/>
  <c r="C16"/>
  <c r="C14"/>
  <c r="D12"/>
  <c r="E12"/>
  <c r="C10"/>
  <c r="D8"/>
  <c r="E8"/>
  <c r="C184"/>
  <c r="D182"/>
  <c r="E182"/>
  <c r="C180"/>
  <c r="D178"/>
  <c r="E178"/>
  <c r="C176"/>
  <c r="D174"/>
  <c r="E174"/>
  <c r="C172"/>
  <c r="D170"/>
  <c r="E170"/>
  <c r="C168"/>
  <c r="D166"/>
  <c r="E166"/>
  <c r="C164"/>
  <c r="D162"/>
  <c r="E162"/>
  <c r="C160"/>
  <c r="D158"/>
  <c r="E158"/>
  <c r="C156"/>
  <c r="D154"/>
  <c r="E154"/>
  <c r="C152"/>
  <c r="D150"/>
  <c r="E150"/>
  <c r="C148"/>
  <c r="D146"/>
  <c r="E146"/>
  <c r="C6"/>
  <c r="D25"/>
  <c r="E25"/>
  <c r="C23"/>
  <c r="D21"/>
  <c r="C21"/>
  <c r="C19"/>
  <c r="D17"/>
  <c r="E17"/>
  <c r="E15"/>
  <c r="D13"/>
  <c r="E13"/>
  <c r="C11"/>
  <c r="D9"/>
  <c r="E9"/>
  <c r="C185"/>
  <c r="D183"/>
  <c r="E183"/>
  <c r="C181"/>
  <c r="D179"/>
  <c r="E179"/>
  <c r="C177"/>
  <c r="D175"/>
  <c r="E175"/>
  <c r="C173"/>
  <c r="D171"/>
  <c r="E171"/>
  <c r="C169"/>
  <c r="D167"/>
  <c r="E167"/>
  <c r="C165"/>
  <c r="D163"/>
  <c r="E163"/>
  <c r="C161"/>
  <c r="D159"/>
  <c r="E159"/>
  <c r="C157"/>
  <c r="D155"/>
  <c r="E155"/>
  <c r="C153"/>
  <c r="D151"/>
  <c r="E151"/>
  <c r="C149"/>
  <c r="D147"/>
  <c r="E147"/>
  <c r="D7"/>
  <c r="E7"/>
  <c r="E24"/>
  <c r="D22"/>
  <c r="C22"/>
  <c r="E20"/>
  <c r="D18"/>
  <c r="C18"/>
  <c r="E16"/>
  <c r="D14"/>
  <c r="E14"/>
  <c r="C12"/>
  <c r="D10"/>
  <c r="E10"/>
  <c r="C8"/>
  <c r="D184"/>
  <c r="E184"/>
  <c r="C182"/>
  <c r="D180"/>
  <c r="E180"/>
  <c r="C178"/>
  <c r="D176"/>
  <c r="E176"/>
  <c r="C174"/>
  <c r="D172"/>
  <c r="E172"/>
  <c r="C170"/>
  <c r="D168"/>
  <c r="E168"/>
  <c r="C166"/>
  <c r="D164"/>
  <c r="E164"/>
  <c r="C162"/>
  <c r="D160"/>
  <c r="E160"/>
  <c r="C158"/>
  <c r="D156"/>
  <c r="E156"/>
  <c r="C154"/>
  <c r="D152"/>
  <c r="E152"/>
  <c r="C150"/>
  <c r="D148"/>
  <c r="E148"/>
  <c r="C146"/>
  <c r="E6"/>
  <c r="D6"/>
  <c r="C25"/>
  <c r="D23"/>
  <c r="E23"/>
  <c r="E21"/>
  <c r="D19"/>
  <c r="E19"/>
  <c r="C17"/>
  <c r="D15"/>
  <c r="C15"/>
  <c r="C13"/>
  <c r="D11"/>
  <c r="E11"/>
  <c r="C9"/>
  <c r="D185"/>
  <c r="E185"/>
  <c r="C183"/>
  <c r="D181"/>
  <c r="E181"/>
  <c r="C179"/>
  <c r="D177"/>
  <c r="E177"/>
  <c r="C175"/>
  <c r="D173"/>
  <c r="E173"/>
  <c r="C171"/>
  <c r="D169"/>
  <c r="E169"/>
  <c r="C167"/>
  <c r="D165"/>
  <c r="E165"/>
  <c r="C163"/>
  <c r="D161"/>
  <c r="E161"/>
  <c r="C159"/>
  <c r="D157"/>
  <c r="E157"/>
  <c r="C155"/>
  <c r="D153"/>
  <c r="E153"/>
  <c r="C151"/>
  <c r="D149"/>
  <c r="E149"/>
  <c r="C147"/>
  <c r="C145"/>
  <c r="D143"/>
  <c r="E143"/>
  <c r="E141"/>
  <c r="D139"/>
  <c r="E139"/>
  <c r="C137"/>
  <c r="D135"/>
  <c r="E135"/>
  <c r="C133"/>
  <c r="C131"/>
  <c r="D131"/>
  <c r="E129"/>
  <c r="C127"/>
  <c r="D127"/>
  <c r="C126"/>
  <c r="D126"/>
  <c r="C144"/>
  <c r="D142"/>
  <c r="E142"/>
  <c r="C140"/>
  <c r="D138"/>
  <c r="C138"/>
  <c r="C134"/>
  <c r="C132"/>
  <c r="D132"/>
  <c r="C130"/>
  <c r="D130"/>
  <c r="E128"/>
  <c r="C136"/>
  <c r="D145"/>
  <c r="E145"/>
  <c r="C143"/>
  <c r="D141"/>
  <c r="C141"/>
  <c r="C139"/>
  <c r="D137"/>
  <c r="E137"/>
  <c r="C135"/>
  <c r="D133"/>
  <c r="E133"/>
  <c r="E131"/>
  <c r="C129"/>
  <c r="D129"/>
  <c r="E127"/>
  <c r="E126"/>
  <c r="D144"/>
  <c r="E144"/>
  <c r="C142"/>
  <c r="D140"/>
  <c r="E140"/>
  <c r="E138"/>
  <c r="D134"/>
  <c r="E134"/>
  <c r="E132"/>
  <c r="E130"/>
  <c r="C128"/>
  <c r="D128"/>
  <c r="E136"/>
  <c r="D136"/>
  <c r="C63" i="6"/>
  <c r="E105" i="5" s="1"/>
  <c r="E63" i="6"/>
  <c r="D63"/>
  <c r="C105" i="5" s="1"/>
  <c r="E43" i="6"/>
  <c r="D91" i="5" s="1"/>
  <c r="C19" i="6"/>
  <c r="E122" i="5" s="1"/>
  <c r="D19" i="6"/>
  <c r="C122" i="5" s="1"/>
  <c r="E19" i="6"/>
  <c r="D122" i="5" s="1"/>
  <c r="C51" i="6"/>
  <c r="E83" i="5" s="1"/>
  <c r="E51" i="6"/>
  <c r="D83" i="5" s="1"/>
  <c r="D51" i="6"/>
  <c r="C83" i="5" s="1"/>
  <c r="C31" i="6"/>
  <c r="E88" i="5" s="1"/>
  <c r="E31" i="6"/>
  <c r="D88" i="5" s="1"/>
  <c r="D31" i="6"/>
  <c r="C88" i="5" s="1"/>
  <c r="H63" i="6"/>
  <c r="H108" i="5" s="1"/>
  <c r="J63" i="6"/>
  <c r="G108" i="5" s="1"/>
  <c r="I63" i="6"/>
  <c r="F108" i="5" s="1"/>
  <c r="H23" i="6"/>
  <c r="J23"/>
  <c r="I23"/>
  <c r="F7" i="5"/>
  <c r="G7"/>
  <c r="H24"/>
  <c r="F22"/>
  <c r="G22"/>
  <c r="H20"/>
  <c r="F18"/>
  <c r="G18"/>
  <c r="H16"/>
  <c r="G16"/>
  <c r="F14"/>
  <c r="G14"/>
  <c r="H12"/>
  <c r="F10"/>
  <c r="G10"/>
  <c r="H8"/>
  <c r="F184"/>
  <c r="G184"/>
  <c r="H182"/>
  <c r="F180"/>
  <c r="G180"/>
  <c r="H178"/>
  <c r="F176"/>
  <c r="G176"/>
  <c r="H174"/>
  <c r="F172"/>
  <c r="G172"/>
  <c r="H170"/>
  <c r="F168"/>
  <c r="G168"/>
  <c r="H166"/>
  <c r="F164"/>
  <c r="G164"/>
  <c r="H162"/>
  <c r="F160"/>
  <c r="G160"/>
  <c r="H158"/>
  <c r="F156"/>
  <c r="G156"/>
  <c r="H154"/>
  <c r="F152"/>
  <c r="G152"/>
  <c r="H150"/>
  <c r="F148"/>
  <c r="G148"/>
  <c r="H146"/>
  <c r="G6"/>
  <c r="F6"/>
  <c r="H25"/>
  <c r="G25"/>
  <c r="F23"/>
  <c r="H21"/>
  <c r="F19"/>
  <c r="H17"/>
  <c r="G17"/>
  <c r="F15"/>
  <c r="H13"/>
  <c r="F11"/>
  <c r="G11"/>
  <c r="H9"/>
  <c r="F185"/>
  <c r="G185"/>
  <c r="H183"/>
  <c r="F181"/>
  <c r="G181"/>
  <c r="H179"/>
  <c r="F177"/>
  <c r="G177"/>
  <c r="H175"/>
  <c r="F173"/>
  <c r="G173"/>
  <c r="H171"/>
  <c r="F169"/>
  <c r="G169"/>
  <c r="H167"/>
  <c r="F165"/>
  <c r="G165"/>
  <c r="H163"/>
  <c r="F161"/>
  <c r="G161"/>
  <c r="H159"/>
  <c r="F157"/>
  <c r="G157"/>
  <c r="H155"/>
  <c r="F153"/>
  <c r="G153"/>
  <c r="H151"/>
  <c r="F149"/>
  <c r="G149"/>
  <c r="H147"/>
  <c r="H7"/>
  <c r="F24"/>
  <c r="G24"/>
  <c r="H22"/>
  <c r="F20"/>
  <c r="G20"/>
  <c r="H18"/>
  <c r="F16"/>
  <c r="H14"/>
  <c r="F12"/>
  <c r="G12"/>
  <c r="H10"/>
  <c r="F8"/>
  <c r="G8"/>
  <c r="H184"/>
  <c r="F182"/>
  <c r="G182"/>
  <c r="H180"/>
  <c r="F178"/>
  <c r="G178"/>
  <c r="H176"/>
  <c r="F174"/>
  <c r="G174"/>
  <c r="H172"/>
  <c r="F170"/>
  <c r="G170"/>
  <c r="H168"/>
  <c r="F166"/>
  <c r="G166"/>
  <c r="H164"/>
  <c r="F162"/>
  <c r="G162"/>
  <c r="H160"/>
  <c r="F158"/>
  <c r="G158"/>
  <c r="H156"/>
  <c r="F154"/>
  <c r="G154"/>
  <c r="H152"/>
  <c r="F150"/>
  <c r="G150"/>
  <c r="H148"/>
  <c r="F146"/>
  <c r="G146"/>
  <c r="H6"/>
  <c r="F25"/>
  <c r="H23"/>
  <c r="G23"/>
  <c r="F21"/>
  <c r="G21"/>
  <c r="H19"/>
  <c r="G19"/>
  <c r="F17"/>
  <c r="H15"/>
  <c r="G15"/>
  <c r="F13"/>
  <c r="G13"/>
  <c r="H11"/>
  <c r="F9"/>
  <c r="G9"/>
  <c r="H185"/>
  <c r="F183"/>
  <c r="G183"/>
  <c r="H181"/>
  <c r="F179"/>
  <c r="G179"/>
  <c r="H177"/>
  <c r="F175"/>
  <c r="G175"/>
  <c r="H173"/>
  <c r="F171"/>
  <c r="G171"/>
  <c r="H169"/>
  <c r="F167"/>
  <c r="G167"/>
  <c r="H165"/>
  <c r="F163"/>
  <c r="G163"/>
  <c r="H161"/>
  <c r="F159"/>
  <c r="G159"/>
  <c r="H157"/>
  <c r="F155"/>
  <c r="G155"/>
  <c r="H153"/>
  <c r="F151"/>
  <c r="G151"/>
  <c r="H149"/>
  <c r="F147"/>
  <c r="G147"/>
  <c r="F145"/>
  <c r="G145"/>
  <c r="H143"/>
  <c r="F141"/>
  <c r="H139"/>
  <c r="F137"/>
  <c r="G137"/>
  <c r="H135"/>
  <c r="F133"/>
  <c r="G133"/>
  <c r="G131"/>
  <c r="H131"/>
  <c r="F129"/>
  <c r="G127"/>
  <c r="H127"/>
  <c r="G126"/>
  <c r="H126"/>
  <c r="F144"/>
  <c r="G144"/>
  <c r="H142"/>
  <c r="F140"/>
  <c r="G140"/>
  <c r="H138"/>
  <c r="G138"/>
  <c r="F134"/>
  <c r="G134"/>
  <c r="G132"/>
  <c r="H132"/>
  <c r="G130"/>
  <c r="H130"/>
  <c r="F128"/>
  <c r="G136"/>
  <c r="F136"/>
  <c r="H145"/>
  <c r="F143"/>
  <c r="G143"/>
  <c r="H141"/>
  <c r="G141"/>
  <c r="F139"/>
  <c r="G139"/>
  <c r="H137"/>
  <c r="F135"/>
  <c r="G135"/>
  <c r="H133"/>
  <c r="F131"/>
  <c r="G129"/>
  <c r="H129"/>
  <c r="F127"/>
  <c r="F126"/>
  <c r="H144"/>
  <c r="F142"/>
  <c r="G142"/>
  <c r="H140"/>
  <c r="F138"/>
  <c r="H134"/>
  <c r="F132"/>
  <c r="F130"/>
  <c r="G128"/>
  <c r="H128"/>
  <c r="H136"/>
  <c r="F83"/>
  <c r="H83"/>
  <c r="R76"/>
  <c r="F76"/>
  <c r="S76"/>
  <c r="T74"/>
  <c r="S74"/>
  <c r="T79"/>
  <c r="L79"/>
  <c r="H79"/>
  <c r="G79"/>
  <c r="R85"/>
  <c r="E85"/>
  <c r="T82"/>
  <c r="L82"/>
  <c r="R80"/>
  <c r="H80"/>
  <c r="D80"/>
  <c r="L68"/>
  <c r="R70"/>
  <c r="S70"/>
  <c r="M70"/>
  <c r="T67"/>
  <c r="H67"/>
  <c r="G67"/>
  <c r="T77"/>
  <c r="R75"/>
  <c r="F75"/>
  <c r="S75"/>
  <c r="M75"/>
  <c r="S73"/>
  <c r="T73"/>
  <c r="R78"/>
  <c r="F78"/>
  <c r="S78"/>
  <c r="E78"/>
  <c r="T84"/>
  <c r="R81"/>
  <c r="S81"/>
  <c r="E81"/>
  <c r="S72"/>
  <c r="M72"/>
  <c r="T72"/>
  <c r="L72"/>
  <c r="T71"/>
  <c r="L71"/>
  <c r="R69"/>
  <c r="S69"/>
  <c r="T66"/>
  <c r="H66"/>
  <c r="G66"/>
  <c r="R136"/>
  <c r="R130"/>
  <c r="S132"/>
  <c r="S134"/>
  <c r="T138"/>
  <c r="T140"/>
  <c r="S144"/>
  <c r="R126"/>
  <c r="R127"/>
  <c r="T129"/>
  <c r="S131"/>
  <c r="T133"/>
  <c r="S137"/>
  <c r="R139"/>
  <c r="R141"/>
  <c r="S145"/>
  <c r="T136"/>
  <c r="S128"/>
  <c r="R132"/>
  <c r="S138"/>
  <c r="R140"/>
  <c r="T142"/>
  <c r="T126"/>
  <c r="R129"/>
  <c r="T131"/>
  <c r="S135"/>
  <c r="R137"/>
  <c r="T139"/>
  <c r="S143"/>
  <c r="R145"/>
  <c r="S11"/>
  <c r="R13"/>
  <c r="R15"/>
  <c r="R17"/>
  <c r="T21"/>
  <c r="S25"/>
  <c r="T6"/>
  <c r="R8"/>
  <c r="T10"/>
  <c r="S14"/>
  <c r="T16"/>
  <c r="T18"/>
  <c r="S22"/>
  <c r="R24"/>
  <c r="T7"/>
  <c r="T9"/>
  <c r="S13"/>
  <c r="T15"/>
  <c r="S19"/>
  <c r="S21"/>
  <c r="S23"/>
  <c r="T25"/>
  <c r="S8"/>
  <c r="R10"/>
  <c r="T12"/>
  <c r="S16"/>
  <c r="R18"/>
  <c r="T20"/>
  <c r="S24"/>
  <c r="R7"/>
  <c r="O249" i="6"/>
  <c r="O250" s="1"/>
  <c r="AD35"/>
  <c r="S87" i="5" s="1"/>
  <c r="AB35" i="6"/>
  <c r="T87" i="5" s="1"/>
  <c r="AC35" i="6"/>
  <c r="R87" i="5" s="1"/>
  <c r="AD23" i="6"/>
  <c r="S68" i="5" s="1"/>
  <c r="AB23" i="6"/>
  <c r="T68" i="5" s="1"/>
  <c r="AC23" i="6"/>
  <c r="R68" i="5" s="1"/>
  <c r="R67" i="6"/>
  <c r="N91" i="5" s="1"/>
  <c r="S67" i="6"/>
  <c r="L84" i="5" s="1"/>
  <c r="T67" i="6"/>
  <c r="M91" i="5" s="1"/>
  <c r="E11" i="6"/>
  <c r="D69" i="5" s="1"/>
  <c r="C11" i="6"/>
  <c r="E75" i="5" s="1"/>
  <c r="D11" i="6"/>
  <c r="C81" i="5" s="1"/>
  <c r="AD19" i="6"/>
  <c r="S83" i="5" s="1"/>
  <c r="AB19" i="6"/>
  <c r="T83" i="5" s="1"/>
  <c r="AC19" i="6"/>
  <c r="R83" i="5" s="1"/>
  <c r="AD67" i="6"/>
  <c r="S118" i="5" s="1"/>
  <c r="AB67" i="6"/>
  <c r="T118" i="5" s="1"/>
  <c r="AC67" i="6"/>
  <c r="R118" i="5" s="1"/>
  <c r="T19" i="6"/>
  <c r="M69" i="5" s="1"/>
  <c r="R19" i="6"/>
  <c r="N69" i="5" s="1"/>
  <c r="S19" i="6"/>
  <c r="L96" i="5" s="1"/>
  <c r="T51" i="6"/>
  <c r="M97" i="5" s="1"/>
  <c r="R51" i="6"/>
  <c r="S51"/>
  <c r="L97" i="5" s="1"/>
  <c r="R83" i="6"/>
  <c r="S83"/>
  <c r="L74" i="5" s="1"/>
  <c r="T83" i="6"/>
  <c r="M74" i="5" s="1"/>
  <c r="R39" i="6"/>
  <c r="N99" i="5" s="1"/>
  <c r="T39" i="6"/>
  <c r="M73" i="5" s="1"/>
  <c r="S39" i="6"/>
  <c r="L73" i="5" s="1"/>
  <c r="R71" i="6"/>
  <c r="N107" i="5" s="1"/>
  <c r="T71" i="6"/>
  <c r="M107" i="5" s="1"/>
  <c r="S71" i="6"/>
  <c r="L66" i="5" s="1"/>
  <c r="T11" i="6"/>
  <c r="M103" i="5" s="1"/>
  <c r="R11" i="6"/>
  <c r="N103" i="5" s="1"/>
  <c r="S11" i="6"/>
  <c r="L77" i="5" s="1"/>
  <c r="L24"/>
  <c r="L20"/>
  <c r="M18"/>
  <c r="M16"/>
  <c r="L12"/>
  <c r="N10"/>
  <c r="M8"/>
  <c r="L182"/>
  <c r="N180"/>
  <c r="M178"/>
  <c r="L174"/>
  <c r="N172"/>
  <c r="M170"/>
  <c r="L166"/>
  <c r="N164"/>
  <c r="M162"/>
  <c r="L158"/>
  <c r="N156"/>
  <c r="M154"/>
  <c r="L150"/>
  <c r="N148"/>
  <c r="M146"/>
  <c r="L25"/>
  <c r="N23"/>
  <c r="M21"/>
  <c r="L17"/>
  <c r="M13"/>
  <c r="L9"/>
  <c r="N185"/>
  <c r="M183"/>
  <c r="L179"/>
  <c r="N177"/>
  <c r="M175"/>
  <c r="L171"/>
  <c r="N169"/>
  <c r="M167"/>
  <c r="L163"/>
  <c r="N161"/>
  <c r="M159"/>
  <c r="L155"/>
  <c r="N153"/>
  <c r="M151"/>
  <c r="L147"/>
  <c r="L7"/>
  <c r="N24"/>
  <c r="N22"/>
  <c r="N20"/>
  <c r="L18"/>
  <c r="L14"/>
  <c r="N12"/>
  <c r="M10"/>
  <c r="L184"/>
  <c r="N182"/>
  <c r="M180"/>
  <c r="L176"/>
  <c r="N174"/>
  <c r="M172"/>
  <c r="L168"/>
  <c r="N166"/>
  <c r="M164"/>
  <c r="L160"/>
  <c r="N158"/>
  <c r="M156"/>
  <c r="L152"/>
  <c r="N150"/>
  <c r="M148"/>
  <c r="M6"/>
  <c r="N25"/>
  <c r="M23"/>
  <c r="L19"/>
  <c r="N17"/>
  <c r="L11"/>
  <c r="N9"/>
  <c r="M185"/>
  <c r="L181"/>
  <c r="N179"/>
  <c r="M177"/>
  <c r="L173"/>
  <c r="N171"/>
  <c r="M169"/>
  <c r="L165"/>
  <c r="N163"/>
  <c r="M161"/>
  <c r="L157"/>
  <c r="N155"/>
  <c r="M153"/>
  <c r="L149"/>
  <c r="N147"/>
  <c r="N145"/>
  <c r="L143"/>
  <c r="M143"/>
  <c r="L141"/>
  <c r="L139"/>
  <c r="M139"/>
  <c r="N137"/>
  <c r="L135"/>
  <c r="M135"/>
  <c r="N133"/>
  <c r="L131"/>
  <c r="M129"/>
  <c r="N129"/>
  <c r="L127"/>
  <c r="L126"/>
  <c r="N144"/>
  <c r="L142"/>
  <c r="M142"/>
  <c r="N140"/>
  <c r="N138"/>
  <c r="M138"/>
  <c r="N134"/>
  <c r="N132"/>
  <c r="L130"/>
  <c r="M128"/>
  <c r="N128"/>
  <c r="L136"/>
  <c r="N7"/>
  <c r="L22"/>
  <c r="N18"/>
  <c r="N16"/>
  <c r="N14"/>
  <c r="M12"/>
  <c r="L8"/>
  <c r="N184"/>
  <c r="M182"/>
  <c r="L178"/>
  <c r="N176"/>
  <c r="M174"/>
  <c r="L170"/>
  <c r="N168"/>
  <c r="M166"/>
  <c r="L162"/>
  <c r="N160"/>
  <c r="M158"/>
  <c r="L154"/>
  <c r="N152"/>
  <c r="M150"/>
  <c r="L146"/>
  <c r="N6"/>
  <c r="M25"/>
  <c r="N21"/>
  <c r="N19"/>
  <c r="M17"/>
  <c r="L13"/>
  <c r="N11"/>
  <c r="M9"/>
  <c r="L183"/>
  <c r="N181"/>
  <c r="M179"/>
  <c r="L175"/>
  <c r="N173"/>
  <c r="M171"/>
  <c r="L167"/>
  <c r="N165"/>
  <c r="M163"/>
  <c r="L159"/>
  <c r="N157"/>
  <c r="M155"/>
  <c r="L151"/>
  <c r="N149"/>
  <c r="M147"/>
  <c r="M7"/>
  <c r="M24"/>
  <c r="M22"/>
  <c r="M20"/>
  <c r="L16"/>
  <c r="M14"/>
  <c r="L10"/>
  <c r="N8"/>
  <c r="M184"/>
  <c r="L180"/>
  <c r="N178"/>
  <c r="M176"/>
  <c r="L172"/>
  <c r="N170"/>
  <c r="M168"/>
  <c r="L164"/>
  <c r="N162"/>
  <c r="M160"/>
  <c r="L156"/>
  <c r="N154"/>
  <c r="M152"/>
  <c r="L148"/>
  <c r="N146"/>
  <c r="L6"/>
  <c r="L23"/>
  <c r="L21"/>
  <c r="M19"/>
  <c r="N13"/>
  <c r="M11"/>
  <c r="L185"/>
  <c r="N183"/>
  <c r="M181"/>
  <c r="L177"/>
  <c r="N175"/>
  <c r="M173"/>
  <c r="L169"/>
  <c r="N167"/>
  <c r="M165"/>
  <c r="L161"/>
  <c r="N159"/>
  <c r="M157"/>
  <c r="L153"/>
  <c r="N151"/>
  <c r="M149"/>
  <c r="L145"/>
  <c r="M145"/>
  <c r="N143"/>
  <c r="N141"/>
  <c r="M141"/>
  <c r="N139"/>
  <c r="L137"/>
  <c r="M137"/>
  <c r="N135"/>
  <c r="L133"/>
  <c r="M133"/>
  <c r="M131"/>
  <c r="N131"/>
  <c r="L129"/>
  <c r="M127"/>
  <c r="N127"/>
  <c r="M126"/>
  <c r="N126"/>
  <c r="L144"/>
  <c r="M144"/>
  <c r="N142"/>
  <c r="L140"/>
  <c r="M140"/>
  <c r="L138"/>
  <c r="L134"/>
  <c r="M134"/>
  <c r="L132"/>
  <c r="M132"/>
  <c r="M130"/>
  <c r="N130"/>
  <c r="L128"/>
  <c r="N136"/>
  <c r="M136"/>
  <c r="M83"/>
  <c r="N83"/>
  <c r="L83"/>
  <c r="R47" i="6"/>
  <c r="N81" i="5" s="1"/>
  <c r="T47" i="6"/>
  <c r="M81" i="5" s="1"/>
  <c r="S47" i="6"/>
  <c r="L115" i="5" s="1"/>
  <c r="R79" i="6"/>
  <c r="N80" i="5" s="1"/>
  <c r="T79" i="6"/>
  <c r="M80" i="5" s="1"/>
  <c r="S79" i="6"/>
  <c r="L125" i="5" s="1"/>
  <c r="R75" i="6"/>
  <c r="N78" i="5" s="1"/>
  <c r="S75" i="6"/>
  <c r="L92" i="5" s="1"/>
  <c r="T75" i="6"/>
  <c r="M78" i="5" s="1"/>
  <c r="R59" i="6"/>
  <c r="N89" i="5" s="1"/>
  <c r="S59" i="6"/>
  <c r="L67" i="5" s="1"/>
  <c r="T59" i="6"/>
  <c r="M89" i="5" s="1"/>
  <c r="H39" i="6"/>
  <c r="J39"/>
  <c r="I39"/>
  <c r="F71" i="5" s="1"/>
  <c r="H71" i="6"/>
  <c r="J71"/>
  <c r="I71"/>
  <c r="F70" i="5" s="1"/>
  <c r="H35" i="6"/>
  <c r="H104" i="5" s="1"/>
  <c r="J35" i="6"/>
  <c r="G96" i="5" s="1"/>
  <c r="I35" i="6"/>
  <c r="F104" i="5" s="1"/>
  <c r="H83" i="6"/>
  <c r="H107" i="5" s="1"/>
  <c r="J83" i="6"/>
  <c r="G107" i="5" s="1"/>
  <c r="I83" i="6"/>
  <c r="F74" i="5" s="1"/>
  <c r="H31" i="6"/>
  <c r="H85" i="5" s="1"/>
  <c r="J31" i="6"/>
  <c r="G77" i="5" s="1"/>
  <c r="I31" i="6"/>
  <c r="F77" i="5" s="1"/>
  <c r="H79" i="6"/>
  <c r="H112" i="5" s="1"/>
  <c r="J79" i="6"/>
  <c r="G81" i="5" s="1"/>
  <c r="I79" i="6"/>
  <c r="F81" i="5" s="1"/>
  <c r="C55" i="6"/>
  <c r="E116" i="5" s="1"/>
  <c r="E55" i="6"/>
  <c r="D116" i="5" s="1"/>
  <c r="D55" i="6"/>
  <c r="C116" i="5" s="1"/>
  <c r="D15" i="6"/>
  <c r="C79" i="5" s="1"/>
  <c r="E15" i="6"/>
  <c r="D67" i="5" s="1"/>
  <c r="C15" i="6"/>
  <c r="C27"/>
  <c r="E99" i="5" s="1"/>
  <c r="E27" i="6"/>
  <c r="D99" i="5" s="1"/>
  <c r="D27" i="6"/>
  <c r="E59"/>
  <c r="C59"/>
  <c r="E121" i="5" s="1"/>
  <c r="D59" i="6"/>
  <c r="C107" i="5" s="1"/>
  <c r="D35" i="6"/>
  <c r="C35"/>
  <c r="E73" i="5" s="1"/>
  <c r="E35" i="6"/>
  <c r="C67"/>
  <c r="E74" i="5" s="1"/>
  <c r="E67" i="6"/>
  <c r="D74" i="5" s="1"/>
  <c r="D67" i="6"/>
  <c r="C112" i="5" s="1"/>
  <c r="C47" i="6"/>
  <c r="E47"/>
  <c r="D47"/>
  <c r="C66" i="5" s="1"/>
  <c r="J43" i="6"/>
  <c r="G95" i="5" s="1"/>
  <c r="H43" i="6"/>
  <c r="H68" i="5" s="1"/>
  <c r="I43" i="6"/>
  <c r="F115" i="5" s="1"/>
  <c r="T76"/>
  <c r="L76"/>
  <c r="H76"/>
  <c r="D76"/>
  <c r="G76"/>
  <c r="C76"/>
  <c r="R74"/>
  <c r="N74"/>
  <c r="G74"/>
  <c r="C74"/>
  <c r="H74"/>
  <c r="R79"/>
  <c r="N79"/>
  <c r="F79"/>
  <c r="S79"/>
  <c r="M79"/>
  <c r="E79"/>
  <c r="T85"/>
  <c r="L85"/>
  <c r="F85"/>
  <c r="S85"/>
  <c r="M85"/>
  <c r="G85"/>
  <c r="R82"/>
  <c r="N82"/>
  <c r="F82"/>
  <c r="S82"/>
  <c r="M82"/>
  <c r="T80"/>
  <c r="L80"/>
  <c r="F80"/>
  <c r="S80"/>
  <c r="G80"/>
  <c r="C80"/>
  <c r="N68"/>
  <c r="F68"/>
  <c r="M68"/>
  <c r="T70"/>
  <c r="H70"/>
  <c r="G70"/>
  <c r="C70"/>
  <c r="R67"/>
  <c r="N67"/>
  <c r="F67"/>
  <c r="S67"/>
  <c r="M67"/>
  <c r="R77"/>
  <c r="N77"/>
  <c r="S77"/>
  <c r="M77"/>
  <c r="T75"/>
  <c r="L75"/>
  <c r="H75"/>
  <c r="D75"/>
  <c r="G75"/>
  <c r="C75"/>
  <c r="G73"/>
  <c r="R73"/>
  <c r="N73"/>
  <c r="F73"/>
  <c r="T78"/>
  <c r="L78"/>
  <c r="H78"/>
  <c r="D78"/>
  <c r="C78"/>
  <c r="R84"/>
  <c r="N84"/>
  <c r="F84"/>
  <c r="S84"/>
  <c r="M84"/>
  <c r="T81"/>
  <c r="L81"/>
  <c r="H81"/>
  <c r="D81"/>
  <c r="D72"/>
  <c r="R72"/>
  <c r="N72"/>
  <c r="R71"/>
  <c r="N71"/>
  <c r="S71"/>
  <c r="M71"/>
  <c r="T69"/>
  <c r="L69"/>
  <c r="G69"/>
  <c r="R66"/>
  <c r="N66"/>
  <c r="F66"/>
  <c r="S66"/>
  <c r="M66"/>
  <c r="S136"/>
  <c r="T128"/>
  <c r="S130"/>
  <c r="T132"/>
  <c r="T134"/>
  <c r="S140"/>
  <c r="R142"/>
  <c r="T144"/>
  <c r="S126"/>
  <c r="S127"/>
  <c r="R131"/>
  <c r="S133"/>
  <c r="R135"/>
  <c r="T137"/>
  <c r="S141"/>
  <c r="R143"/>
  <c r="T145"/>
  <c r="R128"/>
  <c r="T130"/>
  <c r="R134"/>
  <c r="R138"/>
  <c r="S142"/>
  <c r="R144"/>
  <c r="T127"/>
  <c r="S129"/>
  <c r="R133"/>
  <c r="T135"/>
  <c r="S139"/>
  <c r="T141"/>
  <c r="T143"/>
  <c r="R9"/>
  <c r="T11"/>
  <c r="S15"/>
  <c r="S17"/>
  <c r="T19"/>
  <c r="T23"/>
  <c r="R25"/>
  <c r="S6"/>
  <c r="S10"/>
  <c r="R12"/>
  <c r="T14"/>
  <c r="S18"/>
  <c r="R20"/>
  <c r="R22"/>
  <c r="S7"/>
  <c r="S9"/>
  <c r="R11"/>
  <c r="T13"/>
  <c r="T17"/>
  <c r="R19"/>
  <c r="R21"/>
  <c r="R23"/>
  <c r="R6"/>
  <c r="T8"/>
  <c r="S12"/>
  <c r="R14"/>
  <c r="R16"/>
  <c r="S20"/>
  <c r="T22"/>
  <c r="N249" i="6"/>
  <c r="V59"/>
  <c r="V58"/>
  <c r="V55"/>
  <c r="V54"/>
  <c r="V51"/>
  <c r="V50"/>
  <c r="V47"/>
  <c r="V46"/>
  <c r="V43"/>
  <c r="V42"/>
  <c r="V39"/>
  <c r="V38"/>
  <c r="V35"/>
  <c r="V34"/>
  <c r="V31"/>
  <c r="V30"/>
  <c r="V27"/>
  <c r="V26"/>
  <c r="V23"/>
  <c r="V22"/>
  <c r="V19"/>
  <c r="V18"/>
  <c r="V15"/>
  <c r="V14"/>
  <c r="V11"/>
  <c r="V10"/>
  <c r="H69" i="5" l="1"/>
  <c r="J186" a="1"/>
  <c r="J186" s="1"/>
  <c r="J187" s="1"/>
  <c r="C69"/>
  <c r="D70"/>
  <c r="E68"/>
  <c r="D66"/>
  <c r="D71"/>
  <c r="E70"/>
  <c r="E69"/>
  <c r="D68"/>
  <c r="C68"/>
  <c r="C67"/>
  <c r="E67"/>
  <c r="Q67" s="1"/>
  <c r="W67" s="1"/>
  <c r="I186" a="1"/>
  <c r="I186" s="1"/>
  <c r="G71"/>
  <c r="F69"/>
  <c r="H84"/>
  <c r="H73"/>
  <c r="G82"/>
  <c r="H71"/>
  <c r="G84"/>
  <c r="H82"/>
  <c r="C72"/>
  <c r="E72"/>
  <c r="Q72" s="1"/>
  <c r="D73"/>
  <c r="C73"/>
  <c r="E80"/>
  <c r="Q80" s="1"/>
  <c r="W80" s="1"/>
  <c r="E76"/>
  <c r="G88"/>
  <c r="G90"/>
  <c r="F86"/>
  <c r="G92"/>
  <c r="H86"/>
  <c r="F92"/>
  <c r="H102"/>
  <c r="F101"/>
  <c r="G101"/>
  <c r="G68"/>
  <c r="H106"/>
  <c r="G83"/>
  <c r="F88"/>
  <c r="H88"/>
  <c r="H92"/>
  <c r="F102"/>
  <c r="G104"/>
  <c r="G86"/>
  <c r="G102"/>
  <c r="H95"/>
  <c r="F95"/>
  <c r="H101"/>
  <c r="C82"/>
  <c r="D97"/>
  <c r="C101"/>
  <c r="E101"/>
  <c r="C96"/>
  <c r="E96"/>
  <c r="Q96" s="1"/>
  <c r="D82"/>
  <c r="C84"/>
  <c r="D84"/>
  <c r="C97"/>
  <c r="E97"/>
  <c r="Q97" s="1"/>
  <c r="D101"/>
  <c r="D96"/>
  <c r="C91"/>
  <c r="C99"/>
  <c r="E91"/>
  <c r="Q91" s="1"/>
  <c r="W91" s="1"/>
  <c r="D105"/>
  <c r="F114"/>
  <c r="H114"/>
  <c r="F98"/>
  <c r="H98"/>
  <c r="F113"/>
  <c r="F106"/>
  <c r="H123"/>
  <c r="F111"/>
  <c r="G113"/>
  <c r="G78"/>
  <c r="G72"/>
  <c r="G114"/>
  <c r="G98"/>
  <c r="G111"/>
  <c r="F90"/>
  <c r="G123"/>
  <c r="H113"/>
  <c r="H90"/>
  <c r="G106"/>
  <c r="F123"/>
  <c r="C124"/>
  <c r="C115"/>
  <c r="E94"/>
  <c r="Q94" s="1"/>
  <c r="W94" s="1"/>
  <c r="E120"/>
  <c r="Q120" s="1"/>
  <c r="W120" s="1"/>
  <c r="E124"/>
  <c r="C109"/>
  <c r="E115"/>
  <c r="Q115" s="1"/>
  <c r="C98"/>
  <c r="D120"/>
  <c r="E93"/>
  <c r="Q93" s="1"/>
  <c r="W93" s="1"/>
  <c r="D93"/>
  <c r="E71"/>
  <c r="Q71" s="1"/>
  <c r="D124"/>
  <c r="E109"/>
  <c r="D115"/>
  <c r="E98"/>
  <c r="Q98" s="1"/>
  <c r="W98" s="1"/>
  <c r="D109"/>
  <c r="D98"/>
  <c r="C120"/>
  <c r="C93"/>
  <c r="C123"/>
  <c r="D112"/>
  <c r="C94"/>
  <c r="E123"/>
  <c r="Q123" s="1"/>
  <c r="C125"/>
  <c r="D95"/>
  <c r="D107"/>
  <c r="E100"/>
  <c r="Q100" s="1"/>
  <c r="W100" s="1"/>
  <c r="E82"/>
  <c r="C85"/>
  <c r="E103"/>
  <c r="Q103" s="1"/>
  <c r="W103" s="1"/>
  <c r="D85"/>
  <c r="D123"/>
  <c r="E125"/>
  <c r="Q125" s="1"/>
  <c r="E112"/>
  <c r="Q112" s="1"/>
  <c r="W112" s="1"/>
  <c r="D94"/>
  <c r="D125"/>
  <c r="C95"/>
  <c r="E95"/>
  <c r="E107"/>
  <c r="Q107" s="1"/>
  <c r="W107" s="1"/>
  <c r="E66"/>
  <c r="Q66" s="1"/>
  <c r="W66" s="1"/>
  <c r="AC249" i="6"/>
  <c r="E84" i="5"/>
  <c r="C71"/>
  <c r="D77"/>
  <c r="S249" i="6"/>
  <c r="N76" i="5"/>
  <c r="L103"/>
  <c r="AD249" i="6"/>
  <c r="AD250" s="1"/>
  <c r="M76" i="5"/>
  <c r="N125"/>
  <c r="M115"/>
  <c r="N92"/>
  <c r="M96"/>
  <c r="L89"/>
  <c r="M99"/>
  <c r="N115"/>
  <c r="N96"/>
  <c r="L99"/>
  <c r="M125"/>
  <c r="M92"/>
  <c r="L91"/>
  <c r="N97"/>
  <c r="L107"/>
  <c r="G115"/>
  <c r="H121"/>
  <c r="G112"/>
  <c r="F107"/>
  <c r="I249" i="6"/>
  <c r="F72" i="5"/>
  <c r="H72"/>
  <c r="H77"/>
  <c r="H115"/>
  <c r="H96"/>
  <c r="F121"/>
  <c r="F96"/>
  <c r="G121"/>
  <c r="F112"/>
  <c r="D100"/>
  <c r="D106"/>
  <c r="C121"/>
  <c r="C103"/>
  <c r="D79"/>
  <c r="C77"/>
  <c r="E77"/>
  <c r="Q77" s="1"/>
  <c r="C100"/>
  <c r="E106"/>
  <c r="Q106" s="1"/>
  <c r="C106"/>
  <c r="D121"/>
  <c r="D103"/>
  <c r="D249" i="6"/>
  <c r="O35" i="5"/>
  <c r="P33"/>
  <c r="O33"/>
  <c r="P29"/>
  <c r="O29"/>
  <c r="O64"/>
  <c r="P64"/>
  <c r="O60"/>
  <c r="U60" s="1"/>
  <c r="P60"/>
  <c r="O56"/>
  <c r="U56" s="1"/>
  <c r="P56"/>
  <c r="P54"/>
  <c r="O52"/>
  <c r="P52"/>
  <c r="O48"/>
  <c r="P48"/>
  <c r="V48" s="1"/>
  <c r="X48" s="1"/>
  <c r="O44"/>
  <c r="P44"/>
  <c r="O40"/>
  <c r="P40"/>
  <c r="O36"/>
  <c r="P36"/>
  <c r="O105"/>
  <c r="P105"/>
  <c r="O101"/>
  <c r="P101"/>
  <c r="O97"/>
  <c r="P97"/>
  <c r="O93"/>
  <c r="P93"/>
  <c r="O89"/>
  <c r="P89"/>
  <c r="P35"/>
  <c r="P31"/>
  <c r="O31"/>
  <c r="P27"/>
  <c r="O27"/>
  <c r="O62"/>
  <c r="U62" s="1"/>
  <c r="P62"/>
  <c r="O58"/>
  <c r="U58" s="1"/>
  <c r="P58"/>
  <c r="O54"/>
  <c r="U54" s="1"/>
  <c r="O50"/>
  <c r="P50"/>
  <c r="V50" s="1"/>
  <c r="X50" s="1"/>
  <c r="O46"/>
  <c r="P46"/>
  <c r="V46" s="1"/>
  <c r="X46" s="1"/>
  <c r="O42"/>
  <c r="P42"/>
  <c r="O38"/>
  <c r="P38"/>
  <c r="O107"/>
  <c r="P107"/>
  <c r="V107" s="1"/>
  <c r="X107" s="1"/>
  <c r="O99"/>
  <c r="P99"/>
  <c r="O95"/>
  <c r="P95"/>
  <c r="O91"/>
  <c r="P91"/>
  <c r="O116"/>
  <c r="P116"/>
  <c r="V116" s="1"/>
  <c r="X116" s="1"/>
  <c r="O112"/>
  <c r="P112"/>
  <c r="O125"/>
  <c r="P125"/>
  <c r="O121"/>
  <c r="P121"/>
  <c r="O26"/>
  <c r="P34"/>
  <c r="O32"/>
  <c r="P30"/>
  <c r="O28"/>
  <c r="O65"/>
  <c r="P65"/>
  <c r="O61"/>
  <c r="U61" s="1"/>
  <c r="P61"/>
  <c r="O57"/>
  <c r="P57"/>
  <c r="O53"/>
  <c r="P53"/>
  <c r="O49"/>
  <c r="U49" s="1"/>
  <c r="P49"/>
  <c r="O45"/>
  <c r="P45"/>
  <c r="O41"/>
  <c r="P41"/>
  <c r="O37"/>
  <c r="P37"/>
  <c r="O106"/>
  <c r="P106"/>
  <c r="O102"/>
  <c r="P102"/>
  <c r="O94"/>
  <c r="P94"/>
  <c r="O86"/>
  <c r="P86"/>
  <c r="O117"/>
  <c r="P117"/>
  <c r="O113"/>
  <c r="U113" s="1"/>
  <c r="P113"/>
  <c r="O109"/>
  <c r="P109"/>
  <c r="O87"/>
  <c r="P87"/>
  <c r="O114"/>
  <c r="P114"/>
  <c r="O110"/>
  <c r="P110"/>
  <c r="O123"/>
  <c r="P123"/>
  <c r="P26"/>
  <c r="O34"/>
  <c r="P32"/>
  <c r="O30"/>
  <c r="P28"/>
  <c r="O63"/>
  <c r="P63"/>
  <c r="O59"/>
  <c r="P59"/>
  <c r="V59" s="1"/>
  <c r="X59" s="1"/>
  <c r="O55"/>
  <c r="P55"/>
  <c r="O51"/>
  <c r="P51"/>
  <c r="V51" s="1"/>
  <c r="X51" s="1"/>
  <c r="O47"/>
  <c r="P47"/>
  <c r="V47" s="1"/>
  <c r="X47" s="1"/>
  <c r="O43"/>
  <c r="P43"/>
  <c r="O39"/>
  <c r="P39"/>
  <c r="O104"/>
  <c r="P104"/>
  <c r="O100"/>
  <c r="P100"/>
  <c r="V100" s="1"/>
  <c r="X100" s="1"/>
  <c r="O96"/>
  <c r="P96"/>
  <c r="O92"/>
  <c r="P92"/>
  <c r="O119"/>
  <c r="P119"/>
  <c r="V119" s="1"/>
  <c r="X119" s="1"/>
  <c r="O111"/>
  <c r="P111"/>
  <c r="O124"/>
  <c r="P124"/>
  <c r="Q75"/>
  <c r="Q109"/>
  <c r="W109" s="1"/>
  <c r="Q117"/>
  <c r="W117" s="1"/>
  <c r="Q90"/>
  <c r="W90" s="1"/>
  <c r="Q41"/>
  <c r="W41" s="1"/>
  <c r="Q49"/>
  <c r="W49" s="1"/>
  <c r="Q57"/>
  <c r="W57" s="1"/>
  <c r="Q65"/>
  <c r="W65" s="1"/>
  <c r="Q34"/>
  <c r="Q124"/>
  <c r="W124" s="1"/>
  <c r="Q88"/>
  <c r="Q104"/>
  <c r="Q39"/>
  <c r="W39" s="1"/>
  <c r="Q47"/>
  <c r="Q55"/>
  <c r="W55" s="1"/>
  <c r="Q63"/>
  <c r="Q32"/>
  <c r="Q118"/>
  <c r="W118" s="1"/>
  <c r="Q89"/>
  <c r="W89" s="1"/>
  <c r="Q105"/>
  <c r="W105" s="1"/>
  <c r="Q40"/>
  <c r="W40" s="1"/>
  <c r="Q48"/>
  <c r="Q60"/>
  <c r="W60" s="1"/>
  <c r="Q27"/>
  <c r="Q87"/>
  <c r="W87" s="1"/>
  <c r="Q95"/>
  <c r="W95" s="1"/>
  <c r="Q38"/>
  <c r="W38" s="1"/>
  <c r="Q46"/>
  <c r="W46" s="1"/>
  <c r="Q58"/>
  <c r="Q33"/>
  <c r="W33" s="1"/>
  <c r="Q35"/>
  <c r="Q74"/>
  <c r="W74" s="1"/>
  <c r="Q73"/>
  <c r="W73" s="1"/>
  <c r="Q122"/>
  <c r="W122" s="1"/>
  <c r="Q113"/>
  <c r="Q86"/>
  <c r="W86" s="1"/>
  <c r="Q102"/>
  <c r="W102" s="1"/>
  <c r="Q37"/>
  <c r="W37" s="1"/>
  <c r="Q45"/>
  <c r="W45" s="1"/>
  <c r="Q53"/>
  <c r="Q61"/>
  <c r="W61" s="1"/>
  <c r="Q30"/>
  <c r="W30" s="1"/>
  <c r="Q121"/>
  <c r="Q116"/>
  <c r="W116" s="1"/>
  <c r="Q111"/>
  <c r="W111" s="1"/>
  <c r="Q119"/>
  <c r="W119" s="1"/>
  <c r="Q92"/>
  <c r="Q108"/>
  <c r="W108" s="1"/>
  <c r="Q43"/>
  <c r="W43" s="1"/>
  <c r="Q51"/>
  <c r="W51" s="1"/>
  <c r="Q59"/>
  <c r="W59" s="1"/>
  <c r="Q28"/>
  <c r="W28" s="1"/>
  <c r="Q26"/>
  <c r="W26" s="1"/>
  <c r="Q110"/>
  <c r="W110" s="1"/>
  <c r="Q114"/>
  <c r="Q101"/>
  <c r="W101" s="1"/>
  <c r="Q36"/>
  <c r="W36" s="1"/>
  <c r="Q44"/>
  <c r="W44" s="1"/>
  <c r="Q52"/>
  <c r="Q56"/>
  <c r="W56" s="1"/>
  <c r="Q64"/>
  <c r="W64" s="1"/>
  <c r="Q31"/>
  <c r="W31" s="1"/>
  <c r="Q99"/>
  <c r="W99" s="1"/>
  <c r="Q42"/>
  <c r="W42" s="1"/>
  <c r="Q50"/>
  <c r="Q54"/>
  <c r="W54" s="1"/>
  <c r="Q62"/>
  <c r="W62" s="1"/>
  <c r="Q29"/>
  <c r="W29" s="1"/>
  <c r="Q68"/>
  <c r="W68" s="1"/>
  <c r="Q79"/>
  <c r="W79" s="1"/>
  <c r="T249" i="6"/>
  <c r="T250" s="1"/>
  <c r="E249"/>
  <c r="E250" s="1"/>
  <c r="Q69" i="5"/>
  <c r="Q81"/>
  <c r="W81" s="1"/>
  <c r="Q78"/>
  <c r="W78" s="1"/>
  <c r="Q70"/>
  <c r="W70" s="1"/>
  <c r="Q76"/>
  <c r="Q83"/>
  <c r="Q136"/>
  <c r="W136" s="1"/>
  <c r="Q132"/>
  <c r="Q140"/>
  <c r="W140" s="1"/>
  <c r="Q127"/>
  <c r="Q133"/>
  <c r="W133" s="1"/>
  <c r="Q128"/>
  <c r="Q129"/>
  <c r="W129" s="1"/>
  <c r="Q135"/>
  <c r="Q143"/>
  <c r="W143" s="1"/>
  <c r="Q149"/>
  <c r="Q157"/>
  <c r="W157" s="1"/>
  <c r="Q165"/>
  <c r="Q173"/>
  <c r="W173" s="1"/>
  <c r="Q181"/>
  <c r="W181" s="1"/>
  <c r="Q11"/>
  <c r="W11" s="1"/>
  <c r="Q19"/>
  <c r="W19" s="1"/>
  <c r="Q21"/>
  <c r="W21" s="1"/>
  <c r="Q152"/>
  <c r="W152" s="1"/>
  <c r="Q160"/>
  <c r="W160" s="1"/>
  <c r="Q168"/>
  <c r="W168" s="1"/>
  <c r="Q176"/>
  <c r="W176" s="1"/>
  <c r="Q184"/>
  <c r="Q14"/>
  <c r="W14" s="1"/>
  <c r="Q16"/>
  <c r="W16" s="1"/>
  <c r="Q24"/>
  <c r="W24" s="1"/>
  <c r="Q151"/>
  <c r="W151" s="1"/>
  <c r="Q159"/>
  <c r="W159" s="1"/>
  <c r="Q167"/>
  <c r="W167" s="1"/>
  <c r="Q175"/>
  <c r="W175" s="1"/>
  <c r="Q183"/>
  <c r="W183" s="1"/>
  <c r="Q13"/>
  <c r="W13" s="1"/>
  <c r="Q15"/>
  <c r="W15" s="1"/>
  <c r="Q146"/>
  <c r="W146" s="1"/>
  <c r="Q154"/>
  <c r="W154" s="1"/>
  <c r="Q162"/>
  <c r="W162" s="1"/>
  <c r="Q170"/>
  <c r="W170" s="1"/>
  <c r="Q178"/>
  <c r="W178" s="1"/>
  <c r="Q8"/>
  <c r="W8" s="1"/>
  <c r="Q18"/>
  <c r="W18" s="1"/>
  <c r="J249" i="6"/>
  <c r="J250" s="1"/>
  <c r="W11"/>
  <c r="X11"/>
  <c r="Y11"/>
  <c r="P88" i="5" s="1"/>
  <c r="V88" s="1"/>
  <c r="X88" s="1"/>
  <c r="W15" i="6"/>
  <c r="X15"/>
  <c r="O90" i="5" s="1"/>
  <c r="U90" s="1"/>
  <c r="Y15" i="6"/>
  <c r="P69" i="5" s="1"/>
  <c r="V69" s="1"/>
  <c r="X69" s="1"/>
  <c r="Y19" i="6"/>
  <c r="P76" i="5" s="1"/>
  <c r="V76" s="1"/>
  <c r="X76" s="1"/>
  <c r="W19" i="6"/>
  <c r="X19"/>
  <c r="O76" i="5" s="1"/>
  <c r="U76" s="1"/>
  <c r="Y23" i="6"/>
  <c r="P120" i="5" s="1"/>
  <c r="W23" i="6"/>
  <c r="X23"/>
  <c r="O120" i="5" s="1"/>
  <c r="Y27" i="6"/>
  <c r="P115" i="5" s="1"/>
  <c r="W27" i="6"/>
  <c r="X27"/>
  <c r="O115" i="5" s="1"/>
  <c r="U115" s="1"/>
  <c r="Y31" i="6"/>
  <c r="W31"/>
  <c r="X31"/>
  <c r="Y35"/>
  <c r="P118" i="5" s="1"/>
  <c r="V118" s="1"/>
  <c r="X118" s="1"/>
  <c r="W35" i="6"/>
  <c r="X35"/>
  <c r="O118" i="5" s="1"/>
  <c r="U118" s="1"/>
  <c r="Y39" i="6"/>
  <c r="P108" i="5" s="1"/>
  <c r="V108" s="1"/>
  <c r="X108" s="1"/>
  <c r="W39" i="6"/>
  <c r="X39"/>
  <c r="O108" i="5" s="1"/>
  <c r="U108" s="1"/>
  <c r="Y43" i="6"/>
  <c r="P122" i="5" s="1"/>
  <c r="V122" s="1"/>
  <c r="X122" s="1"/>
  <c r="W43" i="6"/>
  <c r="X43"/>
  <c r="O122" i="5" s="1"/>
  <c r="U122" s="1"/>
  <c r="Y47" i="6"/>
  <c r="P103" i="5" s="1"/>
  <c r="W47" i="6"/>
  <c r="X47"/>
  <c r="O103" i="5" s="1"/>
  <c r="Y51" i="6"/>
  <c r="P98" i="5" s="1"/>
  <c r="V98" s="1"/>
  <c r="X98" s="1"/>
  <c r="W51" i="6"/>
  <c r="X51"/>
  <c r="O98" i="5" s="1"/>
  <c r="U98" s="1"/>
  <c r="Y55" i="6"/>
  <c r="W55"/>
  <c r="X55"/>
  <c r="Y59"/>
  <c r="P68" i="5" s="1"/>
  <c r="W59" i="6"/>
  <c r="X59"/>
  <c r="O7" i="5"/>
  <c r="U7" s="1"/>
  <c r="P24"/>
  <c r="P22"/>
  <c r="O22"/>
  <c r="P20"/>
  <c r="V20" s="1"/>
  <c r="X20" s="1"/>
  <c r="O18"/>
  <c r="U18" s="1"/>
  <c r="O14"/>
  <c r="U14" s="1"/>
  <c r="P12"/>
  <c r="V12" s="1"/>
  <c r="X12" s="1"/>
  <c r="O10"/>
  <c r="U10" s="1"/>
  <c r="P8"/>
  <c r="O184"/>
  <c r="U184" s="1"/>
  <c r="P182"/>
  <c r="V182" s="1"/>
  <c r="X182" s="1"/>
  <c r="O180"/>
  <c r="U180" s="1"/>
  <c r="P178"/>
  <c r="V178" s="1"/>
  <c r="X178" s="1"/>
  <c r="O176"/>
  <c r="U176" s="1"/>
  <c r="P174"/>
  <c r="O172"/>
  <c r="U172" s="1"/>
  <c r="P170"/>
  <c r="V170" s="1"/>
  <c r="X170" s="1"/>
  <c r="O168"/>
  <c r="U168" s="1"/>
  <c r="P166"/>
  <c r="O164"/>
  <c r="U164" s="1"/>
  <c r="P162"/>
  <c r="O160"/>
  <c r="P158"/>
  <c r="O156"/>
  <c r="U156" s="1"/>
  <c r="P154"/>
  <c r="V154" s="1"/>
  <c r="X154" s="1"/>
  <c r="O152"/>
  <c r="U152" s="1"/>
  <c r="P150"/>
  <c r="O148"/>
  <c r="U148" s="1"/>
  <c r="P146"/>
  <c r="O6"/>
  <c r="P25"/>
  <c r="O25"/>
  <c r="P17"/>
  <c r="V17" s="1"/>
  <c r="X17" s="1"/>
  <c r="O17"/>
  <c r="U17" s="1"/>
  <c r="P15"/>
  <c r="V15" s="1"/>
  <c r="X15" s="1"/>
  <c r="O15"/>
  <c r="U15" s="1"/>
  <c r="P13"/>
  <c r="O11"/>
  <c r="U11" s="1"/>
  <c r="P9"/>
  <c r="V9" s="1"/>
  <c r="X9" s="1"/>
  <c r="O185"/>
  <c r="P183"/>
  <c r="V183" s="1"/>
  <c r="X183" s="1"/>
  <c r="O181"/>
  <c r="U181" s="1"/>
  <c r="P179"/>
  <c r="O177"/>
  <c r="U177" s="1"/>
  <c r="P175"/>
  <c r="V175" s="1"/>
  <c r="X175" s="1"/>
  <c r="O173"/>
  <c r="U173" s="1"/>
  <c r="P171"/>
  <c r="O169"/>
  <c r="U169" s="1"/>
  <c r="P167"/>
  <c r="O165"/>
  <c r="U165" s="1"/>
  <c r="P163"/>
  <c r="V163" s="1"/>
  <c r="X163" s="1"/>
  <c r="O161"/>
  <c r="P159"/>
  <c r="O157"/>
  <c r="U157" s="1"/>
  <c r="P155"/>
  <c r="V155" s="1"/>
  <c r="X155" s="1"/>
  <c r="O153"/>
  <c r="U153" s="1"/>
  <c r="P151"/>
  <c r="O149"/>
  <c r="U149" s="1"/>
  <c r="P147"/>
  <c r="P7"/>
  <c r="V7" s="1"/>
  <c r="O24"/>
  <c r="U24" s="1"/>
  <c r="O20"/>
  <c r="U20" s="1"/>
  <c r="P18"/>
  <c r="V18" s="1"/>
  <c r="X18" s="1"/>
  <c r="P16"/>
  <c r="V16" s="1"/>
  <c r="X16" s="1"/>
  <c r="O16"/>
  <c r="U16" s="1"/>
  <c r="P14"/>
  <c r="V14" s="1"/>
  <c r="X14" s="1"/>
  <c r="O12"/>
  <c r="U12" s="1"/>
  <c r="P10"/>
  <c r="V10" s="1"/>
  <c r="X10" s="1"/>
  <c r="O8"/>
  <c r="U8" s="1"/>
  <c r="P184"/>
  <c r="V184" s="1"/>
  <c r="X184" s="1"/>
  <c r="O182"/>
  <c r="U182" s="1"/>
  <c r="P180"/>
  <c r="V180" s="1"/>
  <c r="X180" s="1"/>
  <c r="O178"/>
  <c r="U178" s="1"/>
  <c r="P176"/>
  <c r="V176" s="1"/>
  <c r="X176" s="1"/>
  <c r="O174"/>
  <c r="U174" s="1"/>
  <c r="P172"/>
  <c r="V172" s="1"/>
  <c r="X172" s="1"/>
  <c r="O170"/>
  <c r="U170" s="1"/>
  <c r="P168"/>
  <c r="O166"/>
  <c r="U166" s="1"/>
  <c r="P164"/>
  <c r="V164" s="1"/>
  <c r="X164" s="1"/>
  <c r="O162"/>
  <c r="U162" s="1"/>
  <c r="P160"/>
  <c r="V160" s="1"/>
  <c r="X160" s="1"/>
  <c r="O158"/>
  <c r="U158" s="1"/>
  <c r="P156"/>
  <c r="V156" s="1"/>
  <c r="X156" s="1"/>
  <c r="O154"/>
  <c r="U154" s="1"/>
  <c r="P152"/>
  <c r="V152" s="1"/>
  <c r="X152" s="1"/>
  <c r="O150"/>
  <c r="U150" s="1"/>
  <c r="P148"/>
  <c r="V148" s="1"/>
  <c r="X148" s="1"/>
  <c r="O146"/>
  <c r="U146" s="1"/>
  <c r="P6"/>
  <c r="V6" s="1"/>
  <c r="P23"/>
  <c r="V23" s="1"/>
  <c r="X23" s="1"/>
  <c r="O23"/>
  <c r="U23" s="1"/>
  <c r="P21"/>
  <c r="V21" s="1"/>
  <c r="X21" s="1"/>
  <c r="O21"/>
  <c r="U21" s="1"/>
  <c r="P19"/>
  <c r="V19" s="1"/>
  <c r="X19" s="1"/>
  <c r="O19"/>
  <c r="U19" s="1"/>
  <c r="O13"/>
  <c r="U13" s="1"/>
  <c r="P11"/>
  <c r="V11" s="1"/>
  <c r="X11" s="1"/>
  <c r="O9"/>
  <c r="U9" s="1"/>
  <c r="P185"/>
  <c r="V185" s="1"/>
  <c r="X185" s="1"/>
  <c r="O183"/>
  <c r="U183" s="1"/>
  <c r="P181"/>
  <c r="V181" s="1"/>
  <c r="X181" s="1"/>
  <c r="O179"/>
  <c r="U179" s="1"/>
  <c r="P177"/>
  <c r="V177" s="1"/>
  <c r="X177" s="1"/>
  <c r="O175"/>
  <c r="U175" s="1"/>
  <c r="P173"/>
  <c r="V173" s="1"/>
  <c r="X173" s="1"/>
  <c r="O171"/>
  <c r="U171" s="1"/>
  <c r="P169"/>
  <c r="V169" s="1"/>
  <c r="X169" s="1"/>
  <c r="O167"/>
  <c r="U167" s="1"/>
  <c r="P165"/>
  <c r="V165" s="1"/>
  <c r="X165" s="1"/>
  <c r="O163"/>
  <c r="U163" s="1"/>
  <c r="P161"/>
  <c r="V161" s="1"/>
  <c r="X161" s="1"/>
  <c r="O159"/>
  <c r="U159" s="1"/>
  <c r="P157"/>
  <c r="V157" s="1"/>
  <c r="X157" s="1"/>
  <c r="O155"/>
  <c r="U155" s="1"/>
  <c r="P153"/>
  <c r="V153" s="1"/>
  <c r="X153" s="1"/>
  <c r="O151"/>
  <c r="U151" s="1"/>
  <c r="P149"/>
  <c r="V149" s="1"/>
  <c r="X149" s="1"/>
  <c r="O147"/>
  <c r="U147" s="1"/>
  <c r="O145"/>
  <c r="U145" s="1"/>
  <c r="P143"/>
  <c r="V143" s="1"/>
  <c r="X143" s="1"/>
  <c r="P141"/>
  <c r="V141" s="1"/>
  <c r="X141" s="1"/>
  <c r="O141"/>
  <c r="U141" s="1"/>
  <c r="P139"/>
  <c r="V139" s="1"/>
  <c r="X139" s="1"/>
  <c r="O137"/>
  <c r="U137" s="1"/>
  <c r="P135"/>
  <c r="V135" s="1"/>
  <c r="X135" s="1"/>
  <c r="O133"/>
  <c r="U133" s="1"/>
  <c r="O131"/>
  <c r="U131" s="1"/>
  <c r="P131"/>
  <c r="V131" s="1"/>
  <c r="X131" s="1"/>
  <c r="O127"/>
  <c r="U127" s="1"/>
  <c r="P127"/>
  <c r="V127" s="1"/>
  <c r="X127" s="1"/>
  <c r="O126"/>
  <c r="U126" s="1"/>
  <c r="P126"/>
  <c r="V126" s="1"/>
  <c r="X126" s="1"/>
  <c r="O144"/>
  <c r="U144" s="1"/>
  <c r="P142"/>
  <c r="V142" s="1"/>
  <c r="X142" s="1"/>
  <c r="O140"/>
  <c r="U140" s="1"/>
  <c r="O134"/>
  <c r="U134" s="1"/>
  <c r="O132"/>
  <c r="U132" s="1"/>
  <c r="O130"/>
  <c r="U130" s="1"/>
  <c r="P130"/>
  <c r="V130" s="1"/>
  <c r="X130" s="1"/>
  <c r="P136"/>
  <c r="V136" s="1"/>
  <c r="X136" s="1"/>
  <c r="O136"/>
  <c r="U136" s="1"/>
  <c r="P145"/>
  <c r="V145" s="1"/>
  <c r="X145" s="1"/>
  <c r="O143"/>
  <c r="U143" s="1"/>
  <c r="O139"/>
  <c r="U139" s="1"/>
  <c r="P137"/>
  <c r="V137" s="1"/>
  <c r="X137" s="1"/>
  <c r="O135"/>
  <c r="U135" s="1"/>
  <c r="P133"/>
  <c r="V133" s="1"/>
  <c r="X133" s="1"/>
  <c r="O129"/>
  <c r="U129" s="1"/>
  <c r="P129"/>
  <c r="V129" s="1"/>
  <c r="X129" s="1"/>
  <c r="P144"/>
  <c r="V144" s="1"/>
  <c r="X144" s="1"/>
  <c r="O142"/>
  <c r="U142" s="1"/>
  <c r="P140"/>
  <c r="V140" s="1"/>
  <c r="X140" s="1"/>
  <c r="P138"/>
  <c r="V138" s="1"/>
  <c r="X138" s="1"/>
  <c r="O138"/>
  <c r="U138" s="1"/>
  <c r="P134"/>
  <c r="V134" s="1"/>
  <c r="X134" s="1"/>
  <c r="P132"/>
  <c r="V132" s="1"/>
  <c r="X132" s="1"/>
  <c r="O128"/>
  <c r="U128" s="1"/>
  <c r="P128"/>
  <c r="V128" s="1"/>
  <c r="X128" s="1"/>
  <c r="O83"/>
  <c r="U83" s="1"/>
  <c r="P83"/>
  <c r="V83" s="1"/>
  <c r="X83" s="1"/>
  <c r="O69"/>
  <c r="U69" s="1"/>
  <c r="O72"/>
  <c r="U72" s="1"/>
  <c r="O81"/>
  <c r="U81" s="1"/>
  <c r="P81"/>
  <c r="V81" s="1"/>
  <c r="X81" s="1"/>
  <c r="O78"/>
  <c r="U78" s="1"/>
  <c r="P78"/>
  <c r="V78" s="1"/>
  <c r="X78" s="1"/>
  <c r="O73"/>
  <c r="U73" s="1"/>
  <c r="O75"/>
  <c r="U75" s="1"/>
  <c r="P75"/>
  <c r="V75" s="1"/>
  <c r="X75" s="1"/>
  <c r="O70"/>
  <c r="U70" s="1"/>
  <c r="P70"/>
  <c r="V70" s="1"/>
  <c r="X70" s="1"/>
  <c r="P80"/>
  <c r="V80" s="1"/>
  <c r="X80" s="1"/>
  <c r="P85"/>
  <c r="O74"/>
  <c r="U74" s="1"/>
  <c r="O66"/>
  <c r="U66" s="1"/>
  <c r="P66"/>
  <c r="V66" s="1"/>
  <c r="X66" s="1"/>
  <c r="O71"/>
  <c r="P71"/>
  <c r="V71" s="1"/>
  <c r="X71" s="1"/>
  <c r="P72"/>
  <c r="V72" s="1"/>
  <c r="X72" s="1"/>
  <c r="O84"/>
  <c r="U84" s="1"/>
  <c r="P84"/>
  <c r="P73"/>
  <c r="V73" s="1"/>
  <c r="X73" s="1"/>
  <c r="O77"/>
  <c r="P77"/>
  <c r="V77" s="1"/>
  <c r="X77" s="1"/>
  <c r="O67"/>
  <c r="U67" s="1"/>
  <c r="P67"/>
  <c r="V67" s="1"/>
  <c r="X67" s="1"/>
  <c r="O80"/>
  <c r="U80" s="1"/>
  <c r="O82"/>
  <c r="U82" s="1"/>
  <c r="P82"/>
  <c r="O85"/>
  <c r="U85" s="1"/>
  <c r="O79"/>
  <c r="U79" s="1"/>
  <c r="P79"/>
  <c r="V79" s="1"/>
  <c r="X79" s="1"/>
  <c r="P74"/>
  <c r="V74" s="1"/>
  <c r="X74" s="1"/>
  <c r="Q84"/>
  <c r="W84" s="1"/>
  <c r="Q82"/>
  <c r="W82" s="1"/>
  <c r="Q85"/>
  <c r="W85" s="1"/>
  <c r="Q130"/>
  <c r="W130" s="1"/>
  <c r="Q134"/>
  <c r="W134" s="1"/>
  <c r="Q138"/>
  <c r="W138" s="1"/>
  <c r="Q144"/>
  <c r="W144" s="1"/>
  <c r="Q126"/>
  <c r="W126" s="1"/>
  <c r="Q131"/>
  <c r="W131" s="1"/>
  <c r="Q137"/>
  <c r="W137" s="1"/>
  <c r="Q145"/>
  <c r="W145" s="1"/>
  <c r="Q142"/>
  <c r="W142" s="1"/>
  <c r="Q139"/>
  <c r="W139" s="1"/>
  <c r="Q141"/>
  <c r="W141" s="1"/>
  <c r="Q153"/>
  <c r="W153" s="1"/>
  <c r="Q161"/>
  <c r="W161" s="1"/>
  <c r="Q169"/>
  <c r="W169" s="1"/>
  <c r="Q177"/>
  <c r="W177" s="1"/>
  <c r="Q185"/>
  <c r="W185" s="1"/>
  <c r="Q23"/>
  <c r="W23" s="1"/>
  <c r="Q6"/>
  <c r="W6" s="1"/>
  <c r="Q148"/>
  <c r="W148" s="1"/>
  <c r="Q156"/>
  <c r="W156" s="1"/>
  <c r="Q164"/>
  <c r="W164" s="1"/>
  <c r="Q172"/>
  <c r="W172" s="1"/>
  <c r="Q180"/>
  <c r="W180" s="1"/>
  <c r="Q10"/>
  <c r="W10" s="1"/>
  <c r="Q20"/>
  <c r="W20" s="1"/>
  <c r="Q7"/>
  <c r="W7" s="1"/>
  <c r="Q147"/>
  <c r="W147" s="1"/>
  <c r="Q155"/>
  <c r="W155" s="1"/>
  <c r="Q163"/>
  <c r="W163" s="1"/>
  <c r="Q171"/>
  <c r="W171" s="1"/>
  <c r="Q179"/>
  <c r="W179" s="1"/>
  <c r="Q9"/>
  <c r="W9" s="1"/>
  <c r="Q17"/>
  <c r="W17" s="1"/>
  <c r="Q25"/>
  <c r="W25" s="1"/>
  <c r="Q150"/>
  <c r="W150" s="1"/>
  <c r="Q158"/>
  <c r="W158" s="1"/>
  <c r="Q166"/>
  <c r="W166" s="1"/>
  <c r="Q174"/>
  <c r="W174" s="1"/>
  <c r="Q182"/>
  <c r="W182" s="1"/>
  <c r="Q12"/>
  <c r="W12" s="1"/>
  <c r="Q22"/>
  <c r="W22" s="1"/>
  <c r="W52"/>
  <c r="W63"/>
  <c r="W53"/>
  <c r="W47"/>
  <c r="W113"/>
  <c r="W149"/>
  <c r="W35"/>
  <c r="W27"/>
  <c r="W32"/>
  <c r="W48"/>
  <c r="W165"/>
  <c r="W104"/>
  <c r="W88"/>
  <c r="W184"/>
  <c r="W58"/>
  <c r="W50"/>
  <c r="W34"/>
  <c r="W132"/>
  <c r="W128"/>
  <c r="W135"/>
  <c r="W127"/>
  <c r="W83"/>
  <c r="W75"/>
  <c r="M186" a="1"/>
  <c r="M186" s="1"/>
  <c r="M187" s="1"/>
  <c r="L186" a="1"/>
  <c r="L186" s="1"/>
  <c r="S186" a="1"/>
  <c r="S186" s="1"/>
  <c r="S187" s="1"/>
  <c r="R186" a="1"/>
  <c r="R186" s="1"/>
  <c r="F186" a="1"/>
  <c r="F186" s="1"/>
  <c r="I190"/>
  <c r="O189"/>
  <c r="C189"/>
  <c r="U27"/>
  <c r="V114"/>
  <c r="X114" s="1"/>
  <c r="V32"/>
  <c r="X32" s="1"/>
  <c r="V28"/>
  <c r="X28" s="1"/>
  <c r="V55"/>
  <c r="X55" s="1"/>
  <c r="V104"/>
  <c r="X104" s="1"/>
  <c r="U29"/>
  <c r="V64"/>
  <c r="X64" s="1"/>
  <c r="V60"/>
  <c r="X60" s="1"/>
  <c r="U40"/>
  <c r="U36"/>
  <c r="V97"/>
  <c r="X97" s="1"/>
  <c r="U116"/>
  <c r="V125"/>
  <c r="X125" s="1"/>
  <c r="U43"/>
  <c r="U65"/>
  <c r="V49"/>
  <c r="X49" s="1"/>
  <c r="U97"/>
  <c r="V34"/>
  <c r="X34" s="1"/>
  <c r="U124"/>
  <c r="V8"/>
  <c r="X8" s="1"/>
  <c r="U33"/>
  <c r="U52"/>
  <c r="U48"/>
  <c r="U44"/>
  <c r="V101"/>
  <c r="X101" s="1"/>
  <c r="V121"/>
  <c r="X121" s="1"/>
  <c r="V30"/>
  <c r="X30" s="1"/>
  <c r="V61"/>
  <c r="X61" s="1"/>
  <c r="V57"/>
  <c r="X57" s="1"/>
  <c r="V53"/>
  <c r="X53" s="1"/>
  <c r="U123"/>
  <c r="U32"/>
  <c r="U28"/>
  <c r="U47"/>
  <c r="U104"/>
  <c r="V96"/>
  <c r="X96" s="1"/>
  <c r="V24"/>
  <c r="X24" s="1"/>
  <c r="V29"/>
  <c r="X29" s="1"/>
  <c r="U64"/>
  <c r="V40"/>
  <c r="X40" s="1"/>
  <c r="V36"/>
  <c r="X36" s="1"/>
  <c r="U105"/>
  <c r="V93"/>
  <c r="X93" s="1"/>
  <c r="V89"/>
  <c r="X89" s="1"/>
  <c r="U112"/>
  <c r="U125"/>
  <c r="V174"/>
  <c r="X174" s="1"/>
  <c r="U119"/>
  <c r="V110"/>
  <c r="X110" s="1"/>
  <c r="U92"/>
  <c r="V65"/>
  <c r="X65" s="1"/>
  <c r="U55"/>
  <c r="V43"/>
  <c r="X43" s="1"/>
  <c r="U53"/>
  <c r="V41"/>
  <c r="X41" s="1"/>
  <c r="U94"/>
  <c r="V117"/>
  <c r="X117" s="1"/>
  <c r="U109"/>
  <c r="V179"/>
  <c r="X179" s="1"/>
  <c r="V147"/>
  <c r="X147" s="1"/>
  <c r="V26"/>
  <c r="X26" s="1"/>
  <c r="V63"/>
  <c r="X63" s="1"/>
  <c r="V22"/>
  <c r="X22" s="1"/>
  <c r="V58"/>
  <c r="X58" s="1"/>
  <c r="U42"/>
  <c r="V99"/>
  <c r="X99" s="1"/>
  <c r="U87"/>
  <c r="V168"/>
  <c r="X168" s="1"/>
  <c r="V150"/>
  <c r="X150" s="1"/>
  <c r="V56"/>
  <c r="X56" s="1"/>
  <c r="U121"/>
  <c r="V158"/>
  <c r="X158" s="1"/>
  <c r="U30"/>
  <c r="U45"/>
  <c r="U37"/>
  <c r="V113"/>
  <c r="X113" s="1"/>
  <c r="V159"/>
  <c r="X159" s="1"/>
  <c r="U31"/>
  <c r="V62"/>
  <c r="X62" s="1"/>
  <c r="U50"/>
  <c r="U46"/>
  <c r="V38"/>
  <c r="X38" s="1"/>
  <c r="V91"/>
  <c r="X91" s="1"/>
  <c r="V87"/>
  <c r="X87" s="1"/>
  <c r="V166"/>
  <c r="X166" s="1"/>
  <c r="U111"/>
  <c r="V124"/>
  <c r="X124" s="1"/>
  <c r="V33"/>
  <c r="X33" s="1"/>
  <c r="U57"/>
  <c r="V45"/>
  <c r="X45" s="1"/>
  <c r="V37"/>
  <c r="X37" s="1"/>
  <c r="U102"/>
  <c r="V86"/>
  <c r="X86" s="1"/>
  <c r="U117"/>
  <c r="V109"/>
  <c r="X109" s="1"/>
  <c r="V171"/>
  <c r="X171" s="1"/>
  <c r="V146"/>
  <c r="X146" s="1"/>
  <c r="U59"/>
  <c r="U26"/>
  <c r="U39"/>
  <c r="U22"/>
  <c r="U35"/>
  <c r="V31"/>
  <c r="X31" s="1"/>
  <c r="V27"/>
  <c r="X27" s="1"/>
  <c r="V42"/>
  <c r="X42" s="1"/>
  <c r="U114"/>
  <c r="U160"/>
  <c r="U185"/>
  <c r="V44"/>
  <c r="X44" s="1"/>
  <c r="U41"/>
  <c r="V94"/>
  <c r="X94" s="1"/>
  <c r="U6"/>
  <c r="V35"/>
  <c r="X35" s="1"/>
  <c r="V52"/>
  <c r="X52" s="1"/>
  <c r="V162"/>
  <c r="X162" s="1"/>
  <c r="U63"/>
  <c r="V39"/>
  <c r="X39" s="1"/>
  <c r="V54"/>
  <c r="X54" s="1"/>
  <c r="U110"/>
  <c r="U101"/>
  <c r="U34"/>
  <c r="V167"/>
  <c r="X167" s="1"/>
  <c r="U38"/>
  <c r="V123"/>
  <c r="X123" s="1"/>
  <c r="V13"/>
  <c r="X13" s="1"/>
  <c r="V151"/>
  <c r="X151" s="1"/>
  <c r="U51"/>
  <c r="U161"/>
  <c r="U120" l="1"/>
  <c r="V120"/>
  <c r="X120" s="1"/>
  <c r="W123"/>
  <c r="U100"/>
  <c r="V106"/>
  <c r="X106" s="1"/>
  <c r="U96"/>
  <c r="U95"/>
  <c r="V95"/>
  <c r="X95" s="1"/>
  <c r="U93"/>
  <c r="V111"/>
  <c r="X111" s="1"/>
  <c r="V105"/>
  <c r="X105" s="1"/>
  <c r="V102"/>
  <c r="X102" s="1"/>
  <c r="U86"/>
  <c r="W72"/>
  <c r="O190"/>
  <c r="W69"/>
  <c r="I189"/>
  <c r="C186" a="1"/>
  <c r="C186" s="1"/>
  <c r="U106"/>
  <c r="W77"/>
  <c r="R190"/>
  <c r="D186" a="1"/>
  <c r="D186" s="1"/>
  <c r="D187" s="1"/>
  <c r="F189"/>
  <c r="L189"/>
  <c r="R189"/>
  <c r="F190"/>
  <c r="L190"/>
  <c r="W71"/>
  <c r="V68"/>
  <c r="X68" s="1"/>
  <c r="W92"/>
  <c r="W125"/>
  <c r="W97"/>
  <c r="W114"/>
  <c r="W106"/>
  <c r="G186" a="1"/>
  <c r="G186" s="1"/>
  <c r="G187" s="1"/>
  <c r="V82"/>
  <c r="X82" s="1"/>
  <c r="U77"/>
  <c r="V84"/>
  <c r="X84" s="1"/>
  <c r="U71"/>
  <c r="V85"/>
  <c r="X85" s="1"/>
  <c r="V112"/>
  <c r="X112" s="1"/>
  <c r="R192"/>
  <c r="W115"/>
  <c r="C191"/>
  <c r="C192"/>
  <c r="F191"/>
  <c r="I191"/>
  <c r="L191"/>
  <c r="O191"/>
  <c r="R191"/>
  <c r="C190"/>
  <c r="F192"/>
  <c r="I192"/>
  <c r="I193" s="1"/>
  <c r="L192"/>
  <c r="O192"/>
  <c r="V92"/>
  <c r="X92" s="1"/>
  <c r="U99"/>
  <c r="U89"/>
  <c r="U107"/>
  <c r="U91"/>
  <c r="W96"/>
  <c r="W76"/>
  <c r="V115"/>
  <c r="X115" s="1"/>
  <c r="W121"/>
  <c r="U103"/>
  <c r="V103"/>
  <c r="X103" s="1"/>
  <c r="O68"/>
  <c r="U68" s="1"/>
  <c r="O88"/>
  <c r="U88" s="1"/>
  <c r="P90"/>
  <c r="V90" s="1"/>
  <c r="X90" s="1"/>
  <c r="X249" i="6"/>
  <c r="Y249"/>
  <c r="Y250" s="1"/>
  <c r="U25" i="5"/>
  <c r="V25"/>
  <c r="X25" s="1"/>
  <c r="P186" a="1"/>
  <c r="P186" s="1"/>
  <c r="P187" s="1"/>
  <c r="Y58"/>
  <c r="Y26"/>
  <c r="Y117"/>
  <c r="Y65"/>
  <c r="Y39"/>
  <c r="Y52"/>
  <c r="Y44"/>
  <c r="Y31"/>
  <c r="Y37"/>
  <c r="Y33"/>
  <c r="Y48"/>
  <c r="Y63"/>
  <c r="Y41"/>
  <c r="Y43"/>
  <c r="Y89"/>
  <c r="Y40"/>
  <c r="Y57"/>
  <c r="Y50"/>
  <c r="Y101"/>
  <c r="Y120"/>
  <c r="Y105"/>
  <c r="Y64"/>
  <c r="Y55"/>
  <c r="Y94"/>
  <c r="Y107"/>
  <c r="Y123"/>
  <c r="Y54"/>
  <c r="Y47"/>
  <c r="Y87"/>
  <c r="Y29"/>
  <c r="Y53"/>
  <c r="Y60"/>
  <c r="Y42"/>
  <c r="Y86"/>
  <c r="Y49"/>
  <c r="Y59"/>
  <c r="Y35"/>
  <c r="Y124"/>
  <c r="Y118"/>
  <c r="Y38"/>
  <c r="Y62"/>
  <c r="Y119"/>
  <c r="Y116"/>
  <c r="Y88"/>
  <c r="Y34"/>
  <c r="Y104"/>
  <c r="Y28"/>
  <c r="Y114"/>
  <c r="Y46"/>
  <c r="Y125"/>
  <c r="Y51"/>
  <c r="Y91"/>
  <c r="Y109"/>
  <c r="Y93"/>
  <c r="Y30"/>
  <c r="Y99"/>
  <c r="Y97"/>
  <c r="Y122"/>
  <c r="Y98"/>
  <c r="Y61"/>
  <c r="Y113"/>
  <c r="Y96"/>
  <c r="Y27"/>
  <c r="Y110"/>
  <c r="Y121"/>
  <c r="Y36"/>
  <c r="Y100"/>
  <c r="Y108"/>
  <c r="Y106"/>
  <c r="Y45"/>
  <c r="Y56"/>
  <c r="Y32"/>
  <c r="Y177"/>
  <c r="Y185"/>
  <c r="Y160"/>
  <c r="Y155"/>
  <c r="Y157"/>
  <c r="Y179"/>
  <c r="Y167"/>
  <c r="Y174"/>
  <c r="Y181"/>
  <c r="Y152"/>
  <c r="Y165"/>
  <c r="Y180"/>
  <c r="Y148"/>
  <c r="Y156"/>
  <c r="Y169"/>
  <c r="Y176"/>
  <c r="Y164"/>
  <c r="Y175"/>
  <c r="Y183"/>
  <c r="Y159"/>
  <c r="Y163"/>
  <c r="Y158"/>
  <c r="Y170"/>
  <c r="Y147"/>
  <c r="Y184"/>
  <c r="Y168"/>
  <c r="Y153"/>
  <c r="Y173"/>
  <c r="Y150"/>
  <c r="Y162"/>
  <c r="Y146"/>
  <c r="Y166"/>
  <c r="Y161"/>
  <c r="Y172"/>
  <c r="Y151"/>
  <c r="Y149"/>
  <c r="Y178"/>
  <c r="Y182"/>
  <c r="Y171"/>
  <c r="Y154"/>
  <c r="Y131"/>
  <c r="Y137"/>
  <c r="Y23"/>
  <c r="Y19"/>
  <c r="Y67"/>
  <c r="Y75"/>
  <c r="Y80"/>
  <c r="Y78"/>
  <c r="Y126"/>
  <c r="Y143"/>
  <c r="Y144"/>
  <c r="Y128"/>
  <c r="Y133"/>
  <c r="Y135"/>
  <c r="Y139"/>
  <c r="Y141"/>
  <c r="Y145"/>
  <c r="Y22"/>
  <c r="Y18"/>
  <c r="Y70"/>
  <c r="Y17"/>
  <c r="Y15"/>
  <c r="Y81"/>
  <c r="Y66"/>
  <c r="Y13"/>
  <c r="Y21"/>
  <c r="Y12"/>
  <c r="Y71"/>
  <c r="Y14"/>
  <c r="Y69"/>
  <c r="Y72"/>
  <c r="Y20"/>
  <c r="Y16"/>
  <c r="Y79"/>
  <c r="Y76"/>
  <c r="Y77"/>
  <c r="Y73"/>
  <c r="Y74"/>
  <c r="Y136"/>
  <c r="Y127"/>
  <c r="Y142"/>
  <c r="Y140"/>
  <c r="Y138"/>
  <c r="Y130"/>
  <c r="Y132"/>
  <c r="Y134"/>
  <c r="Y129"/>
  <c r="Y24"/>
  <c r="Y83"/>
  <c r="Y11"/>
  <c r="Y10"/>
  <c r="Y9"/>
  <c r="Y8"/>
  <c r="Y7"/>
  <c r="X7"/>
  <c r="X6"/>
  <c r="Y6"/>
  <c r="Y82" l="1"/>
  <c r="Y111"/>
  <c r="Y102"/>
  <c r="Y95"/>
  <c r="Y115"/>
  <c r="F193"/>
  <c r="Y68"/>
  <c r="L193"/>
  <c r="Y112"/>
  <c r="R193"/>
  <c r="O186" a="1"/>
  <c r="O186" s="1"/>
  <c r="O193"/>
  <c r="Y84"/>
  <c r="Y85"/>
  <c r="Y92"/>
  <c r="Z9"/>
  <c r="Y90"/>
  <c r="Y103"/>
  <c r="Z184"/>
  <c r="Z180"/>
  <c r="Z176"/>
  <c r="Z172"/>
  <c r="Z168"/>
  <c r="Z164"/>
  <c r="Z160"/>
  <c r="Z156"/>
  <c r="Z152"/>
  <c r="Z148"/>
  <c r="Z144"/>
  <c r="Z140"/>
  <c r="Z136"/>
  <c r="Z132"/>
  <c r="Z128"/>
  <c r="Z124"/>
  <c r="Z120"/>
  <c r="Z116"/>
  <c r="Z112"/>
  <c r="Z108"/>
  <c r="Z104"/>
  <c r="Z100"/>
  <c r="Z96"/>
  <c r="Z92"/>
  <c r="Z88"/>
  <c r="Z84"/>
  <c r="Z80"/>
  <c r="Z76"/>
  <c r="Z72"/>
  <c r="Z68"/>
  <c r="Z64"/>
  <c r="Z60"/>
  <c r="Z56"/>
  <c r="Z52"/>
  <c r="Z48"/>
  <c r="Z44"/>
  <c r="Z40"/>
  <c r="Z36"/>
  <c r="Z32"/>
  <c r="Z28"/>
  <c r="Z24"/>
  <c r="Z20"/>
  <c r="Z16"/>
  <c r="Z12"/>
  <c r="Z8"/>
  <c r="Z183"/>
  <c r="Z179"/>
  <c r="Z175"/>
  <c r="Z171"/>
  <c r="Z167"/>
  <c r="Z163"/>
  <c r="Z159"/>
  <c r="Z155"/>
  <c r="Z151"/>
  <c r="Z147"/>
  <c r="Z143"/>
  <c r="Z139"/>
  <c r="Z135"/>
  <c r="Z131"/>
  <c r="Z127"/>
  <c r="Z123"/>
  <c r="Z119"/>
  <c r="Z115"/>
  <c r="Z111"/>
  <c r="Z107"/>
  <c r="Z103"/>
  <c r="Z99"/>
  <c r="Z95"/>
  <c r="Z91"/>
  <c r="Z87"/>
  <c r="Z83"/>
  <c r="Z79"/>
  <c r="Z75"/>
  <c r="Z71"/>
  <c r="Z67"/>
  <c r="Z63"/>
  <c r="Z59"/>
  <c r="Z55"/>
  <c r="Z51"/>
  <c r="Z47"/>
  <c r="Z43"/>
  <c r="Z39"/>
  <c r="Z35"/>
  <c r="Z31"/>
  <c r="Z27"/>
  <c r="Z23"/>
  <c r="Z19"/>
  <c r="Z15"/>
  <c r="Z11"/>
  <c r="Z7"/>
  <c r="Z6"/>
  <c r="Z182"/>
  <c r="Z178"/>
  <c r="Z174"/>
  <c r="Z170"/>
  <c r="Z166"/>
  <c r="Z162"/>
  <c r="Z158"/>
  <c r="Z154"/>
  <c r="Z150"/>
  <c r="Z146"/>
  <c r="Z142"/>
  <c r="Z138"/>
  <c r="Z134"/>
  <c r="Z130"/>
  <c r="Z126"/>
  <c r="Z122"/>
  <c r="Z118"/>
  <c r="Z114"/>
  <c r="Z110"/>
  <c r="Z106"/>
  <c r="Z102"/>
  <c r="Z98"/>
  <c r="Z94"/>
  <c r="Z90"/>
  <c r="Z86"/>
  <c r="Z82"/>
  <c r="Z78"/>
  <c r="Z74"/>
  <c r="Z70"/>
  <c r="Z66"/>
  <c r="Z62"/>
  <c r="Z58"/>
  <c r="Z54"/>
  <c r="Z50"/>
  <c r="Z46"/>
  <c r="Z42"/>
  <c r="Z38"/>
  <c r="Z34"/>
  <c r="Z30"/>
  <c r="Z26"/>
  <c r="Z22"/>
  <c r="Z18"/>
  <c r="Z14"/>
  <c r="Z10"/>
  <c r="Z185"/>
  <c r="Z181"/>
  <c r="Z177"/>
  <c r="Z173"/>
  <c r="Z169"/>
  <c r="Z165"/>
  <c r="Z161"/>
  <c r="Z157"/>
  <c r="Z153"/>
  <c r="Z149"/>
  <c r="Z145"/>
  <c r="Z141"/>
  <c r="Z137"/>
  <c r="Z133"/>
  <c r="Z129"/>
  <c r="Z125"/>
  <c r="Z121"/>
  <c r="Z117"/>
  <c r="Z113"/>
  <c r="Z109"/>
  <c r="Z105"/>
  <c r="Z101"/>
  <c r="Z97"/>
  <c r="Z93"/>
  <c r="Z89"/>
  <c r="Z85"/>
  <c r="Z81"/>
  <c r="Z77"/>
  <c r="Z73"/>
  <c r="Z69"/>
  <c r="Z65"/>
  <c r="Z61"/>
  <c r="Z57"/>
  <c r="Z53"/>
  <c r="Z49"/>
  <c r="Z45"/>
  <c r="Z41"/>
  <c r="Z37"/>
  <c r="Z33"/>
  <c r="Z29"/>
  <c r="Z25"/>
  <c r="Z21"/>
  <c r="Z17"/>
  <c r="Z13"/>
  <c r="Y25"/>
  <c r="V186"/>
  <c r="V187" s="1"/>
  <c r="U186"/>
  <c r="AA88" l="1"/>
  <c r="AA72"/>
  <c r="AA35"/>
  <c r="AA32"/>
  <c r="AA27"/>
  <c r="AA51"/>
  <c r="AA48"/>
  <c r="AA100"/>
  <c r="AA169"/>
  <c r="AF169" s="1"/>
  <c r="AA19"/>
  <c r="AA67"/>
  <c r="AF67" s="1"/>
  <c r="AA134"/>
  <c r="AA16"/>
  <c r="AA11"/>
  <c r="AF11" s="1"/>
  <c r="AA83"/>
  <c r="AF83" s="1"/>
  <c r="AA117"/>
  <c r="AF117" s="1"/>
  <c r="AA151"/>
  <c r="AF151" s="1"/>
  <c r="AA7"/>
  <c r="AF7" s="1"/>
  <c r="AA43"/>
  <c r="AA59"/>
  <c r="AA75"/>
  <c r="AF75" s="1"/>
  <c r="AA92"/>
  <c r="AF92" s="1"/>
  <c r="AA108"/>
  <c r="AF108" s="1"/>
  <c r="AA125"/>
  <c r="AF125" s="1"/>
  <c r="AA143"/>
  <c r="AF143" s="1"/>
  <c r="AA160"/>
  <c r="AA178"/>
  <c r="AF178" s="1"/>
  <c r="AA8"/>
  <c r="AA24"/>
  <c r="AF24" s="1"/>
  <c r="AA40"/>
  <c r="AA56"/>
  <c r="AA137"/>
  <c r="AF137" s="1"/>
  <c r="AA120"/>
  <c r="AF120" s="1"/>
  <c r="AA15"/>
  <c r="AF15" s="1"/>
  <c r="AA23"/>
  <c r="AF23" s="1"/>
  <c r="AA31"/>
  <c r="AA39"/>
  <c r="AA47"/>
  <c r="AA55"/>
  <c r="AA63"/>
  <c r="AA71"/>
  <c r="AF71" s="1"/>
  <c r="AA79"/>
  <c r="AF79" s="1"/>
  <c r="AA87"/>
  <c r="AF87" s="1"/>
  <c r="AA96"/>
  <c r="AF96" s="1"/>
  <c r="AA104"/>
  <c r="AF104" s="1"/>
  <c r="AA113"/>
  <c r="AF113" s="1"/>
  <c r="AA121"/>
  <c r="AF121" s="1"/>
  <c r="AA130"/>
  <c r="AF130" s="1"/>
  <c r="AA138"/>
  <c r="AF138" s="1"/>
  <c r="AA147"/>
  <c r="AF147" s="1"/>
  <c r="AA156"/>
  <c r="AF156" s="1"/>
  <c r="AA164"/>
  <c r="AF164" s="1"/>
  <c r="AA173"/>
  <c r="AF173" s="1"/>
  <c r="AA182"/>
  <c r="AF182" s="1"/>
  <c r="AA177"/>
  <c r="AF177" s="1"/>
  <c r="AA12"/>
  <c r="AF12" s="1"/>
  <c r="AA20"/>
  <c r="AF20" s="1"/>
  <c r="AA28"/>
  <c r="AA36"/>
  <c r="AA44"/>
  <c r="AA52"/>
  <c r="AA64"/>
  <c r="AA80"/>
  <c r="AF80" s="1"/>
  <c r="AA97"/>
  <c r="AF97" s="1"/>
  <c r="AA146"/>
  <c r="AA105"/>
  <c r="AF105" s="1"/>
  <c r="AA60"/>
  <c r="AA68"/>
  <c r="AA76"/>
  <c r="AF76" s="1"/>
  <c r="AA84"/>
  <c r="AF84" s="1"/>
  <c r="AA93"/>
  <c r="AF93" s="1"/>
  <c r="AA101"/>
  <c r="AF101" s="1"/>
  <c r="AA112"/>
  <c r="AF112" s="1"/>
  <c r="AA129"/>
  <c r="AF129" s="1"/>
  <c r="AA111"/>
  <c r="AA157"/>
  <c r="AA174"/>
  <c r="AF174" s="1"/>
  <c r="AA91"/>
  <c r="AA9"/>
  <c r="AA13"/>
  <c r="AF13" s="1"/>
  <c r="AA17"/>
  <c r="AA21"/>
  <c r="AA25"/>
  <c r="AF25" s="1"/>
  <c r="AA29"/>
  <c r="AA33"/>
  <c r="AA37"/>
  <c r="AF37" s="1"/>
  <c r="AA41"/>
  <c r="AA45"/>
  <c r="AF45" s="1"/>
  <c r="AA49"/>
  <c r="AA53"/>
  <c r="AF53" s="1"/>
  <c r="AA57"/>
  <c r="AA61"/>
  <c r="AF61" s="1"/>
  <c r="AA65"/>
  <c r="AA69"/>
  <c r="AF69" s="1"/>
  <c r="AA73"/>
  <c r="AF73" s="1"/>
  <c r="AA77"/>
  <c r="AF77" s="1"/>
  <c r="AA81"/>
  <c r="AF81" s="1"/>
  <c r="AA85"/>
  <c r="AF85" s="1"/>
  <c r="AA89"/>
  <c r="AF89" s="1"/>
  <c r="AA94"/>
  <c r="AF94" s="1"/>
  <c r="AA98"/>
  <c r="AF98" s="1"/>
  <c r="AA102"/>
  <c r="AF102" s="1"/>
  <c r="AA106"/>
  <c r="AF106" s="1"/>
  <c r="AA110"/>
  <c r="AF110" s="1"/>
  <c r="AA115"/>
  <c r="AF115" s="1"/>
  <c r="AA119"/>
  <c r="AF119" s="1"/>
  <c r="AA123"/>
  <c r="AF123" s="1"/>
  <c r="AA128"/>
  <c r="AF128" s="1"/>
  <c r="AA132"/>
  <c r="AF132" s="1"/>
  <c r="AA136"/>
  <c r="AF136" s="1"/>
  <c r="AA140"/>
  <c r="AF140" s="1"/>
  <c r="AA145"/>
  <c r="AF145" s="1"/>
  <c r="AA149"/>
  <c r="AF149" s="1"/>
  <c r="AA153"/>
  <c r="AF153" s="1"/>
  <c r="AA158"/>
  <c r="AF158" s="1"/>
  <c r="AA162"/>
  <c r="AF162" s="1"/>
  <c r="AA167"/>
  <c r="AF167" s="1"/>
  <c r="AA171"/>
  <c r="AF171" s="1"/>
  <c r="AA175"/>
  <c r="AF175" s="1"/>
  <c r="AA180"/>
  <c r="AF180" s="1"/>
  <c r="AA184"/>
  <c r="AF184" s="1"/>
  <c r="AA141"/>
  <c r="AF141" s="1"/>
  <c r="AA154"/>
  <c r="AF154" s="1"/>
  <c r="AA10"/>
  <c r="AF10" s="1"/>
  <c r="AA14"/>
  <c r="AA18"/>
  <c r="AF18" s="1"/>
  <c r="AA22"/>
  <c r="AF22" s="1"/>
  <c r="AA26"/>
  <c r="AF26" s="1"/>
  <c r="AA30"/>
  <c r="AF30" s="1"/>
  <c r="AA34"/>
  <c r="AF34" s="1"/>
  <c r="AA38"/>
  <c r="AF38" s="1"/>
  <c r="AA42"/>
  <c r="AF42" s="1"/>
  <c r="AA46"/>
  <c r="AF46" s="1"/>
  <c r="AA50"/>
  <c r="AF50" s="1"/>
  <c r="AA54"/>
  <c r="AF54" s="1"/>
  <c r="AA58"/>
  <c r="AF58" s="1"/>
  <c r="AA62"/>
  <c r="AF62" s="1"/>
  <c r="AA66"/>
  <c r="AF66" s="1"/>
  <c r="AA70"/>
  <c r="AF70" s="1"/>
  <c r="AA74"/>
  <c r="AF74" s="1"/>
  <c r="AA78"/>
  <c r="AF78" s="1"/>
  <c r="AA82"/>
  <c r="AF82" s="1"/>
  <c r="AA86"/>
  <c r="AF86" s="1"/>
  <c r="AA90"/>
  <c r="AF90" s="1"/>
  <c r="AA95"/>
  <c r="AF95" s="1"/>
  <c r="AA99"/>
  <c r="AF99" s="1"/>
  <c r="AA103"/>
  <c r="AF103" s="1"/>
  <c r="AA107"/>
  <c r="AF107" s="1"/>
  <c r="AA116"/>
  <c r="AF116" s="1"/>
  <c r="AA124"/>
  <c r="AF124" s="1"/>
  <c r="AA133"/>
  <c r="AF133" s="1"/>
  <c r="AA142"/>
  <c r="AF142" s="1"/>
  <c r="AA150"/>
  <c r="AF150" s="1"/>
  <c r="AA165"/>
  <c r="AF165" s="1"/>
  <c r="AA183"/>
  <c r="AA109"/>
  <c r="AF109" s="1"/>
  <c r="AA114"/>
  <c r="AF114" s="1"/>
  <c r="AA118"/>
  <c r="AF118" s="1"/>
  <c r="AA122"/>
  <c r="AF122" s="1"/>
  <c r="AA126"/>
  <c r="AF126" s="1"/>
  <c r="AA131"/>
  <c r="AF131" s="1"/>
  <c r="AA135"/>
  <c r="AF135" s="1"/>
  <c r="AA139"/>
  <c r="AA144"/>
  <c r="AF144" s="1"/>
  <c r="AA148"/>
  <c r="AF148" s="1"/>
  <c r="AA152"/>
  <c r="AF152" s="1"/>
  <c r="AA161"/>
  <c r="AF161" s="1"/>
  <c r="AA170"/>
  <c r="AF170" s="1"/>
  <c r="AA179"/>
  <c r="AF179" s="1"/>
  <c r="AA127"/>
  <c r="AF127" s="1"/>
  <c r="AA155"/>
  <c r="AF155" s="1"/>
  <c r="AA159"/>
  <c r="AF159" s="1"/>
  <c r="AA163"/>
  <c r="AA168"/>
  <c r="AF168" s="1"/>
  <c r="AA172"/>
  <c r="AF172" s="1"/>
  <c r="AA176"/>
  <c r="AF176" s="1"/>
  <c r="AA181"/>
  <c r="AA185"/>
  <c r="AF185" s="1"/>
  <c r="AA166"/>
  <c r="AF166" s="1"/>
  <c r="AF31"/>
  <c r="AF35"/>
  <c r="AF43"/>
  <c r="AF47"/>
  <c r="AF51"/>
  <c r="AF55"/>
  <c r="AF91"/>
  <c r="AF139"/>
  <c r="AF157"/>
  <c r="AF183"/>
  <c r="AF8"/>
  <c r="AF14"/>
  <c r="AF32"/>
  <c r="AF36"/>
  <c r="AF40"/>
  <c r="AF44"/>
  <c r="AF48"/>
  <c r="AF52"/>
  <c r="AF56"/>
  <c r="AF60"/>
  <c r="AF64"/>
  <c r="AF68"/>
  <c r="AF72"/>
  <c r="AF100"/>
  <c r="AF134"/>
  <c r="AF146"/>
  <c r="AF160"/>
  <c r="AF16"/>
  <c r="AF63"/>
  <c r="AF111"/>
  <c r="AF21"/>
  <c r="AF33"/>
  <c r="AF17"/>
  <c r="AF19"/>
  <c r="AF49"/>
  <c r="AF28"/>
  <c r="AF27"/>
  <c r="AF59"/>
  <c r="AA6"/>
  <c r="AF6" s="1"/>
  <c r="AF57"/>
  <c r="AF88"/>
  <c r="AF39"/>
  <c r="AF29"/>
  <c r="AF41"/>
  <c r="AF65"/>
  <c r="AF181" l="1"/>
  <c r="AF163"/>
  <c r="AD9"/>
  <c r="AF9"/>
  <c r="AE9"/>
  <c r="AE68"/>
  <c r="AD68"/>
  <c r="AC68"/>
  <c r="AE74"/>
  <c r="AD74"/>
  <c r="AC74"/>
  <c r="AD66"/>
  <c r="AE66"/>
  <c r="AC66"/>
  <c r="AE83"/>
  <c r="AD83"/>
  <c r="AC83"/>
  <c r="AE139"/>
  <c r="AD139"/>
  <c r="AC139"/>
  <c r="AD135"/>
  <c r="AE135"/>
  <c r="AC135"/>
  <c r="AD144"/>
  <c r="AE144"/>
  <c r="AC144"/>
  <c r="AD133"/>
  <c r="AE133"/>
  <c r="AC133"/>
  <c r="AD143"/>
  <c r="AE143"/>
  <c r="AC143"/>
  <c r="AC89"/>
  <c r="AE89"/>
  <c r="AD89"/>
  <c r="AD14"/>
  <c r="AE14"/>
  <c r="AC14"/>
  <c r="AD180"/>
  <c r="AE180"/>
  <c r="AC180"/>
  <c r="AE65"/>
  <c r="AC65"/>
  <c r="AD65"/>
  <c r="AD169"/>
  <c r="AE169"/>
  <c r="AC169"/>
  <c r="AC93"/>
  <c r="AE93"/>
  <c r="AD93"/>
  <c r="AD146"/>
  <c r="AE146"/>
  <c r="AC146"/>
  <c r="AC34"/>
  <c r="AE34"/>
  <c r="AD34"/>
  <c r="AD151"/>
  <c r="AE151"/>
  <c r="AC151"/>
  <c r="AD55"/>
  <c r="AC55"/>
  <c r="AE55"/>
  <c r="AD168"/>
  <c r="AE168"/>
  <c r="AC168"/>
  <c r="AC88"/>
  <c r="AE88"/>
  <c r="AD88"/>
  <c r="AD8"/>
  <c r="AE8"/>
  <c r="AC8"/>
  <c r="AD174"/>
  <c r="AE174"/>
  <c r="AC174"/>
  <c r="AE164"/>
  <c r="AD164"/>
  <c r="AC164"/>
  <c r="AD173"/>
  <c r="AE173"/>
  <c r="AC173"/>
  <c r="AE166"/>
  <c r="AD166"/>
  <c r="AC166"/>
  <c r="AC86"/>
  <c r="AE86"/>
  <c r="AD86"/>
  <c r="AD6"/>
  <c r="AE6"/>
  <c r="AC6"/>
  <c r="AC107"/>
  <c r="AE107"/>
  <c r="AD107"/>
  <c r="AE27"/>
  <c r="AC27"/>
  <c r="AD27"/>
  <c r="AC124"/>
  <c r="AE124"/>
  <c r="AD124"/>
  <c r="AC44"/>
  <c r="AE44"/>
  <c r="AD44"/>
  <c r="AD153"/>
  <c r="AE153"/>
  <c r="AC153"/>
  <c r="AD147"/>
  <c r="AE147"/>
  <c r="AC147"/>
  <c r="AC36"/>
  <c r="AE36"/>
  <c r="AD36"/>
  <c r="AC97"/>
  <c r="AE97"/>
  <c r="AD97"/>
  <c r="AC9"/>
  <c r="AD170"/>
  <c r="AE170"/>
  <c r="AC170"/>
  <c r="AC90"/>
  <c r="AD90"/>
  <c r="AE90"/>
  <c r="AE10"/>
  <c r="AD10"/>
  <c r="AC10"/>
  <c r="AC95"/>
  <c r="AE95"/>
  <c r="AD95"/>
  <c r="AD15"/>
  <c r="AE15"/>
  <c r="AC15"/>
  <c r="AC96"/>
  <c r="AE96"/>
  <c r="AD96"/>
  <c r="AE16"/>
  <c r="AD16"/>
  <c r="AC16"/>
  <c r="AD71"/>
  <c r="AE71"/>
  <c r="AC71"/>
  <c r="AE81"/>
  <c r="AD81"/>
  <c r="AC81"/>
  <c r="AE69"/>
  <c r="AD69"/>
  <c r="AC69"/>
  <c r="AD76"/>
  <c r="AE76"/>
  <c r="AC76"/>
  <c r="AE84"/>
  <c r="AD84"/>
  <c r="AC84"/>
  <c r="AD126"/>
  <c r="AE126"/>
  <c r="AC126"/>
  <c r="AE134"/>
  <c r="AD134"/>
  <c r="AC134"/>
  <c r="AD128"/>
  <c r="AE128"/>
  <c r="AC128"/>
  <c r="AD129"/>
  <c r="AE129"/>
  <c r="AC129"/>
  <c r="AE127"/>
  <c r="AD127"/>
  <c r="AC127"/>
  <c r="AD37"/>
  <c r="AE37"/>
  <c r="AC37"/>
  <c r="AC62"/>
  <c r="AE62"/>
  <c r="AD62"/>
  <c r="AE35"/>
  <c r="AD35"/>
  <c r="AC35"/>
  <c r="AD20"/>
  <c r="AE20"/>
  <c r="AC20"/>
  <c r="AC53"/>
  <c r="AD53"/>
  <c r="AE53"/>
  <c r="AD157"/>
  <c r="AE157"/>
  <c r="AC157"/>
  <c r="AD162"/>
  <c r="AE162"/>
  <c r="AC162"/>
  <c r="AE50"/>
  <c r="AD50"/>
  <c r="AC50"/>
  <c r="AE167"/>
  <c r="AD167"/>
  <c r="AC167"/>
  <c r="AC87"/>
  <c r="AD87"/>
  <c r="AE87"/>
  <c r="AD184"/>
  <c r="AE184"/>
  <c r="AC184"/>
  <c r="AC104"/>
  <c r="AD104"/>
  <c r="AE104"/>
  <c r="AD24"/>
  <c r="AE24"/>
  <c r="AC24"/>
  <c r="AE25"/>
  <c r="AD25"/>
  <c r="AC25"/>
  <c r="AC99"/>
  <c r="AD99"/>
  <c r="AE99"/>
  <c r="AD57"/>
  <c r="AE57"/>
  <c r="AC57"/>
  <c r="AE182"/>
  <c r="AD182"/>
  <c r="AC182"/>
  <c r="AC102"/>
  <c r="AD102"/>
  <c r="AE102"/>
  <c r="AE22"/>
  <c r="AD22"/>
  <c r="AC22"/>
  <c r="AC123"/>
  <c r="AD123"/>
  <c r="AE123"/>
  <c r="AD43"/>
  <c r="AC43"/>
  <c r="AE43"/>
  <c r="AE156"/>
  <c r="AD156"/>
  <c r="AC156"/>
  <c r="AE60"/>
  <c r="AD60"/>
  <c r="AC60"/>
  <c r="AD49"/>
  <c r="AE49"/>
  <c r="AC49"/>
  <c r="AD30"/>
  <c r="AC30"/>
  <c r="AE30"/>
  <c r="AC116"/>
  <c r="AD116"/>
  <c r="AE116"/>
  <c r="AD161"/>
  <c r="AE161"/>
  <c r="AC161"/>
  <c r="AE21"/>
  <c r="AD21"/>
  <c r="AC21"/>
  <c r="AE7"/>
  <c r="AD7"/>
  <c r="AC7"/>
  <c r="AC106"/>
  <c r="AE106"/>
  <c r="AD106"/>
  <c r="AE26"/>
  <c r="AD26"/>
  <c r="AC26"/>
  <c r="AC111"/>
  <c r="AE111"/>
  <c r="AD111"/>
  <c r="AC31"/>
  <c r="AE31"/>
  <c r="AD31"/>
  <c r="AC112"/>
  <c r="AD112"/>
  <c r="AE112"/>
  <c r="AD32"/>
  <c r="AC32"/>
  <c r="AE32"/>
  <c r="AD79"/>
  <c r="AE79"/>
  <c r="AC79"/>
  <c r="AE73"/>
  <c r="AD73"/>
  <c r="AC73"/>
  <c r="AE77"/>
  <c r="AD77"/>
  <c r="AC77"/>
  <c r="AD72"/>
  <c r="AE72"/>
  <c r="AC72"/>
  <c r="AE70"/>
  <c r="AD70"/>
  <c r="AC70"/>
  <c r="AD136"/>
  <c r="AE136"/>
  <c r="AC136"/>
  <c r="AE132"/>
  <c r="AD132"/>
  <c r="AC132"/>
  <c r="AD137"/>
  <c r="AE137"/>
  <c r="AC137"/>
  <c r="AE130"/>
  <c r="AD130"/>
  <c r="AC130"/>
  <c r="AD140"/>
  <c r="AE140"/>
  <c r="AC140"/>
  <c r="AD165"/>
  <c r="AE165"/>
  <c r="AC165"/>
  <c r="AC94"/>
  <c r="AD94"/>
  <c r="AE94"/>
  <c r="AC115"/>
  <c r="AE115"/>
  <c r="AD115"/>
  <c r="AE52"/>
  <c r="AC52"/>
  <c r="AD52"/>
  <c r="AC117"/>
  <c r="AD117"/>
  <c r="AE117"/>
  <c r="AC41"/>
  <c r="AD41"/>
  <c r="AE41"/>
  <c r="AE178"/>
  <c r="AD178"/>
  <c r="AC178"/>
  <c r="AC98"/>
  <c r="AE98"/>
  <c r="AD98"/>
  <c r="AE183"/>
  <c r="AD183"/>
  <c r="AC183"/>
  <c r="AC103"/>
  <c r="AE103"/>
  <c r="AD103"/>
  <c r="AE23"/>
  <c r="AD23"/>
  <c r="AC23"/>
  <c r="AC120"/>
  <c r="AE120"/>
  <c r="AD120"/>
  <c r="AC40"/>
  <c r="AE40"/>
  <c r="AD40"/>
  <c r="AC101"/>
  <c r="AD101"/>
  <c r="AE101"/>
  <c r="AD179"/>
  <c r="AE179"/>
  <c r="AC179"/>
  <c r="AC121"/>
  <c r="AE121"/>
  <c r="AD121"/>
  <c r="AD45"/>
  <c r="AE45"/>
  <c r="AC45"/>
  <c r="AC118"/>
  <c r="AE118"/>
  <c r="AD118"/>
  <c r="AC38"/>
  <c r="AE38"/>
  <c r="AD38"/>
  <c r="AD155"/>
  <c r="AE155"/>
  <c r="AC155"/>
  <c r="AC59"/>
  <c r="AD59"/>
  <c r="AE59"/>
  <c r="AD172"/>
  <c r="AE172"/>
  <c r="AC172"/>
  <c r="AC92"/>
  <c r="AE92"/>
  <c r="AD92"/>
  <c r="AE12"/>
  <c r="AD12"/>
  <c r="AC12"/>
  <c r="AC110"/>
  <c r="AE110"/>
  <c r="AD110"/>
  <c r="AD19"/>
  <c r="AE19"/>
  <c r="AC19"/>
  <c r="AD185"/>
  <c r="AE185"/>
  <c r="AC185"/>
  <c r="AD149"/>
  <c r="AE149"/>
  <c r="AC149"/>
  <c r="AC61"/>
  <c r="AD61"/>
  <c r="AE61"/>
  <c r="AC122"/>
  <c r="AD122"/>
  <c r="AE122"/>
  <c r="AD42"/>
  <c r="AC42"/>
  <c r="AE42"/>
  <c r="AE159"/>
  <c r="AD159"/>
  <c r="AC159"/>
  <c r="AE47"/>
  <c r="AD47"/>
  <c r="AC47"/>
  <c r="AE160"/>
  <c r="AD160"/>
  <c r="AC160"/>
  <c r="AC48"/>
  <c r="AE48"/>
  <c r="AD48"/>
  <c r="AE75"/>
  <c r="AD75"/>
  <c r="AC75"/>
  <c r="AE78"/>
  <c r="AD78"/>
  <c r="AC78"/>
  <c r="AD80"/>
  <c r="AE80"/>
  <c r="AC80"/>
  <c r="AD85"/>
  <c r="AE85"/>
  <c r="AC85"/>
  <c r="AE82"/>
  <c r="AD82"/>
  <c r="AC82"/>
  <c r="AE67"/>
  <c r="AD67"/>
  <c r="AC67"/>
  <c r="AD145"/>
  <c r="AE145"/>
  <c r="AC145"/>
  <c r="AE141"/>
  <c r="AD141"/>
  <c r="AC141"/>
  <c r="AE142"/>
  <c r="AD142"/>
  <c r="AC142"/>
  <c r="AE131"/>
  <c r="AD131"/>
  <c r="AC131"/>
  <c r="AD138"/>
  <c r="AE138"/>
  <c r="AC138"/>
  <c r="AC113"/>
  <c r="AE113"/>
  <c r="AD113"/>
  <c r="AE158"/>
  <c r="AD158"/>
  <c r="AC158"/>
  <c r="AD163"/>
  <c r="AE163"/>
  <c r="AC163"/>
  <c r="AE148"/>
  <c r="AD148"/>
  <c r="AC148"/>
  <c r="AE181"/>
  <c r="AD181"/>
  <c r="AC181"/>
  <c r="AC105"/>
  <c r="AE105"/>
  <c r="AD105"/>
  <c r="AC29"/>
  <c r="AD29"/>
  <c r="AE29"/>
  <c r="AC114"/>
  <c r="AD114"/>
  <c r="AE114"/>
  <c r="AE18"/>
  <c r="AD18"/>
  <c r="AC18"/>
  <c r="AC119"/>
  <c r="AD119"/>
  <c r="AE119"/>
  <c r="AD39"/>
  <c r="AE39"/>
  <c r="AC39"/>
  <c r="AE152"/>
  <c r="AD152"/>
  <c r="AC152"/>
  <c r="AE56"/>
  <c r="AD56"/>
  <c r="AC56"/>
  <c r="AD177"/>
  <c r="AE177"/>
  <c r="AC177"/>
  <c r="AC46"/>
  <c r="AD46"/>
  <c r="AE46"/>
  <c r="AC100"/>
  <c r="AE100"/>
  <c r="AD100"/>
  <c r="AC109"/>
  <c r="AE109"/>
  <c r="AD109"/>
  <c r="AE150"/>
  <c r="AD150"/>
  <c r="AC150"/>
  <c r="AE54"/>
  <c r="AD54"/>
  <c r="AC54"/>
  <c r="AE171"/>
  <c r="AD171"/>
  <c r="AC171"/>
  <c r="AC91"/>
  <c r="AD91"/>
  <c r="AE91"/>
  <c r="AD11"/>
  <c r="AE11"/>
  <c r="AC11"/>
  <c r="AC108"/>
  <c r="AD108"/>
  <c r="AE108"/>
  <c r="AD28"/>
  <c r="AC28"/>
  <c r="AE28"/>
  <c r="AE13"/>
  <c r="AD13"/>
  <c r="AC13"/>
  <c r="AD51"/>
  <c r="AE51"/>
  <c r="AC51"/>
  <c r="AD17"/>
  <c r="AE17"/>
  <c r="AC17"/>
  <c r="AC33"/>
  <c r="AD33"/>
  <c r="AE33"/>
  <c r="AC125"/>
  <c r="AD125"/>
  <c r="AE125"/>
  <c r="AE154"/>
  <c r="AD154"/>
  <c r="AC154"/>
  <c r="AC58"/>
  <c r="AD58"/>
  <c r="AE58"/>
  <c r="AD175"/>
  <c r="AE175"/>
  <c r="AC175"/>
  <c r="AD63"/>
  <c r="AE63"/>
  <c r="AC63"/>
  <c r="AE176"/>
  <c r="AD176"/>
  <c r="AC176"/>
  <c r="AE64"/>
  <c r="AD64"/>
  <c r="AC64"/>
  <c r="AG6"/>
  <c r="AG7" l="1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E186"/>
  <c r="AE187" s="1"/>
  <c r="C193"/>
</calcChain>
</file>

<file path=xl/sharedStrings.xml><?xml version="1.0" encoding="utf-8"?>
<sst xmlns="http://schemas.openxmlformats.org/spreadsheetml/2006/main" count="374" uniqueCount="85">
  <si>
    <t>JOUEURS</t>
  </si>
  <si>
    <t>1ère partie</t>
  </si>
  <si>
    <t>2ème partie</t>
  </si>
  <si>
    <t>3ème partie</t>
  </si>
  <si>
    <t>4ème partie</t>
  </si>
  <si>
    <t>5ème partie</t>
  </si>
  <si>
    <t>6ème partie</t>
  </si>
  <si>
    <t>Joueur</t>
  </si>
  <si>
    <t>contre</t>
  </si>
  <si>
    <t>Prénom et / ou Nom</t>
  </si>
  <si>
    <t>TOTAUX</t>
  </si>
  <si>
    <t>ALEA</t>
  </si>
  <si>
    <t>Milieu</t>
  </si>
  <si>
    <t>Tireur</t>
  </si>
  <si>
    <t>Place</t>
  </si>
  <si>
    <t>RESULTAT DES PARTIES</t>
  </si>
  <si>
    <t>TIRAGE</t>
  </si>
  <si>
    <t>Résultat du tri aléatoire par F9 :</t>
  </si>
  <si>
    <t>NOM  Prénom</t>
  </si>
  <si>
    <t>Pts</t>
  </si>
  <si>
    <t>GA</t>
  </si>
  <si>
    <t>Pointeur</t>
  </si>
  <si>
    <t>Score</t>
  </si>
  <si>
    <t>GA-</t>
  </si>
  <si>
    <t>GA+</t>
  </si>
  <si>
    <t>Rang</t>
  </si>
  <si>
    <t>Class.1</t>
  </si>
  <si>
    <t>Points</t>
  </si>
  <si>
    <t>G.A.</t>
  </si>
  <si>
    <t>CLASSEMENT</t>
  </si>
  <si>
    <t>Gagné : 3 - Nul 2 - Perdu : 1 - Forfait 0</t>
  </si>
  <si>
    <t>Code vérouillage AB</t>
  </si>
  <si>
    <t>Copier colonne J, K et L puis collage spécial, valeurs dans toutes les parties avant de commencer jusqu'à la 6ème partie</t>
  </si>
  <si>
    <t>Nbre 1</t>
  </si>
  <si>
    <t>Nbre 2</t>
  </si>
  <si>
    <t>Nbre 3</t>
  </si>
  <si>
    <t>Jeux</t>
  </si>
  <si>
    <t>Enregistrer les résultats dans les cellules colorées</t>
  </si>
  <si>
    <t>Méthode</t>
  </si>
  <si>
    <t>S'il manque des joueurs c'est toujours la colonne pointeurs qui doit être inférieure en nombre</t>
  </si>
  <si>
    <t>Appuyer sur F9 pour un tirage aléatoire les joueurs des colonnes J - K et L se mélangent</t>
  </si>
  <si>
    <t>*Feuillet Résultats</t>
  </si>
  <si>
    <t>*Feuillet Classement</t>
  </si>
  <si>
    <t>Enregistrer</t>
  </si>
  <si>
    <t>Les Noms des joueurs sont à leur place respectives dans les 6 parties</t>
  </si>
  <si>
    <r>
      <t>Copier ces 3 colonnes et faire</t>
    </r>
    <r>
      <rPr>
        <u/>
        <sz val="14"/>
        <color rgb="FFFF0000"/>
        <rFont val="Times New Roman"/>
        <family val="1"/>
      </rPr>
      <t xml:space="preserve"> (Très important) collage spécial puis valeurs</t>
    </r>
    <r>
      <rPr>
        <sz val="14"/>
        <rFont val="Times New Roman"/>
        <family val="1"/>
      </rPr>
      <t xml:space="preserve"> dans les colonnes 1ère partie O - P et Q</t>
    </r>
  </si>
  <si>
    <r>
      <t xml:space="preserve">Copier ces 3 colonnes et faire </t>
    </r>
    <r>
      <rPr>
        <u/>
        <sz val="14"/>
        <color rgb="FFFF0000"/>
        <rFont val="Times New Roman"/>
        <family val="1"/>
      </rPr>
      <t>collage spécial puis valeurs</t>
    </r>
    <r>
      <rPr>
        <sz val="14"/>
        <rFont val="Times New Roman"/>
        <family val="1"/>
      </rPr>
      <t xml:space="preserve"> dans les colonnes 2ème partie R - S et T</t>
    </r>
  </si>
  <si>
    <r>
      <t xml:space="preserve">Copier ces 3 colonnes et faire </t>
    </r>
    <r>
      <rPr>
        <u/>
        <sz val="14"/>
        <color rgb="FFFF0000"/>
        <rFont val="Times New Roman"/>
        <family val="1"/>
      </rPr>
      <t>collage spécial puis valeurs</t>
    </r>
    <r>
      <rPr>
        <sz val="14"/>
        <rFont val="Times New Roman"/>
        <family val="1"/>
      </rPr>
      <t xml:space="preserve"> dans les colonnes 3ème partie U - V et W</t>
    </r>
  </si>
  <si>
    <t>Nbre 0</t>
  </si>
  <si>
    <t xml:space="preserve"> puis classement de Z à A à partir de la cellule Pts</t>
  </si>
  <si>
    <t xml:space="preserve">* Feuillet Joueurs + Tirage : </t>
  </si>
  <si>
    <t>Inscrire les Noms des Joueurs  Tireurs Milieux Pointeurs ou féminines dans les colonnes  respectives C - E et G</t>
  </si>
  <si>
    <t>Noter les résultats dans les cellules vertes rouges  bleues marrons violettes et jaunes</t>
  </si>
  <si>
    <t>Copier colonne Y puis coller dans colonne AB</t>
  </si>
  <si>
    <t>CA</t>
  </si>
  <si>
    <r>
      <t xml:space="preserve">Copier ces 3 colonnes et faire </t>
    </r>
    <r>
      <rPr>
        <u/>
        <sz val="14"/>
        <color rgb="FFFF0000"/>
        <rFont val="Times New Roman"/>
        <family val="1"/>
      </rPr>
      <t>collage spécial puis valeurs</t>
    </r>
    <r>
      <rPr>
        <sz val="14"/>
        <rFont val="Times New Roman"/>
        <family val="1"/>
      </rPr>
      <t xml:space="preserve"> dans les colonnes 4ème partie X - Y et Z</t>
    </r>
  </si>
  <si>
    <r>
      <t xml:space="preserve">Copier ces 3 colonnes et faire </t>
    </r>
    <r>
      <rPr>
        <u/>
        <sz val="14"/>
        <color rgb="FFFF0000"/>
        <rFont val="Times New Roman"/>
        <family val="1"/>
      </rPr>
      <t>collage spécial puis valeurs</t>
    </r>
    <r>
      <rPr>
        <sz val="14"/>
        <rFont val="Times New Roman"/>
        <family val="1"/>
      </rPr>
      <t xml:space="preserve"> dans les colonnes 5ème partie AA - AB et AC</t>
    </r>
  </si>
  <si>
    <r>
      <t xml:space="preserve">Copier ces 3 colonnes et faire </t>
    </r>
    <r>
      <rPr>
        <u/>
        <sz val="14"/>
        <color rgb="FFFF0000"/>
        <rFont val="Times New Roman"/>
        <family val="1"/>
      </rPr>
      <t>collage spécial puis valeurs</t>
    </r>
    <r>
      <rPr>
        <sz val="14"/>
        <rFont val="Times New Roman"/>
        <family val="1"/>
      </rPr>
      <t xml:space="preserve"> dans les colonnes 6ème partie AD - AE et AF</t>
    </r>
  </si>
  <si>
    <t>RESULTATS</t>
  </si>
  <si>
    <t>Class.</t>
  </si>
  <si>
    <t>A1</t>
  </si>
  <si>
    <t>B1</t>
  </si>
  <si>
    <t>C1</t>
  </si>
  <si>
    <t>A2</t>
  </si>
  <si>
    <t>B2</t>
  </si>
  <si>
    <t>C2</t>
  </si>
  <si>
    <t>A3</t>
  </si>
  <si>
    <t>A4</t>
  </si>
  <si>
    <t>A5</t>
  </si>
  <si>
    <t>A6</t>
  </si>
  <si>
    <t>B3</t>
  </si>
  <si>
    <t>B4</t>
  </si>
  <si>
    <t>B5</t>
  </si>
  <si>
    <t>B6</t>
  </si>
  <si>
    <t>C3</t>
  </si>
  <si>
    <t>C4</t>
  </si>
  <si>
    <t>C5</t>
  </si>
  <si>
    <t>A7</t>
  </si>
  <si>
    <t>A8</t>
  </si>
  <si>
    <t>B7</t>
  </si>
  <si>
    <t>B8</t>
  </si>
  <si>
    <t>C6</t>
  </si>
  <si>
    <t xml:space="preserve"> </t>
  </si>
  <si>
    <t>Le Classement se fait automatiquement dans les colonnes AC à AG</t>
  </si>
  <si>
    <t xml:space="preserve"> Inscrire les Noms dans les colonnes respectives Tireurs Milieux Pointeurs 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</si>
</sst>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0.000000"/>
  </numFmts>
  <fonts count="15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u/>
      <sz val="14"/>
      <color rgb="FFFF0000"/>
      <name val="Times New Roman"/>
      <family val="1"/>
    </font>
    <font>
      <sz val="11"/>
      <color rgb="FF9C6500"/>
      <name val="Times New Roman"/>
      <family val="2"/>
    </font>
    <font>
      <sz val="11"/>
      <name val="Times New Roman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rgb="FF9EF8F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F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FF33CC"/>
      </left>
      <right style="thin">
        <color indexed="64"/>
      </right>
      <top style="thick">
        <color rgb="FFFF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33CC"/>
      </top>
      <bottom style="thin">
        <color indexed="64"/>
      </bottom>
      <diagonal/>
    </border>
    <border>
      <left style="thin">
        <color indexed="64"/>
      </left>
      <right style="thick">
        <color rgb="FFFF33CC"/>
      </right>
      <top style="thick">
        <color rgb="FFFF33CC"/>
      </top>
      <bottom style="thin">
        <color indexed="64"/>
      </bottom>
      <diagonal/>
    </border>
    <border>
      <left style="thick">
        <color rgb="FFFF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33CC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33CC"/>
      </right>
      <top style="thin">
        <color indexed="64"/>
      </top>
      <bottom style="thin">
        <color indexed="64"/>
      </bottom>
      <diagonal/>
    </border>
    <border>
      <left style="thick">
        <color rgb="FFFF33CC"/>
      </left>
      <right/>
      <top/>
      <bottom/>
      <diagonal/>
    </border>
    <border>
      <left/>
      <right style="thick">
        <color rgb="FFFF33CC"/>
      </right>
      <top style="thin">
        <color indexed="64"/>
      </top>
      <bottom style="thin">
        <color indexed="64"/>
      </bottom>
      <diagonal/>
    </border>
    <border>
      <left style="thick">
        <color rgb="FFFF33CC"/>
      </left>
      <right style="thin">
        <color indexed="64"/>
      </right>
      <top style="thin">
        <color indexed="64"/>
      </top>
      <bottom style="thick">
        <color rgb="FFFF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33CC"/>
      </bottom>
      <diagonal/>
    </border>
    <border>
      <left style="thin">
        <color indexed="64"/>
      </left>
      <right style="thick">
        <color rgb="FFFF33CC"/>
      </right>
      <top style="thin">
        <color indexed="64"/>
      </top>
      <bottom style="thick">
        <color rgb="FFFF33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14" borderId="0" applyNumberFormat="0" applyBorder="0" applyAlignment="0" applyProtection="0"/>
  </cellStyleXfs>
  <cellXfs count="388">
    <xf numFmtId="0" fontId="0" fillId="0" borderId="0" xfId="0"/>
    <xf numFmtId="0" fontId="2" fillId="0" borderId="1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2" xfId="0" quotePrefix="1" applyFont="1" applyBorder="1" applyAlignment="1" applyProtection="1">
      <alignment horizontal="center"/>
    </xf>
    <xf numFmtId="0" fontId="2" fillId="0" borderId="1" xfId="0" quotePrefix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2" fillId="12" borderId="0" xfId="0" applyFont="1" applyFill="1" applyProtection="1">
      <protection locked="0"/>
    </xf>
    <xf numFmtId="0" fontId="2" fillId="0" borderId="46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9" borderId="40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164" fontId="2" fillId="0" borderId="47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50" xfId="0" applyBorder="1" applyProtection="1"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/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14" xfId="0" applyFont="1" applyBorder="1" applyAlignment="1" applyProtection="1">
      <alignment horizontal="center"/>
    </xf>
    <xf numFmtId="164" fontId="2" fillId="0" borderId="55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14" xfId="1" applyFont="1" applyFill="1" applyBorder="1" applyAlignment="1" applyProtection="1">
      <alignment horizontal="center"/>
    </xf>
    <xf numFmtId="0" fontId="10" fillId="0" borderId="0" xfId="1" applyFont="1" applyFill="1" applyAlignment="1" applyProtection="1">
      <alignment horizontal="center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</xf>
    <xf numFmtId="0" fontId="2" fillId="0" borderId="14" xfId="0" quotePrefix="1" applyFont="1" applyBorder="1" applyAlignment="1" applyProtection="1">
      <alignment horizontal="center" vertical="center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1" xfId="0" quotePrefix="1" applyFont="1" applyBorder="1" applyAlignment="1" applyProtection="1">
      <alignment horizontal="center" vertical="center"/>
    </xf>
    <xf numFmtId="0" fontId="2" fillId="0" borderId="34" xfId="0" quotePrefix="1" applyFont="1" applyBorder="1" applyAlignment="1" applyProtection="1">
      <alignment horizontal="center" vertical="center"/>
    </xf>
    <xf numFmtId="0" fontId="2" fillId="0" borderId="12" xfId="0" quotePrefix="1" applyFont="1" applyBorder="1" applyAlignment="1" applyProtection="1">
      <alignment horizontal="center" vertical="center"/>
    </xf>
    <xf numFmtId="0" fontId="2" fillId="0" borderId="38" xfId="0" quotePrefix="1" applyFont="1" applyBorder="1" applyAlignment="1" applyProtection="1">
      <alignment horizontal="center" vertical="center"/>
    </xf>
    <xf numFmtId="0" fontId="2" fillId="0" borderId="52" xfId="0" quotePrefix="1" applyFont="1" applyBorder="1" applyAlignment="1" applyProtection="1">
      <alignment horizontal="center" vertical="center"/>
    </xf>
    <xf numFmtId="0" fontId="2" fillId="0" borderId="58" xfId="0" quotePrefix="1" applyFont="1" applyBorder="1" applyAlignment="1" applyProtection="1">
      <alignment horizontal="center" vertical="center"/>
    </xf>
    <xf numFmtId="0" fontId="2" fillId="0" borderId="53" xfId="0" quotePrefix="1" applyFont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0" fontId="2" fillId="0" borderId="58" xfId="0" quotePrefix="1" applyFont="1" applyFill="1" applyBorder="1" applyAlignment="1" applyProtection="1">
      <alignment horizontal="center" vertical="center"/>
    </xf>
    <xf numFmtId="0" fontId="2" fillId="0" borderId="14" xfId="0" quotePrefix="1" applyFont="1" applyFill="1" applyBorder="1" applyAlignment="1" applyProtection="1">
      <alignment horizontal="center" vertical="center"/>
    </xf>
    <xf numFmtId="0" fontId="2" fillId="0" borderId="34" xfId="0" quotePrefix="1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9" borderId="35" xfId="0" applyFont="1" applyFill="1" applyBorder="1" applyAlignment="1" applyProtection="1">
      <alignment horizontal="center" vertical="center"/>
      <protection locked="0"/>
    </xf>
    <xf numFmtId="0" fontId="2" fillId="8" borderId="35" xfId="0" applyFont="1" applyFill="1" applyBorder="1" applyAlignment="1" applyProtection="1">
      <alignment horizontal="center" vertical="center"/>
      <protection locked="0"/>
    </xf>
    <xf numFmtId="0" fontId="2" fillId="10" borderId="24" xfId="0" applyFont="1" applyFill="1" applyBorder="1" applyAlignment="1" applyProtection="1">
      <alignment horizontal="center" vertical="center"/>
      <protection locked="0"/>
    </xf>
    <xf numFmtId="0" fontId="2" fillId="0" borderId="61" xfId="0" quotePrefix="1" applyFont="1" applyBorder="1" applyAlignment="1" applyProtection="1">
      <alignment horizontal="center"/>
    </xf>
    <xf numFmtId="0" fontId="2" fillId="0" borderId="14" xfId="0" quotePrefix="1" applyFont="1" applyFill="1" applyBorder="1" applyAlignment="1" applyProtection="1">
      <alignment horizontal="center"/>
    </xf>
    <xf numFmtId="0" fontId="2" fillId="0" borderId="8" xfId="0" quotePrefix="1" applyFont="1" applyBorder="1" applyAlignment="1" applyProtection="1">
      <alignment horizontal="center"/>
    </xf>
    <xf numFmtId="0" fontId="2" fillId="0" borderId="8" xfId="0" quotePrefix="1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 vertical="center"/>
    </xf>
    <xf numFmtId="0" fontId="2" fillId="15" borderId="9" xfId="0" applyFont="1" applyFill="1" applyBorder="1" applyAlignment="1" applyProtection="1">
      <alignment horizontal="center" vertical="center"/>
      <protection locked="0"/>
    </xf>
    <xf numFmtId="0" fontId="2" fillId="15" borderId="9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/>
    </xf>
    <xf numFmtId="0" fontId="2" fillId="9" borderId="64" xfId="0" applyFont="1" applyFill="1" applyBorder="1" applyAlignment="1" applyProtection="1">
      <alignment horizontal="center"/>
      <protection locked="0"/>
    </xf>
    <xf numFmtId="0" fontId="2" fillId="0" borderId="64" xfId="0" quotePrefix="1" applyFont="1" applyFill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</xf>
    <xf numFmtId="164" fontId="2" fillId="0" borderId="67" xfId="0" quotePrefix="1" applyNumberFormat="1" applyFont="1" applyFill="1" applyBorder="1" applyAlignment="1" applyProtection="1">
      <alignment horizontal="center"/>
    </xf>
    <xf numFmtId="164" fontId="2" fillId="0" borderId="68" xfId="0" quotePrefix="1" applyNumberFormat="1" applyFont="1" applyFill="1" applyBorder="1" applyAlignment="1" applyProtection="1">
      <alignment horizontal="center"/>
    </xf>
    <xf numFmtId="0" fontId="2" fillId="15" borderId="69" xfId="0" applyFont="1" applyFill="1" applyBorder="1" applyAlignment="1" applyProtection="1">
      <alignment vertical="center"/>
    </xf>
    <xf numFmtId="0" fontId="2" fillId="15" borderId="70" xfId="0" applyFont="1" applyFill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0" fontId="2" fillId="0" borderId="72" xfId="0" applyFont="1" applyFill="1" applyBorder="1" applyAlignment="1" applyProtection="1">
      <alignment horizontal="center"/>
    </xf>
    <xf numFmtId="0" fontId="6" fillId="0" borderId="73" xfId="0" applyFont="1" applyBorder="1" applyAlignment="1" applyProtection="1">
      <alignment horizontal="center" vertical="center"/>
    </xf>
    <xf numFmtId="0" fontId="2" fillId="0" borderId="74" xfId="0" applyFont="1" applyFill="1" applyBorder="1" applyAlignment="1" applyProtection="1">
      <alignment horizontal="center"/>
    </xf>
    <xf numFmtId="0" fontId="2" fillId="0" borderId="75" xfId="0" applyFont="1" applyBorder="1" applyAlignment="1" applyProtection="1">
      <alignment horizontal="center"/>
    </xf>
    <xf numFmtId="0" fontId="2" fillId="0" borderId="76" xfId="0" applyFont="1" applyFill="1" applyBorder="1" applyAlignment="1" applyProtection="1">
      <alignment horizontal="center"/>
    </xf>
    <xf numFmtId="0" fontId="3" fillId="13" borderId="77" xfId="0" applyFont="1" applyFill="1" applyBorder="1" applyAlignment="1" applyProtection="1">
      <alignment horizontal="center"/>
      <protection locked="0"/>
    </xf>
    <xf numFmtId="0" fontId="2" fillId="0" borderId="77" xfId="0" quotePrefix="1" applyFont="1" applyFill="1" applyBorder="1" applyAlignment="1" applyProtection="1">
      <alignment horizontal="center"/>
    </xf>
    <xf numFmtId="0" fontId="2" fillId="0" borderId="78" xfId="0" applyFont="1" applyBorder="1" applyAlignment="1" applyProtection="1">
      <alignment horizontal="center"/>
    </xf>
    <xf numFmtId="0" fontId="2" fillId="0" borderId="79" xfId="0" applyFont="1" applyFill="1" applyBorder="1" applyAlignment="1" applyProtection="1">
      <alignment horizontal="center"/>
    </xf>
    <xf numFmtId="164" fontId="2" fillId="0" borderId="80" xfId="0" quotePrefix="1" applyNumberFormat="1" applyFont="1" applyFill="1" applyBorder="1" applyAlignment="1" applyProtection="1">
      <alignment horizontal="center"/>
    </xf>
    <xf numFmtId="164" fontId="2" fillId="0" borderId="81" xfId="0" quotePrefix="1" applyNumberFormat="1" applyFont="1" applyFill="1" applyBorder="1" applyAlignment="1" applyProtection="1">
      <alignment horizontal="center"/>
    </xf>
    <xf numFmtId="0" fontId="2" fillId="0" borderId="82" xfId="0" applyFont="1" applyFill="1" applyBorder="1" applyAlignment="1" applyProtection="1">
      <alignment vertical="center"/>
    </xf>
    <xf numFmtId="0" fontId="2" fillId="0" borderId="83" xfId="0" applyFont="1" applyFill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/>
    </xf>
    <xf numFmtId="0" fontId="2" fillId="0" borderId="80" xfId="0" applyFont="1" applyBorder="1" applyAlignment="1" applyProtection="1">
      <alignment horizontal="center"/>
    </xf>
    <xf numFmtId="0" fontId="2" fillId="0" borderId="84" xfId="0" applyFont="1" applyFill="1" applyBorder="1" applyAlignment="1" applyProtection="1">
      <alignment horizontal="center"/>
    </xf>
    <xf numFmtId="0" fontId="2" fillId="0" borderId="85" xfId="0" applyFont="1" applyBorder="1" applyAlignment="1" applyProtection="1">
      <alignment horizontal="center"/>
    </xf>
    <xf numFmtId="0" fontId="2" fillId="0" borderId="85" xfId="0" applyFont="1" applyFill="1" applyBorder="1" applyAlignment="1" applyProtection="1">
      <alignment horizontal="center"/>
    </xf>
    <xf numFmtId="0" fontId="2" fillId="0" borderId="86" xfId="0" applyFont="1" applyBorder="1" applyAlignment="1" applyProtection="1">
      <alignment horizontal="center"/>
    </xf>
    <xf numFmtId="0" fontId="2" fillId="16" borderId="82" xfId="0" applyFont="1" applyFill="1" applyBorder="1" applyAlignment="1" applyProtection="1">
      <alignment vertical="center"/>
    </xf>
    <xf numFmtId="0" fontId="2" fillId="16" borderId="9" xfId="0" applyFont="1" applyFill="1" applyBorder="1" applyAlignment="1" applyProtection="1">
      <alignment horizontal="center" vertical="center"/>
      <protection locked="0"/>
    </xf>
    <xf numFmtId="0" fontId="2" fillId="16" borderId="9" xfId="0" applyFont="1" applyFill="1" applyBorder="1" applyAlignment="1" applyProtection="1">
      <alignment horizontal="center" vertical="center"/>
    </xf>
    <xf numFmtId="0" fontId="2" fillId="16" borderId="83" xfId="0" applyFont="1" applyFill="1" applyBorder="1" applyAlignment="1" applyProtection="1">
      <alignment horizontal="center" vertical="center"/>
    </xf>
    <xf numFmtId="0" fontId="2" fillId="16" borderId="79" xfId="0" applyFont="1" applyFill="1" applyBorder="1" applyAlignment="1" applyProtection="1">
      <alignment horizontal="center"/>
    </xf>
    <xf numFmtId="0" fontId="2" fillId="16" borderId="32" xfId="0" quotePrefix="1" applyFont="1" applyFill="1" applyBorder="1" applyAlignment="1" applyProtection="1">
      <alignment horizontal="center"/>
    </xf>
    <xf numFmtId="0" fontId="2" fillId="16" borderId="1" xfId="0" quotePrefix="1" applyFont="1" applyFill="1" applyBorder="1" applyAlignment="1" applyProtection="1">
      <alignment horizontal="center"/>
    </xf>
    <xf numFmtId="164" fontId="2" fillId="16" borderId="81" xfId="0" quotePrefix="1" applyNumberFormat="1" applyFont="1" applyFill="1" applyBorder="1" applyAlignment="1" applyProtection="1">
      <alignment horizontal="center"/>
    </xf>
    <xf numFmtId="0" fontId="2" fillId="0" borderId="87" xfId="0" applyFont="1" applyFill="1" applyBorder="1" applyAlignment="1" applyProtection="1">
      <alignment horizontal="center"/>
    </xf>
    <xf numFmtId="0" fontId="2" fillId="10" borderId="88" xfId="0" applyFont="1" applyFill="1" applyBorder="1" applyAlignment="1" applyProtection="1">
      <alignment horizontal="center"/>
      <protection locked="0"/>
    </xf>
    <xf numFmtId="0" fontId="2" fillId="0" borderId="88" xfId="0" quotePrefix="1" applyFont="1" applyFill="1" applyBorder="1" applyAlignment="1" applyProtection="1">
      <alignment horizontal="center"/>
    </xf>
    <xf numFmtId="0" fontId="2" fillId="0" borderId="89" xfId="0" applyFont="1" applyBorder="1" applyAlignment="1" applyProtection="1">
      <alignment horizontal="center"/>
    </xf>
    <xf numFmtId="0" fontId="2" fillId="0" borderId="90" xfId="0" applyFont="1" applyFill="1" applyBorder="1" applyAlignment="1" applyProtection="1">
      <alignment horizontal="center"/>
    </xf>
    <xf numFmtId="164" fontId="2" fillId="0" borderId="91" xfId="0" quotePrefix="1" applyNumberFormat="1" applyFont="1" applyFill="1" applyBorder="1" applyAlignment="1" applyProtection="1">
      <alignment horizontal="center"/>
    </xf>
    <xf numFmtId="164" fontId="2" fillId="0" borderId="92" xfId="0" quotePrefix="1" applyNumberFormat="1" applyFont="1" applyFill="1" applyBorder="1" applyAlignment="1" applyProtection="1">
      <alignment horizontal="center"/>
    </xf>
    <xf numFmtId="0" fontId="2" fillId="0" borderId="92" xfId="0" applyFont="1" applyBorder="1" applyAlignment="1" applyProtection="1">
      <alignment horizontal="center"/>
    </xf>
    <xf numFmtId="0" fontId="2" fillId="0" borderId="91" xfId="0" applyFont="1" applyBorder="1" applyAlignment="1" applyProtection="1">
      <alignment horizontal="center"/>
    </xf>
    <xf numFmtId="0" fontId="2" fillId="0" borderId="95" xfId="0" applyFont="1" applyFill="1" applyBorder="1" applyAlignment="1" applyProtection="1">
      <alignment horizontal="center"/>
    </xf>
    <xf numFmtId="0" fontId="2" fillId="0" borderId="96" xfId="0" applyFont="1" applyBorder="1" applyAlignment="1" applyProtection="1">
      <alignment horizontal="center"/>
    </xf>
    <xf numFmtId="0" fontId="2" fillId="0" borderId="96" xfId="0" applyFont="1" applyFill="1" applyBorder="1" applyAlignment="1" applyProtection="1">
      <alignment horizontal="center"/>
    </xf>
    <xf numFmtId="0" fontId="2" fillId="0" borderId="97" xfId="0" applyFont="1" applyBorder="1" applyAlignment="1" applyProtection="1">
      <alignment horizontal="center"/>
    </xf>
    <xf numFmtId="0" fontId="2" fillId="8" borderId="93" xfId="0" applyFont="1" applyFill="1" applyBorder="1" applyAlignment="1" applyProtection="1">
      <alignment vertical="center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94" xfId="0" applyFont="1" applyFill="1" applyBorder="1" applyAlignment="1" applyProtection="1">
      <alignment horizontal="center" vertical="center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</xf>
    <xf numFmtId="0" fontId="2" fillId="17" borderId="9" xfId="0" applyFont="1" applyFill="1" applyBorder="1" applyAlignment="1" applyProtection="1">
      <alignment horizontal="center" vertical="center"/>
      <protection locked="0"/>
    </xf>
    <xf numFmtId="0" fontId="2" fillId="17" borderId="9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/>
    </xf>
    <xf numFmtId="0" fontId="2" fillId="11" borderId="99" xfId="0" applyFont="1" applyFill="1" applyBorder="1" applyAlignment="1" applyProtection="1">
      <alignment horizontal="center"/>
      <protection locked="0"/>
    </xf>
    <xf numFmtId="0" fontId="2" fillId="0" borderId="99" xfId="0" quotePrefix="1" applyFont="1" applyFill="1" applyBorder="1" applyAlignment="1" applyProtection="1">
      <alignment horizontal="center"/>
    </xf>
    <xf numFmtId="0" fontId="2" fillId="0" borderId="100" xfId="0" applyFont="1" applyBorder="1" applyAlignment="1" applyProtection="1">
      <alignment horizontal="center"/>
    </xf>
    <xf numFmtId="0" fontId="2" fillId="0" borderId="101" xfId="0" applyFont="1" applyFill="1" applyBorder="1" applyAlignment="1" applyProtection="1">
      <alignment horizontal="center"/>
    </xf>
    <xf numFmtId="164" fontId="2" fillId="0" borderId="102" xfId="0" quotePrefix="1" applyNumberFormat="1" applyFont="1" applyFill="1" applyBorder="1" applyAlignment="1" applyProtection="1">
      <alignment horizontal="center"/>
    </xf>
    <xf numFmtId="164" fontId="2" fillId="0" borderId="103" xfId="0" quotePrefix="1" applyNumberFormat="1" applyFont="1" applyFill="1" applyBorder="1" applyAlignment="1" applyProtection="1">
      <alignment horizontal="center"/>
    </xf>
    <xf numFmtId="0" fontId="2" fillId="17" borderId="104" xfId="0" applyFont="1" applyFill="1" applyBorder="1" applyAlignment="1" applyProtection="1">
      <alignment vertical="center"/>
    </xf>
    <xf numFmtId="0" fontId="2" fillId="17" borderId="105" xfId="0" applyFont="1" applyFill="1" applyBorder="1" applyAlignment="1" applyProtection="1">
      <alignment horizontal="center" vertical="center"/>
    </xf>
    <xf numFmtId="0" fontId="2" fillId="0" borderId="103" xfId="0" applyFont="1" applyBorder="1" applyAlignment="1" applyProtection="1">
      <alignment horizontal="center"/>
    </xf>
    <xf numFmtId="0" fontId="2" fillId="0" borderId="102" xfId="0" applyFont="1" applyBorder="1" applyAlignment="1" applyProtection="1">
      <alignment horizontal="center"/>
    </xf>
    <xf numFmtId="0" fontId="2" fillId="0" borderId="106" xfId="0" applyFont="1" applyFill="1" applyBorder="1" applyAlignment="1" applyProtection="1">
      <alignment horizontal="center"/>
    </xf>
    <xf numFmtId="0" fontId="2" fillId="0" borderId="107" xfId="0" applyFont="1" applyBorder="1" applyAlignment="1" applyProtection="1">
      <alignment horizontal="center"/>
    </xf>
    <xf numFmtId="0" fontId="2" fillId="0" borderId="107" xfId="0" applyFont="1" applyFill="1" applyBorder="1" applyAlignment="1" applyProtection="1">
      <alignment horizontal="center"/>
    </xf>
    <xf numFmtId="0" fontId="2" fillId="0" borderId="108" xfId="0" applyFont="1" applyBorder="1" applyAlignment="1" applyProtection="1">
      <alignment horizontal="center"/>
    </xf>
    <xf numFmtId="0" fontId="2" fillId="0" borderId="76" xfId="0" applyFont="1" applyBorder="1" applyAlignment="1" applyProtection="1">
      <alignment horizontal="center"/>
    </xf>
    <xf numFmtId="0" fontId="2" fillId="12" borderId="77" xfId="0" applyFont="1" applyFill="1" applyBorder="1" applyAlignment="1" applyProtection="1">
      <alignment horizontal="center"/>
      <protection locked="0"/>
    </xf>
    <xf numFmtId="0" fontId="2" fillId="11" borderId="82" xfId="0" applyFont="1" applyFill="1" applyBorder="1" applyAlignment="1" applyProtection="1">
      <alignment vertical="center"/>
    </xf>
    <xf numFmtId="0" fontId="2" fillId="11" borderId="83" xfId="0" applyFont="1" applyFill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/>
    </xf>
    <xf numFmtId="0" fontId="2" fillId="0" borderId="84" xfId="0" applyFont="1" applyBorder="1" applyAlignment="1" applyProtection="1">
      <alignment horizontal="center"/>
    </xf>
    <xf numFmtId="0" fontId="2" fillId="0" borderId="109" xfId="0" applyFont="1" applyBorder="1" applyAlignment="1" applyProtection="1">
      <alignment horizontal="center"/>
    </xf>
    <xf numFmtId="0" fontId="2" fillId="8" borderId="110" xfId="0" applyFont="1" applyFill="1" applyBorder="1" applyAlignment="1" applyProtection="1">
      <alignment horizontal="center"/>
      <protection locked="0"/>
    </xf>
    <xf numFmtId="0" fontId="2" fillId="0" borderId="110" xfId="0" quotePrefix="1" applyFont="1" applyFill="1" applyBorder="1" applyAlignment="1" applyProtection="1">
      <alignment horizontal="center"/>
    </xf>
    <xf numFmtId="0" fontId="2" fillId="0" borderId="111" xfId="0" applyFont="1" applyBorder="1" applyAlignment="1" applyProtection="1">
      <alignment horizontal="center"/>
    </xf>
    <xf numFmtId="0" fontId="2" fillId="0" borderId="112" xfId="0" applyFont="1" applyFill="1" applyBorder="1" applyAlignment="1" applyProtection="1">
      <alignment horizontal="center"/>
    </xf>
    <xf numFmtId="164" fontId="2" fillId="0" borderId="113" xfId="0" quotePrefix="1" applyNumberFormat="1" applyFont="1" applyFill="1" applyBorder="1" applyAlignment="1" applyProtection="1">
      <alignment horizontal="center"/>
    </xf>
    <xf numFmtId="164" fontId="2" fillId="0" borderId="114" xfId="0" quotePrefix="1" applyNumberFormat="1" applyFont="1" applyFill="1" applyBorder="1" applyAlignment="1" applyProtection="1">
      <alignment horizontal="center"/>
    </xf>
    <xf numFmtId="0" fontId="2" fillId="0" borderId="114" xfId="0" applyFont="1" applyBorder="1" applyAlignment="1" applyProtection="1">
      <alignment horizontal="center"/>
    </xf>
    <xf numFmtId="0" fontId="2" fillId="0" borderId="113" xfId="0" applyFont="1" applyBorder="1" applyAlignment="1" applyProtection="1">
      <alignment horizontal="center"/>
    </xf>
    <xf numFmtId="0" fontId="2" fillId="0" borderId="117" xfId="0" applyFont="1" applyFill="1" applyBorder="1" applyAlignment="1" applyProtection="1">
      <alignment horizontal="center"/>
    </xf>
    <xf numFmtId="0" fontId="2" fillId="0" borderId="118" xfId="0" applyFont="1" applyBorder="1" applyAlignment="1" applyProtection="1">
      <alignment horizontal="center"/>
    </xf>
    <xf numFmtId="0" fontId="2" fillId="0" borderId="118" xfId="0" applyFont="1" applyFill="1" applyBorder="1" applyAlignment="1" applyProtection="1">
      <alignment horizontal="center"/>
    </xf>
    <xf numFmtId="0" fontId="2" fillId="0" borderId="119" xfId="0" applyFont="1" applyBorder="1" applyAlignment="1" applyProtection="1">
      <alignment horizontal="center"/>
    </xf>
    <xf numFmtId="0" fontId="2" fillId="18" borderId="115" xfId="0" applyFont="1" applyFill="1" applyBorder="1" applyAlignment="1" applyProtection="1">
      <alignment vertical="center"/>
    </xf>
    <xf numFmtId="0" fontId="2" fillId="18" borderId="9" xfId="0" applyFont="1" applyFill="1" applyBorder="1" applyAlignment="1" applyProtection="1">
      <alignment horizontal="center" vertical="center"/>
      <protection locked="0"/>
    </xf>
    <xf numFmtId="0" fontId="2" fillId="18" borderId="9" xfId="0" applyFont="1" applyFill="1" applyBorder="1" applyAlignment="1" applyProtection="1">
      <alignment horizontal="center" vertical="center"/>
    </xf>
    <xf numFmtId="0" fontId="2" fillId="18" borderId="116" xfId="0" applyFont="1" applyFill="1" applyBorder="1" applyAlignment="1" applyProtection="1">
      <alignment horizontal="center" vertical="center"/>
    </xf>
    <xf numFmtId="0" fontId="2" fillId="0" borderId="109" xfId="0" applyFont="1" applyFill="1" applyBorder="1" applyAlignment="1" applyProtection="1">
      <alignment horizontal="center"/>
    </xf>
    <xf numFmtId="0" fontId="2" fillId="0" borderId="115" xfId="0" applyFont="1" applyFill="1" applyBorder="1" applyAlignment="1" applyProtection="1">
      <alignment vertical="center"/>
    </xf>
    <xf numFmtId="0" fontId="2" fillId="0" borderId="116" xfId="0" applyFont="1" applyFill="1" applyBorder="1" applyAlignment="1" applyProtection="1">
      <alignment horizontal="center" vertical="center"/>
    </xf>
    <xf numFmtId="0" fontId="2" fillId="0" borderId="112" xfId="0" applyFont="1" applyBorder="1" applyAlignment="1" applyProtection="1">
      <alignment horizontal="center"/>
    </xf>
    <xf numFmtId="0" fontId="2" fillId="0" borderId="117" xfId="0" applyFont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10" fillId="0" borderId="44" xfId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6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55" xfId="0" applyBorder="1" applyProtection="1"/>
    <xf numFmtId="0" fontId="14" fillId="0" borderId="0" xfId="0" applyFont="1" applyBorder="1" applyProtection="1"/>
    <xf numFmtId="0" fontId="13" fillId="0" borderId="0" xfId="1" applyFont="1" applyFill="1" applyBorder="1" applyProtection="1"/>
    <xf numFmtId="0" fontId="4" fillId="0" borderId="53" xfId="0" applyFont="1" applyBorder="1" applyAlignment="1" applyProtection="1">
      <alignment horizontal="center" vertical="center"/>
      <protection locked="0"/>
    </xf>
    <xf numFmtId="0" fontId="5" fillId="0" borderId="1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5" xfId="0" applyFont="1" applyFill="1" applyBorder="1" applyAlignment="1" applyProtection="1">
      <alignment horizontal="center" vertical="center"/>
    </xf>
    <xf numFmtId="0" fontId="2" fillId="0" borderId="126" xfId="0" applyFont="1" applyBorder="1" applyAlignment="1" applyProtection="1">
      <alignment horizontal="center" vertical="center"/>
      <protection locked="0"/>
    </xf>
    <xf numFmtId="0" fontId="2" fillId="0" borderId="127" xfId="0" applyFont="1" applyFill="1" applyBorder="1" applyAlignment="1" applyProtection="1">
      <alignment horizontal="center" vertical="center"/>
    </xf>
    <xf numFmtId="0" fontId="2" fillId="0" borderId="128" xfId="0" applyFont="1" applyFill="1" applyBorder="1" applyAlignment="1" applyProtection="1">
      <alignment horizontal="center" vertical="center"/>
    </xf>
    <xf numFmtId="0" fontId="5" fillId="0" borderId="128" xfId="0" applyFont="1" applyBorder="1" applyAlignment="1" applyProtection="1">
      <alignment horizontal="center" vertical="center"/>
    </xf>
    <xf numFmtId="0" fontId="5" fillId="0" borderId="125" xfId="0" applyFont="1" applyBorder="1" applyAlignment="1" applyProtection="1">
      <alignment horizontal="center" vertical="center"/>
    </xf>
    <xf numFmtId="0" fontId="5" fillId="0" borderId="12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4" fillId="0" borderId="5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4" fillId="0" borderId="7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4" fillId="0" borderId="32" xfId="0" quotePrefix="1" applyFont="1" applyBorder="1" applyAlignment="1" applyProtection="1">
      <alignment horizontal="center" vertical="center"/>
    </xf>
    <xf numFmtId="0" fontId="2" fillId="0" borderId="32" xfId="0" quotePrefix="1" applyFont="1" applyBorder="1" applyAlignment="1" applyProtection="1">
      <alignment horizontal="center" vertical="center"/>
    </xf>
    <xf numFmtId="0" fontId="5" fillId="0" borderId="32" xfId="0" quotePrefix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10" borderId="3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6" xfId="0" quotePrefix="1" applyFont="1" applyBorder="1" applyAlignment="1" applyProtection="1">
      <alignment horizontal="center" vertical="center"/>
    </xf>
    <xf numFmtId="0" fontId="5" fillId="0" borderId="12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7" borderId="42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" fillId="13" borderId="0" xfId="0" applyFont="1" applyFill="1" applyBorder="1" applyAlignment="1" applyProtection="1">
      <alignment horizontal="center" vertical="center" wrapText="1"/>
      <protection locked="0"/>
    </xf>
    <xf numFmtId="0" fontId="2" fillId="1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26" xfId="0" applyFont="1" applyFill="1" applyBorder="1" applyAlignment="1" applyProtection="1">
      <alignment horizontal="center" vertical="center"/>
      <protection locked="0"/>
    </xf>
    <xf numFmtId="0" fontId="12" fillId="8" borderId="27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1" fillId="13" borderId="25" xfId="0" applyFont="1" applyFill="1" applyBorder="1" applyAlignment="1" applyProtection="1">
      <alignment horizontal="center" vertical="center"/>
      <protection locked="0"/>
    </xf>
    <xf numFmtId="0" fontId="11" fillId="13" borderId="26" xfId="0" applyFont="1" applyFill="1" applyBorder="1" applyAlignment="1" applyProtection="1">
      <alignment horizontal="center" vertical="center"/>
      <protection locked="0"/>
    </xf>
    <xf numFmtId="0" fontId="11" fillId="13" borderId="27" xfId="0" applyFont="1" applyFill="1" applyBorder="1" applyAlignment="1" applyProtection="1">
      <alignment horizontal="center" vertical="center"/>
      <protection locked="0"/>
    </xf>
    <xf numFmtId="0" fontId="12" fillId="10" borderId="25" xfId="0" applyFont="1" applyFill="1" applyBorder="1" applyAlignment="1" applyProtection="1">
      <alignment horizontal="center" vertical="center"/>
      <protection locked="0"/>
    </xf>
    <xf numFmtId="0" fontId="12" fillId="10" borderId="26" xfId="0" applyFont="1" applyFill="1" applyBorder="1" applyAlignment="1" applyProtection="1">
      <alignment horizontal="center" vertical="center"/>
      <protection locked="0"/>
    </xf>
    <xf numFmtId="0" fontId="12" fillId="10" borderId="27" xfId="0" applyFont="1" applyFill="1" applyBorder="1" applyAlignment="1" applyProtection="1">
      <alignment horizontal="center" vertical="center"/>
      <protection locked="0"/>
    </xf>
    <xf numFmtId="0" fontId="12" fillId="11" borderId="25" xfId="0" applyFont="1" applyFill="1" applyBorder="1" applyAlignment="1" applyProtection="1">
      <alignment horizontal="center" vertical="center"/>
      <protection locked="0"/>
    </xf>
    <xf numFmtId="0" fontId="12" fillId="11" borderId="26" xfId="0" applyFont="1" applyFill="1" applyBorder="1" applyAlignment="1" applyProtection="1">
      <alignment horizontal="center" vertical="center"/>
      <protection locked="0"/>
    </xf>
    <xf numFmtId="0" fontId="12" fillId="11" borderId="27" xfId="0" applyFont="1" applyFill="1" applyBorder="1" applyAlignment="1" applyProtection="1">
      <alignment horizontal="center" vertical="center"/>
      <protection locked="0"/>
    </xf>
    <xf numFmtId="0" fontId="12" fillId="12" borderId="25" xfId="0" applyFont="1" applyFill="1" applyBorder="1" applyAlignment="1" applyProtection="1">
      <alignment horizontal="center" vertical="center"/>
      <protection locked="0"/>
    </xf>
    <xf numFmtId="0" fontId="12" fillId="12" borderId="26" xfId="0" applyFont="1" applyFill="1" applyBorder="1" applyAlignment="1" applyProtection="1">
      <alignment horizontal="center" vertical="center"/>
      <protection locked="0"/>
    </xf>
    <xf numFmtId="0" fontId="12" fillId="12" borderId="27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6" borderId="42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2" fillId="13" borderId="23" xfId="0" applyFont="1" applyFill="1" applyBorder="1" applyAlignment="1" applyProtection="1">
      <alignment horizontal="center" vertical="center" wrapText="1"/>
      <protection locked="0"/>
    </xf>
    <xf numFmtId="0" fontId="2" fillId="13" borderId="24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 applyProtection="1">
      <alignment horizontal="center" vertical="center"/>
      <protection locked="0"/>
    </xf>
    <xf numFmtId="0" fontId="2" fillId="0" borderId="12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 applyProtection="1">
      <alignment horizontal="center" vertical="center"/>
      <protection locked="0"/>
    </xf>
  </cellXfs>
  <cellStyles count="2">
    <cellStyle name="Neutre" xfId="1" builtinId="28"/>
    <cellStyle name="Normal" xfId="0" builtinId="0"/>
  </cellStyles>
  <dxfs count="23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ont>
        <condense val="0"/>
        <extend val="0"/>
        <color rgb="FF9C0006"/>
      </font>
      <fill>
        <patternFill>
          <bgColor rgb="FFE2FDC9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ont>
        <color auto="1"/>
      </font>
      <fill>
        <patternFill>
          <bgColor rgb="FFFFFF0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CC99"/>
      <color rgb="FFE2FDC9"/>
      <color rgb="FFFF33CC"/>
      <color rgb="FFFF9900"/>
      <color rgb="FFFF99FF"/>
      <color rgb="FFCC3300"/>
      <color rgb="FF99FF33"/>
      <color rgb="FF9EF8FC"/>
      <color rgb="FF00FF00"/>
      <color rgb="FF8EF94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99"/>
  </sheetPr>
  <dimension ref="A1:H27"/>
  <sheetViews>
    <sheetView zoomScale="90" zoomScaleNormal="90" workbookViewId="0">
      <selection activeCell="O12" sqref="O12"/>
    </sheetView>
  </sheetViews>
  <sheetFormatPr baseColWidth="10" defaultRowHeight="12.75"/>
  <cols>
    <col min="2" max="2" width="21.5703125" customWidth="1"/>
  </cols>
  <sheetData>
    <row r="1" spans="1:8" ht="18.75">
      <c r="A1" s="84"/>
      <c r="B1" s="84"/>
      <c r="C1" s="84"/>
      <c r="D1" s="84" t="s">
        <v>38</v>
      </c>
      <c r="E1" s="84"/>
      <c r="F1" s="84"/>
      <c r="G1" s="84"/>
      <c r="H1" s="84"/>
    </row>
    <row r="2" spans="1:8" ht="18.75">
      <c r="A2" s="84"/>
      <c r="B2" s="84"/>
      <c r="C2" s="84"/>
      <c r="D2" s="84"/>
      <c r="E2" s="84"/>
      <c r="F2" s="84"/>
      <c r="G2" s="84"/>
      <c r="H2" s="84"/>
    </row>
    <row r="3" spans="1:8" ht="18.75">
      <c r="A3" s="84" t="s">
        <v>50</v>
      </c>
      <c r="B3" s="84"/>
      <c r="C3" s="84" t="s">
        <v>84</v>
      </c>
      <c r="D3" s="84"/>
      <c r="E3" s="84"/>
      <c r="F3" s="84"/>
      <c r="G3" s="84"/>
      <c r="H3" s="84"/>
    </row>
    <row r="4" spans="1:8" ht="18.75">
      <c r="A4" s="84"/>
      <c r="B4" s="84"/>
      <c r="C4" s="84"/>
      <c r="D4" s="84"/>
      <c r="E4" s="84"/>
      <c r="F4" s="84"/>
      <c r="G4" s="84"/>
      <c r="H4" s="84"/>
    </row>
    <row r="5" spans="1:8" ht="18.75">
      <c r="C5" s="84" t="s">
        <v>51</v>
      </c>
      <c r="D5" s="84"/>
      <c r="E5" s="84"/>
      <c r="F5" s="84"/>
      <c r="G5" s="84"/>
      <c r="H5" s="84"/>
    </row>
    <row r="6" spans="1:8" ht="18.75">
      <c r="A6" s="84"/>
      <c r="B6" s="84"/>
      <c r="C6" s="84" t="s">
        <v>39</v>
      </c>
      <c r="D6" s="84"/>
      <c r="E6" s="84"/>
      <c r="F6" s="84"/>
      <c r="G6" s="84"/>
      <c r="H6" s="84"/>
    </row>
    <row r="7" spans="1:8" ht="18.75">
      <c r="A7" s="84"/>
      <c r="B7" s="84"/>
      <c r="C7" s="84" t="s">
        <v>40</v>
      </c>
      <c r="D7" s="84"/>
      <c r="E7" s="84"/>
      <c r="F7" s="84"/>
      <c r="G7" s="84"/>
      <c r="H7" s="84"/>
    </row>
    <row r="8" spans="1:8" ht="18.75">
      <c r="A8" s="84"/>
      <c r="B8" s="84"/>
      <c r="C8" s="84" t="s">
        <v>45</v>
      </c>
      <c r="D8" s="84"/>
      <c r="E8" s="84"/>
      <c r="F8" s="84"/>
      <c r="G8" s="84"/>
      <c r="H8" s="84"/>
    </row>
    <row r="9" spans="1:8" ht="18.75">
      <c r="A9" s="84"/>
      <c r="B9" s="84"/>
      <c r="C9" s="84" t="s">
        <v>43</v>
      </c>
      <c r="D9" s="84"/>
      <c r="E9" s="84"/>
      <c r="F9" s="84"/>
      <c r="G9" s="84"/>
      <c r="H9" s="84"/>
    </row>
    <row r="10" spans="1:8" ht="18.75">
      <c r="A10" s="84"/>
      <c r="B10" s="84"/>
      <c r="C10" s="84" t="s">
        <v>46</v>
      </c>
      <c r="D10" s="84"/>
      <c r="E10" s="84"/>
      <c r="F10" s="84"/>
      <c r="G10" s="84"/>
      <c r="H10" s="84"/>
    </row>
    <row r="11" spans="1:8" ht="18.75">
      <c r="A11" s="84"/>
      <c r="B11" s="84"/>
      <c r="C11" s="84" t="s">
        <v>43</v>
      </c>
      <c r="D11" s="84"/>
      <c r="E11" s="84"/>
      <c r="F11" s="84"/>
      <c r="G11" s="84"/>
      <c r="H11" s="84"/>
    </row>
    <row r="12" spans="1:8" ht="18.75">
      <c r="A12" s="84"/>
      <c r="B12" s="84"/>
      <c r="C12" s="84" t="s">
        <v>47</v>
      </c>
      <c r="D12" s="84"/>
      <c r="E12" s="84"/>
      <c r="F12" s="84"/>
      <c r="G12" s="84"/>
      <c r="H12" s="84"/>
    </row>
    <row r="13" spans="1:8" ht="18.75">
      <c r="A13" s="84"/>
      <c r="B13" s="84"/>
      <c r="C13" s="84" t="s">
        <v>43</v>
      </c>
      <c r="D13" s="84"/>
      <c r="E13" s="84"/>
      <c r="F13" s="84"/>
      <c r="G13" s="84"/>
      <c r="H13" s="84"/>
    </row>
    <row r="14" spans="1:8" ht="18.75">
      <c r="A14" s="84"/>
      <c r="B14" s="84"/>
      <c r="C14" s="84" t="s">
        <v>55</v>
      </c>
      <c r="D14" s="84"/>
      <c r="E14" s="84"/>
      <c r="F14" s="84"/>
      <c r="G14" s="84"/>
      <c r="H14" s="84"/>
    </row>
    <row r="15" spans="1:8" ht="18.75">
      <c r="A15" s="84"/>
      <c r="B15" s="84"/>
      <c r="C15" s="84" t="s">
        <v>43</v>
      </c>
      <c r="D15" s="84"/>
      <c r="E15" s="84"/>
      <c r="F15" s="84"/>
      <c r="G15" s="84"/>
      <c r="H15" s="84"/>
    </row>
    <row r="16" spans="1:8" ht="18.75">
      <c r="A16" s="84"/>
      <c r="B16" s="84"/>
      <c r="C16" s="84" t="s">
        <v>56</v>
      </c>
      <c r="D16" s="84"/>
      <c r="E16" s="84"/>
      <c r="F16" s="84"/>
      <c r="G16" s="84"/>
      <c r="H16" s="84"/>
    </row>
    <row r="17" spans="1:8" ht="18.75">
      <c r="A17" s="84"/>
      <c r="B17" s="84"/>
      <c r="C17" s="84" t="s">
        <v>43</v>
      </c>
      <c r="D17" s="84"/>
      <c r="E17" s="84"/>
      <c r="F17" s="84"/>
      <c r="G17" s="84"/>
      <c r="H17" s="84"/>
    </row>
    <row r="18" spans="1:8" ht="18.75">
      <c r="A18" s="84"/>
      <c r="B18" s="84"/>
      <c r="C18" s="84" t="s">
        <v>57</v>
      </c>
      <c r="D18" s="84"/>
      <c r="E18" s="84"/>
      <c r="F18" s="84"/>
      <c r="G18" s="84"/>
      <c r="H18" s="84"/>
    </row>
    <row r="19" spans="1:8" ht="18.75">
      <c r="A19" s="84"/>
      <c r="B19" s="84"/>
      <c r="C19" s="84"/>
      <c r="D19" s="84"/>
      <c r="E19" s="84"/>
      <c r="F19" s="84"/>
      <c r="G19" s="84"/>
      <c r="H19" s="84"/>
    </row>
    <row r="20" spans="1:8" ht="18.75">
      <c r="A20" s="84"/>
      <c r="B20" s="84"/>
      <c r="C20" s="84"/>
      <c r="D20" s="84"/>
      <c r="E20" s="84"/>
      <c r="F20" s="84"/>
      <c r="G20" s="84"/>
      <c r="H20" s="84"/>
    </row>
    <row r="21" spans="1:8" ht="18.75">
      <c r="A21" s="84" t="s">
        <v>41</v>
      </c>
      <c r="B21" s="84"/>
      <c r="C21" s="84" t="s">
        <v>44</v>
      </c>
      <c r="D21" s="84"/>
      <c r="E21" s="84"/>
      <c r="F21" s="84"/>
      <c r="G21" s="84"/>
      <c r="H21" s="84"/>
    </row>
    <row r="22" spans="1:8" ht="18.75">
      <c r="A22" s="84"/>
      <c r="B22" s="84"/>
      <c r="C22" s="84" t="s">
        <v>52</v>
      </c>
      <c r="D22" s="84"/>
      <c r="E22" s="84"/>
      <c r="F22" s="84"/>
      <c r="G22" s="84"/>
      <c r="H22" s="84"/>
    </row>
    <row r="23" spans="1:8" ht="18.75">
      <c r="A23" s="84"/>
      <c r="B23" s="84"/>
      <c r="C23" s="84"/>
      <c r="D23" s="84"/>
      <c r="E23" s="84"/>
      <c r="F23" s="84"/>
      <c r="G23" s="84"/>
      <c r="H23" s="84"/>
    </row>
    <row r="24" spans="1:8" ht="18.75">
      <c r="A24" s="84" t="s">
        <v>42</v>
      </c>
      <c r="B24" s="84"/>
      <c r="C24" s="84" t="s">
        <v>83</v>
      </c>
      <c r="D24" s="84"/>
      <c r="E24" s="84"/>
      <c r="F24" s="84"/>
      <c r="G24" s="84"/>
      <c r="H24" s="84"/>
    </row>
    <row r="25" spans="1:8" ht="18.75">
      <c r="A25" s="84"/>
      <c r="B25" s="84"/>
      <c r="C25" s="84"/>
      <c r="D25" s="84"/>
      <c r="E25" s="84"/>
      <c r="F25" s="84"/>
      <c r="G25" s="84"/>
      <c r="H25" s="84"/>
    </row>
    <row r="26" spans="1:8" ht="18.75">
      <c r="A26" s="84"/>
      <c r="B26" s="84"/>
      <c r="C26" s="84"/>
      <c r="D26" s="84"/>
      <c r="E26" s="84"/>
      <c r="F26" s="84"/>
      <c r="G26" s="84"/>
      <c r="H26" s="84"/>
    </row>
    <row r="27" spans="1:8" ht="18.75">
      <c r="A27" s="84"/>
      <c r="B27" s="84"/>
      <c r="C27" s="84"/>
      <c r="D27" s="84"/>
      <c r="E27" s="84"/>
      <c r="F27" s="84"/>
      <c r="G27" s="84"/>
      <c r="H27" s="8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AF69"/>
  <sheetViews>
    <sheetView tabSelected="1" zoomScale="70" zoomScaleNormal="70" workbookViewId="0">
      <selection activeCell="U7" sqref="U7"/>
    </sheetView>
  </sheetViews>
  <sheetFormatPr baseColWidth="10" defaultRowHeight="15.75"/>
  <cols>
    <col min="1" max="1" width="5.5703125" style="36" customWidth="1"/>
    <col min="2" max="2" width="21" style="36" hidden="1" customWidth="1"/>
    <col min="3" max="3" width="21.140625" style="36" customWidth="1"/>
    <col min="4" max="4" width="20.42578125" style="36" hidden="1" customWidth="1"/>
    <col min="5" max="5" width="21.5703125" style="36" customWidth="1"/>
    <col min="6" max="6" width="20.85546875" style="36" hidden="1" customWidth="1"/>
    <col min="7" max="7" width="20.85546875" style="23" customWidth="1"/>
    <col min="8" max="8" width="4" style="36" customWidth="1"/>
    <col min="9" max="9" width="6.5703125" style="19" customWidth="1"/>
    <col min="10" max="10" width="19.42578125" style="36" customWidth="1"/>
    <col min="11" max="11" width="19.5703125" style="36" customWidth="1"/>
    <col min="12" max="12" width="19.28515625" style="36" customWidth="1"/>
    <col min="13" max="13" width="3.140625" style="34" customWidth="1"/>
    <col min="14" max="14" width="9.5703125" style="36" customWidth="1"/>
    <col min="15" max="15" width="20.7109375" style="23" customWidth="1"/>
    <col min="16" max="16" width="21" style="23" customWidth="1"/>
    <col min="17" max="18" width="20.85546875" style="23" customWidth="1"/>
    <col min="19" max="19" width="21" style="36" customWidth="1"/>
    <col min="20" max="21" width="20.7109375" style="36" customWidth="1"/>
    <col min="22" max="32" width="20.7109375" style="23" customWidth="1"/>
    <col min="33" max="36" width="12.7109375" style="23" customWidth="1"/>
    <col min="37" max="16384" width="11.42578125" style="23"/>
  </cols>
  <sheetData>
    <row r="1" spans="1:32">
      <c r="B1" s="56"/>
      <c r="C1" s="56"/>
      <c r="D1" s="56"/>
      <c r="E1" s="56"/>
      <c r="F1" s="56"/>
    </row>
    <row r="2" spans="1:32">
      <c r="B2" s="56"/>
      <c r="C2" s="56"/>
      <c r="D2" s="56"/>
      <c r="E2" s="56"/>
      <c r="F2" s="56"/>
      <c r="J2" s="315" t="s">
        <v>31</v>
      </c>
      <c r="K2" s="315"/>
    </row>
    <row r="3" spans="1:32" ht="16.5" thickBot="1">
      <c r="B3" s="56"/>
      <c r="C3" s="56"/>
      <c r="D3" s="56"/>
      <c r="E3" s="56"/>
      <c r="F3" s="56"/>
      <c r="H3" s="19"/>
      <c r="I3" s="23"/>
      <c r="J3" s="23"/>
      <c r="K3" s="23"/>
      <c r="L3" s="23"/>
      <c r="O3" s="297" t="s">
        <v>32</v>
      </c>
      <c r="P3" s="297"/>
      <c r="Q3" s="297"/>
      <c r="R3" s="297"/>
      <c r="S3" s="298"/>
      <c r="T3" s="298"/>
    </row>
    <row r="4" spans="1:32" s="35" customFormat="1" ht="20.100000000000001" customHeight="1" thickBot="1">
      <c r="A4" s="36"/>
      <c r="B4" s="56"/>
      <c r="C4" s="55" t="s">
        <v>14</v>
      </c>
      <c r="D4" s="316" t="s">
        <v>18</v>
      </c>
      <c r="E4" s="317"/>
      <c r="F4" s="317"/>
      <c r="G4" s="318"/>
      <c r="H4" s="19"/>
      <c r="I4" s="36"/>
      <c r="J4" s="23"/>
      <c r="K4" s="23"/>
      <c r="L4" s="23"/>
      <c r="M4" s="34"/>
      <c r="N4" s="23"/>
    </row>
    <row r="5" spans="1:32" ht="20.100000000000001" customHeight="1" thickTop="1" thickBot="1">
      <c r="H5" s="19"/>
      <c r="I5" s="314" t="s">
        <v>17</v>
      </c>
      <c r="J5" s="314"/>
      <c r="K5" s="314"/>
      <c r="L5" s="314"/>
      <c r="M5" s="314"/>
      <c r="N5" s="23"/>
      <c r="O5" s="319" t="s">
        <v>16</v>
      </c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1"/>
    </row>
    <row r="6" spans="1:32" ht="20.100000000000001" customHeight="1" thickTop="1" thickBot="1">
      <c r="A6" s="35"/>
      <c r="B6" s="57" t="s">
        <v>11</v>
      </c>
      <c r="C6" s="54" t="s">
        <v>13</v>
      </c>
      <c r="D6" s="57"/>
      <c r="E6" s="125" t="s">
        <v>12</v>
      </c>
      <c r="F6" s="308"/>
      <c r="G6" s="309" t="s">
        <v>21</v>
      </c>
      <c r="H6" s="19"/>
      <c r="I6" s="23"/>
      <c r="J6" s="124" t="s">
        <v>13</v>
      </c>
      <c r="K6" s="125" t="s">
        <v>12</v>
      </c>
      <c r="L6" s="126" t="s">
        <v>21</v>
      </c>
      <c r="N6" s="66" t="s">
        <v>36</v>
      </c>
      <c r="O6" s="328" t="s">
        <v>1</v>
      </c>
      <c r="P6" s="328"/>
      <c r="Q6" s="329"/>
      <c r="R6" s="330" t="s">
        <v>2</v>
      </c>
      <c r="S6" s="331"/>
      <c r="T6" s="332"/>
      <c r="U6" s="333" t="s">
        <v>3</v>
      </c>
      <c r="V6" s="334"/>
      <c r="W6" s="335"/>
      <c r="X6" s="336" t="s">
        <v>4</v>
      </c>
      <c r="Y6" s="337"/>
      <c r="Z6" s="338"/>
      <c r="AA6" s="322" t="s">
        <v>5</v>
      </c>
      <c r="AB6" s="323"/>
      <c r="AC6" s="324"/>
      <c r="AD6" s="325" t="s">
        <v>6</v>
      </c>
      <c r="AE6" s="326"/>
      <c r="AF6" s="327"/>
    </row>
    <row r="7" spans="1:32" ht="20.100000000000001" customHeight="1">
      <c r="A7" s="58">
        <v>1</v>
      </c>
      <c r="B7" s="33">
        <f ca="1">IF(C7="","",RAND())</f>
        <v>1.8868497039670196E-2</v>
      </c>
      <c r="C7" s="293" t="s">
        <v>60</v>
      </c>
      <c r="D7" s="33">
        <f ca="1">IF(E7="","",RAND())</f>
        <v>0.65274919555241917</v>
      </c>
      <c r="E7" s="310" t="s">
        <v>61</v>
      </c>
      <c r="F7" s="33">
        <f ca="1">IF(G7="","",RAND())</f>
        <v>0.17997060096835904</v>
      </c>
      <c r="G7" s="311" t="s">
        <v>62</v>
      </c>
      <c r="H7" s="19"/>
      <c r="I7" s="36">
        <v>1</v>
      </c>
      <c r="J7" s="301" t="str">
        <f ca="1">IF(ISERROR(INDEX($B$7:$C$66,RANK($B7,$B$7:$B$66),2))," ",INDEX($B$7:$C$66,RANK($B7,$B$7:$B$66),2))</f>
        <v>A8</v>
      </c>
      <c r="K7" s="102" t="str">
        <f ca="1">IF(ISERROR(INDEX($D$7:$E$66,RANK($D7,$D$7:$D$66),2))," ",INDEX($D$7:$E$66,RANK($D7,$D$7:$E$66),2))</f>
        <v>B8</v>
      </c>
      <c r="L7" s="302" t="str">
        <f ca="1">IF(ISERROR(INDEX($F$7:$G$66,RANK($F7,$F$7:$F$66),2))," ",INDEX($F$7:$G$66,RANK($F7,$F$7:$G$66),2))</f>
        <v>C5</v>
      </c>
      <c r="N7" s="64">
        <v>1</v>
      </c>
      <c r="O7" s="301" t="s">
        <v>77</v>
      </c>
      <c r="P7" s="102" t="s">
        <v>70</v>
      </c>
      <c r="Q7" s="302" t="s">
        <v>81</v>
      </c>
      <c r="R7" s="67" t="s">
        <v>66</v>
      </c>
      <c r="S7" s="37" t="s">
        <v>73</v>
      </c>
      <c r="T7" s="71" t="s">
        <v>62</v>
      </c>
      <c r="U7" s="67"/>
      <c r="V7" s="37"/>
      <c r="W7" s="75"/>
      <c r="X7" s="67"/>
      <c r="Y7" s="37"/>
      <c r="Z7" s="75"/>
      <c r="AA7" s="121"/>
      <c r="AB7" s="37"/>
      <c r="AC7" s="122"/>
      <c r="AD7" s="67"/>
      <c r="AE7" s="37"/>
      <c r="AF7" s="71"/>
    </row>
    <row r="8" spans="1:32" ht="20.100000000000001" customHeight="1" thickBot="1">
      <c r="A8" s="3">
        <v>2</v>
      </c>
      <c r="B8" s="33">
        <f t="shared" ref="B8:B66" ca="1" si="0">IF(C8="","",RAND())</f>
        <v>0.95236131775663302</v>
      </c>
      <c r="C8" s="295" t="s">
        <v>63</v>
      </c>
      <c r="D8" s="33">
        <f t="shared" ref="D8:D66" ca="1" si="1">IF(E8="","",RAND())</f>
        <v>0.97023841623998419</v>
      </c>
      <c r="E8" s="2" t="s">
        <v>64</v>
      </c>
      <c r="F8" s="33">
        <f t="shared" ref="F8:F66" ca="1" si="2">IF(G8="","",RAND())</f>
        <v>0.80673666770344088</v>
      </c>
      <c r="G8" s="45" t="s">
        <v>65</v>
      </c>
      <c r="H8" s="19"/>
      <c r="I8" s="36">
        <v>2</v>
      </c>
      <c r="J8" s="312" t="str">
        <f ca="1">IF(ISERROR(INDEX($B$7:$C$66,RANK($B8,$B$7:$B$66),2))," ",INDEX($B$7:$C$66,RANK($B8,$B$7:$B$66),2))</f>
        <v>A1</v>
      </c>
      <c r="K8" s="104" t="str">
        <f ca="1">IF(ISERROR(INDEX($D$7:$E$66,RANK($D8,$D$7:$D$66),2))," ",INDEX($D$7:$E$66,RANK($D8,$D$7:$E$66),2))</f>
        <v>B1</v>
      </c>
      <c r="L8" s="313" t="str">
        <f ca="1">IF(ISERROR(INDEX($F$7:$G$66,RANK($F8,$F$7:$F$66),2))," ",INDEX($F$7:$G$66,RANK($F8,$F$7:$G$66),2))</f>
        <v>C1</v>
      </c>
      <c r="N8" s="65">
        <v>2</v>
      </c>
      <c r="O8" s="303" t="s">
        <v>78</v>
      </c>
      <c r="P8" s="112" t="s">
        <v>80</v>
      </c>
      <c r="Q8" s="304" t="s">
        <v>62</v>
      </c>
      <c r="R8" s="68" t="s">
        <v>69</v>
      </c>
      <c r="S8" s="38" t="s">
        <v>79</v>
      </c>
      <c r="T8" s="72" t="s">
        <v>76</v>
      </c>
      <c r="U8" s="70"/>
      <c r="V8" s="39"/>
      <c r="W8" s="81"/>
      <c r="X8" s="70"/>
      <c r="Y8" s="39"/>
      <c r="Z8" s="81"/>
      <c r="AA8" s="276"/>
      <c r="AB8" s="38"/>
      <c r="AC8" s="277"/>
      <c r="AD8" s="68"/>
      <c r="AE8" s="38"/>
      <c r="AF8" s="72"/>
    </row>
    <row r="9" spans="1:32" ht="20.100000000000001" customHeight="1">
      <c r="A9" s="3">
        <v>3</v>
      </c>
      <c r="B9" s="33">
        <f t="shared" ca="1" si="0"/>
        <v>0.18558059791308401</v>
      </c>
      <c r="C9" s="295" t="s">
        <v>66</v>
      </c>
      <c r="D9" s="33">
        <f t="shared" ca="1" si="1"/>
        <v>0.89370735072131025</v>
      </c>
      <c r="E9" s="2" t="s">
        <v>70</v>
      </c>
      <c r="F9" s="33">
        <f t="shared" ca="1" si="2"/>
        <v>1.0625576471514186E-2</v>
      </c>
      <c r="G9" s="45" t="s">
        <v>74</v>
      </c>
      <c r="H9" s="19"/>
      <c r="I9" s="36">
        <v>3</v>
      </c>
      <c r="J9" s="312" t="str">
        <f t="shared" ref="J9:J66" ca="1" si="3">IF(ISERROR(INDEX($B$7:$C$66,RANK($B9,$B$7:$B$66),2))," ",INDEX($B$7:$C$66,RANK($B9,$B$7:$B$66),2))</f>
        <v>A5</v>
      </c>
      <c r="K9" s="104" t="str">
        <f t="shared" ref="K9:K66" ca="1" si="4">IF(ISERROR(INDEX($D$7:$E$66,RANK($D9,$D$7:$D$66),2))," ",INDEX($D$7:$E$66,RANK($D9,$D$7:$E$66),2))</f>
        <v>B2</v>
      </c>
      <c r="L9" s="313" t="str">
        <f t="shared" ref="L9:L66" ca="1" si="5">IF(ISERROR(INDEX($F$7:$G$66,RANK($F9,$F$7:$F$66),2))," ",INDEX($F$7:$G$66,RANK($F9,$F$7:$G$66),2))</f>
        <v>C6</v>
      </c>
      <c r="N9" s="64">
        <v>3</v>
      </c>
      <c r="O9" s="299" t="s">
        <v>63</v>
      </c>
      <c r="P9" s="103" t="s">
        <v>64</v>
      </c>
      <c r="Q9" s="300" t="s">
        <v>75</v>
      </c>
      <c r="R9" s="69" t="s">
        <v>68</v>
      </c>
      <c r="S9" s="40" t="s">
        <v>61</v>
      </c>
      <c r="T9" s="73" t="s">
        <v>74</v>
      </c>
      <c r="U9" s="67"/>
      <c r="V9" s="41"/>
      <c r="W9" s="75"/>
      <c r="X9" s="67"/>
      <c r="Y9" s="41"/>
      <c r="Z9" s="75"/>
      <c r="AA9" s="69"/>
      <c r="AB9" s="40"/>
      <c r="AC9" s="73"/>
      <c r="AD9" s="69"/>
      <c r="AE9" s="40"/>
      <c r="AF9" s="73"/>
    </row>
    <row r="10" spans="1:32" ht="20.100000000000001" customHeight="1" thickBot="1">
      <c r="A10" s="3">
        <v>4</v>
      </c>
      <c r="B10" s="33">
        <f t="shared" ca="1" si="0"/>
        <v>6.4769163097839311E-2</v>
      </c>
      <c r="C10" s="295" t="s">
        <v>67</v>
      </c>
      <c r="D10" s="33">
        <f t="shared" ca="1" si="1"/>
        <v>0.70280296128874964</v>
      </c>
      <c r="E10" s="2" t="s">
        <v>71</v>
      </c>
      <c r="F10" s="33">
        <f t="shared" ca="1" si="2"/>
        <v>0.32415658895822497</v>
      </c>
      <c r="G10" s="45" t="s">
        <v>75</v>
      </c>
      <c r="H10" s="19"/>
      <c r="I10" s="36">
        <v>4</v>
      </c>
      <c r="J10" s="312" t="str">
        <f t="shared" ca="1" si="3"/>
        <v>A7</v>
      </c>
      <c r="K10" s="104" t="str">
        <f t="shared" ca="1" si="4"/>
        <v>B7</v>
      </c>
      <c r="L10" s="313" t="str">
        <f t="shared" ca="1" si="5"/>
        <v>C3</v>
      </c>
      <c r="N10" s="65">
        <v>4</v>
      </c>
      <c r="O10" s="305" t="s">
        <v>66</v>
      </c>
      <c r="P10" s="306" t="s">
        <v>71</v>
      </c>
      <c r="Q10" s="307" t="s">
        <v>76</v>
      </c>
      <c r="R10" s="70" t="s">
        <v>78</v>
      </c>
      <c r="S10" s="42" t="s">
        <v>80</v>
      </c>
      <c r="T10" s="74" t="s">
        <v>75</v>
      </c>
      <c r="U10" s="68"/>
      <c r="V10" s="43"/>
      <c r="W10" s="76"/>
      <c r="X10" s="68"/>
      <c r="Y10" s="43"/>
      <c r="Z10" s="76"/>
      <c r="AA10" s="68"/>
      <c r="AB10" s="38"/>
      <c r="AC10" s="72"/>
      <c r="AD10" s="68"/>
      <c r="AE10" s="38"/>
      <c r="AF10" s="72"/>
    </row>
    <row r="11" spans="1:32" ht="20.100000000000001" customHeight="1">
      <c r="A11" s="3">
        <v>5</v>
      </c>
      <c r="B11" s="33">
        <f t="shared" ca="1" si="0"/>
        <v>0.39240739848452932</v>
      </c>
      <c r="C11" s="295" t="s">
        <v>68</v>
      </c>
      <c r="D11" s="33">
        <f t="shared" ca="1" si="1"/>
        <v>0.864146732699695</v>
      </c>
      <c r="E11" s="2" t="s">
        <v>72</v>
      </c>
      <c r="F11" s="33">
        <f t="shared" ca="1" si="2"/>
        <v>0.64050137341932079</v>
      </c>
      <c r="G11" s="45" t="s">
        <v>76</v>
      </c>
      <c r="H11" s="19"/>
      <c r="I11" s="36">
        <v>5</v>
      </c>
      <c r="J11" s="312" t="str">
        <f t="shared" ca="1" si="3"/>
        <v>A4</v>
      </c>
      <c r="K11" s="104" t="str">
        <f t="shared" ca="1" si="4"/>
        <v>B4</v>
      </c>
      <c r="L11" s="313" t="str">
        <f t="shared" ca="1" si="5"/>
        <v>C2</v>
      </c>
      <c r="N11" s="64">
        <v>5</v>
      </c>
      <c r="O11" s="301" t="s">
        <v>60</v>
      </c>
      <c r="P11" s="102" t="s">
        <v>79</v>
      </c>
      <c r="Q11" s="302" t="s">
        <v>74</v>
      </c>
      <c r="R11" s="67" t="s">
        <v>60</v>
      </c>
      <c r="S11" s="37" t="s">
        <v>64</v>
      </c>
      <c r="T11" s="71" t="s">
        <v>65</v>
      </c>
      <c r="U11" s="69"/>
      <c r="V11" s="6"/>
      <c r="W11" s="82"/>
      <c r="X11" s="69"/>
      <c r="Y11" s="6"/>
      <c r="Z11" s="82"/>
      <c r="AA11" s="69"/>
      <c r="AB11" s="40"/>
      <c r="AC11" s="73"/>
      <c r="AD11" s="69"/>
      <c r="AE11" s="40"/>
      <c r="AF11" s="73"/>
    </row>
    <row r="12" spans="1:32" ht="20.100000000000001" customHeight="1" thickBot="1">
      <c r="A12" s="3">
        <v>6</v>
      </c>
      <c r="B12" s="33">
        <f t="shared" ca="1" si="0"/>
        <v>0.77711507704653737</v>
      </c>
      <c r="C12" s="294" t="s">
        <v>69</v>
      </c>
      <c r="D12" s="33">
        <f t="shared" ca="1" si="1"/>
        <v>0.71395869350107044</v>
      </c>
      <c r="E12" s="296" t="s">
        <v>73</v>
      </c>
      <c r="F12" s="33">
        <f t="shared" ca="1" si="2"/>
        <v>0.18258346023535177</v>
      </c>
      <c r="G12" s="45" t="s">
        <v>81</v>
      </c>
      <c r="H12" s="19"/>
      <c r="I12" s="36">
        <v>6</v>
      </c>
      <c r="J12" s="312" t="str">
        <f t="shared" ca="1" si="3"/>
        <v>A2</v>
      </c>
      <c r="K12" s="104" t="str">
        <f t="shared" ca="1" si="4"/>
        <v>B6</v>
      </c>
      <c r="L12" s="313" t="str">
        <f t="shared" ca="1" si="5"/>
        <v>C4</v>
      </c>
      <c r="N12" s="65">
        <v>6</v>
      </c>
      <c r="O12" s="303" t="s">
        <v>68</v>
      </c>
      <c r="P12" s="112" t="s">
        <v>61</v>
      </c>
      <c r="Q12" s="304" t="s">
        <v>65</v>
      </c>
      <c r="R12" s="68" t="s">
        <v>63</v>
      </c>
      <c r="S12" s="38" t="s">
        <v>71</v>
      </c>
      <c r="T12" s="72" t="s">
        <v>81</v>
      </c>
      <c r="U12" s="70"/>
      <c r="V12" s="42"/>
      <c r="W12" s="81"/>
      <c r="X12" s="70"/>
      <c r="Y12" s="42"/>
      <c r="Z12" s="81"/>
      <c r="AA12" s="68"/>
      <c r="AB12" s="38"/>
      <c r="AC12" s="72"/>
      <c r="AD12" s="68"/>
      <c r="AE12" s="38"/>
      <c r="AF12" s="72"/>
    </row>
    <row r="13" spans="1:32" ht="20.100000000000001" customHeight="1">
      <c r="A13" s="3">
        <v>7</v>
      </c>
      <c r="B13" s="33">
        <f t="shared" ca="1" si="0"/>
        <v>0.68216538149550421</v>
      </c>
      <c r="C13" s="295" t="s">
        <v>77</v>
      </c>
      <c r="D13" s="33">
        <f t="shared" ca="1" si="1"/>
        <v>0.85275020306240057</v>
      </c>
      <c r="E13" s="2" t="s">
        <v>79</v>
      </c>
      <c r="F13" s="33" t="str">
        <f t="shared" ca="1" si="2"/>
        <v/>
      </c>
      <c r="G13" s="45"/>
      <c r="H13" s="19"/>
      <c r="I13" s="36">
        <v>7</v>
      </c>
      <c r="J13" s="312" t="str">
        <f t="shared" ca="1" si="3"/>
        <v>A3</v>
      </c>
      <c r="K13" s="104" t="str">
        <f t="shared" ca="1" si="4"/>
        <v>B5</v>
      </c>
      <c r="L13" s="313" t="str">
        <f t="shared" ca="1" si="5"/>
        <v xml:space="preserve"> </v>
      </c>
      <c r="N13" s="64">
        <v>7</v>
      </c>
      <c r="O13" s="69" t="s">
        <v>67</v>
      </c>
      <c r="P13" s="40" t="s">
        <v>73</v>
      </c>
      <c r="Q13" s="95" t="s">
        <v>82</v>
      </c>
      <c r="R13" s="69" t="s">
        <v>77</v>
      </c>
      <c r="S13" s="40" t="s">
        <v>70</v>
      </c>
      <c r="T13" s="95" t="s">
        <v>82</v>
      </c>
      <c r="U13" s="67"/>
      <c r="V13" s="37"/>
      <c r="W13" s="75"/>
      <c r="X13" s="67"/>
      <c r="Y13" s="37"/>
      <c r="Z13" s="75"/>
      <c r="AA13" s="67"/>
      <c r="AB13" s="37"/>
      <c r="AC13" s="71"/>
      <c r="AD13" s="67"/>
      <c r="AE13" s="37"/>
      <c r="AF13" s="71"/>
    </row>
    <row r="14" spans="1:32" ht="20.100000000000001" customHeight="1" thickBot="1">
      <c r="A14" s="3">
        <v>8</v>
      </c>
      <c r="B14" s="33">
        <f t="shared" ca="1" si="0"/>
        <v>0.14063586831939112</v>
      </c>
      <c r="C14" s="294" t="s">
        <v>78</v>
      </c>
      <c r="D14" s="33">
        <f t="shared" ca="1" si="1"/>
        <v>0.88423650109657448</v>
      </c>
      <c r="E14" s="296" t="s">
        <v>80</v>
      </c>
      <c r="F14" s="33" t="str">
        <f t="shared" ca="1" si="2"/>
        <v/>
      </c>
      <c r="G14" s="45"/>
      <c r="H14" s="19"/>
      <c r="I14" s="36">
        <v>8</v>
      </c>
      <c r="J14" s="312" t="str">
        <f t="shared" ca="1" si="3"/>
        <v>A6</v>
      </c>
      <c r="K14" s="104" t="str">
        <f t="shared" ca="1" si="4"/>
        <v>B3</v>
      </c>
      <c r="L14" s="313" t="str">
        <f t="shared" ca="1" si="5"/>
        <v xml:space="preserve"> </v>
      </c>
      <c r="N14" s="65">
        <v>8</v>
      </c>
      <c r="O14" s="70" t="s">
        <v>69</v>
      </c>
      <c r="P14" s="42" t="s">
        <v>72</v>
      </c>
      <c r="Q14" s="74" t="s">
        <v>82</v>
      </c>
      <c r="R14" s="70" t="s">
        <v>67</v>
      </c>
      <c r="S14" s="42" t="s">
        <v>72</v>
      </c>
      <c r="T14" s="74" t="s">
        <v>82</v>
      </c>
      <c r="U14" s="68"/>
      <c r="V14" s="38"/>
      <c r="W14" s="76"/>
      <c r="X14" s="68"/>
      <c r="Y14" s="38"/>
      <c r="Z14" s="76"/>
      <c r="AA14" s="77"/>
      <c r="AB14" s="44"/>
      <c r="AC14" s="83"/>
      <c r="AD14" s="77"/>
      <c r="AE14" s="44"/>
      <c r="AF14" s="83"/>
    </row>
    <row r="15" spans="1:32" ht="20.100000000000001" customHeight="1">
      <c r="A15" s="3">
        <v>9</v>
      </c>
      <c r="B15" s="33" t="str">
        <f t="shared" ca="1" si="0"/>
        <v/>
      </c>
      <c r="C15" s="8"/>
      <c r="D15" s="33" t="str">
        <f t="shared" ca="1" si="1"/>
        <v/>
      </c>
      <c r="E15" s="2"/>
      <c r="F15" s="33" t="str">
        <f t="shared" ca="1" si="2"/>
        <v/>
      </c>
      <c r="G15" s="252"/>
      <c r="H15" s="19"/>
      <c r="I15" s="36">
        <v>9</v>
      </c>
      <c r="J15" s="312" t="str">
        <f t="shared" ca="1" si="3"/>
        <v xml:space="preserve"> </v>
      </c>
      <c r="K15" s="104" t="str">
        <f t="shared" ca="1" si="4"/>
        <v xml:space="preserve"> </v>
      </c>
      <c r="L15" s="313" t="str">
        <f t="shared" ca="1" si="5"/>
        <v xml:space="preserve"> </v>
      </c>
      <c r="N15" s="64">
        <v>9</v>
      </c>
      <c r="O15" s="67"/>
      <c r="P15" s="37"/>
      <c r="Q15" s="241"/>
      <c r="R15" s="242"/>
      <c r="S15" s="41"/>
      <c r="T15" s="241"/>
      <c r="U15" s="243"/>
      <c r="V15" s="6"/>
      <c r="W15" s="244"/>
      <c r="X15" s="243"/>
      <c r="Y15" s="6"/>
      <c r="Z15" s="244"/>
      <c r="AA15" s="69"/>
      <c r="AB15" s="40"/>
      <c r="AC15" s="73"/>
      <c r="AD15" s="69"/>
      <c r="AE15" s="40"/>
      <c r="AF15" s="73"/>
    </row>
    <row r="16" spans="1:32" ht="20.100000000000001" customHeight="1" thickBot="1">
      <c r="A16" s="3">
        <v>10</v>
      </c>
      <c r="B16" s="33" t="str">
        <f t="shared" ca="1" si="0"/>
        <v/>
      </c>
      <c r="C16" s="8"/>
      <c r="D16" s="33" t="str">
        <f t="shared" ca="1" si="1"/>
        <v/>
      </c>
      <c r="E16" s="2"/>
      <c r="F16" s="33" t="str">
        <f t="shared" ca="1" si="2"/>
        <v/>
      </c>
      <c r="G16" s="45"/>
      <c r="H16" s="19"/>
      <c r="I16" s="36">
        <v>10</v>
      </c>
      <c r="J16" s="312" t="str">
        <f t="shared" ca="1" si="3"/>
        <v xml:space="preserve"> </v>
      </c>
      <c r="K16" s="104" t="str">
        <f t="shared" ca="1" si="4"/>
        <v xml:space="preserve"> </v>
      </c>
      <c r="L16" s="313" t="str">
        <f t="shared" ca="1" si="5"/>
        <v xml:space="preserve"> </v>
      </c>
      <c r="N16" s="65">
        <v>10</v>
      </c>
      <c r="O16" s="68"/>
      <c r="P16" s="38"/>
      <c r="Q16" s="245"/>
      <c r="R16" s="246"/>
      <c r="S16" s="43"/>
      <c r="T16" s="245"/>
      <c r="U16" s="247"/>
      <c r="V16" s="39"/>
      <c r="W16" s="248"/>
      <c r="X16" s="247"/>
      <c r="Y16" s="39"/>
      <c r="Z16" s="248"/>
      <c r="AA16" s="68"/>
      <c r="AB16" s="38"/>
      <c r="AC16" s="72"/>
      <c r="AD16" s="68"/>
      <c r="AE16" s="38"/>
      <c r="AF16" s="72"/>
    </row>
    <row r="17" spans="1:32" ht="20.100000000000001" customHeight="1">
      <c r="A17" s="3">
        <v>11</v>
      </c>
      <c r="B17" s="33" t="str">
        <f t="shared" ca="1" si="0"/>
        <v/>
      </c>
      <c r="C17" s="8"/>
      <c r="D17" s="33" t="str">
        <f t="shared" ca="1" si="1"/>
        <v/>
      </c>
      <c r="E17" s="2"/>
      <c r="F17" s="33" t="str">
        <f t="shared" ca="1" si="2"/>
        <v/>
      </c>
      <c r="G17" s="45"/>
      <c r="H17" s="19"/>
      <c r="I17" s="36">
        <v>11</v>
      </c>
      <c r="J17" s="312" t="str">
        <f t="shared" ca="1" si="3"/>
        <v xml:space="preserve"> </v>
      </c>
      <c r="K17" s="104" t="str">
        <f t="shared" ca="1" si="4"/>
        <v xml:space="preserve"> </v>
      </c>
      <c r="L17" s="313" t="str">
        <f t="shared" ca="1" si="5"/>
        <v xml:space="preserve"> </v>
      </c>
      <c r="N17" s="64">
        <v>11</v>
      </c>
      <c r="O17" s="67"/>
      <c r="P17" s="37"/>
      <c r="Q17" s="241"/>
      <c r="R17" s="242"/>
      <c r="S17" s="41"/>
      <c r="T17" s="241"/>
      <c r="U17" s="242"/>
      <c r="V17" s="41"/>
      <c r="W17" s="249"/>
      <c r="X17" s="242"/>
      <c r="Y17" s="41"/>
      <c r="Z17" s="249"/>
      <c r="AA17" s="69"/>
      <c r="AB17" s="40"/>
      <c r="AC17" s="73"/>
      <c r="AD17" s="69"/>
      <c r="AE17" s="40"/>
      <c r="AF17" s="73"/>
    </row>
    <row r="18" spans="1:32" ht="20.100000000000001" customHeight="1" thickBot="1">
      <c r="A18" s="3">
        <v>12</v>
      </c>
      <c r="B18" s="33" t="str">
        <f t="shared" ca="1" si="0"/>
        <v/>
      </c>
      <c r="C18" s="8"/>
      <c r="D18" s="33" t="str">
        <f t="shared" ca="1" si="1"/>
        <v/>
      </c>
      <c r="E18" s="2"/>
      <c r="F18" s="33" t="str">
        <f t="shared" ca="1" si="2"/>
        <v/>
      </c>
      <c r="G18" s="45"/>
      <c r="H18" s="19"/>
      <c r="I18" s="36">
        <v>12</v>
      </c>
      <c r="J18" s="312" t="str">
        <f t="shared" ca="1" si="3"/>
        <v xml:space="preserve"> </v>
      </c>
      <c r="K18" s="104" t="str">
        <f t="shared" ca="1" si="4"/>
        <v xml:space="preserve"> </v>
      </c>
      <c r="L18" s="313" t="str">
        <f t="shared" ca="1" si="5"/>
        <v xml:space="preserve"> </v>
      </c>
      <c r="N18" s="65">
        <v>12</v>
      </c>
      <c r="O18" s="68"/>
      <c r="P18" s="38"/>
      <c r="Q18" s="245"/>
      <c r="R18" s="246"/>
      <c r="S18" s="43"/>
      <c r="T18" s="245"/>
      <c r="U18" s="246"/>
      <c r="V18" s="43"/>
      <c r="W18" s="96"/>
      <c r="X18" s="246"/>
      <c r="Y18" s="43"/>
      <c r="Z18" s="96"/>
      <c r="AA18" s="68"/>
      <c r="AB18" s="38"/>
      <c r="AC18" s="72"/>
      <c r="AD18" s="68"/>
      <c r="AE18" s="38"/>
      <c r="AF18" s="72"/>
    </row>
    <row r="19" spans="1:32" ht="20.100000000000001" customHeight="1">
      <c r="A19" s="3">
        <v>13</v>
      </c>
      <c r="B19" s="33" t="str">
        <f t="shared" ca="1" si="0"/>
        <v/>
      </c>
      <c r="C19" s="8"/>
      <c r="D19" s="33" t="str">
        <f t="shared" ca="1" si="1"/>
        <v/>
      </c>
      <c r="E19" s="2"/>
      <c r="F19" s="33" t="str">
        <f t="shared" ca="1" si="2"/>
        <v/>
      </c>
      <c r="G19" s="45"/>
      <c r="H19" s="19"/>
      <c r="I19" s="36">
        <v>13</v>
      </c>
      <c r="J19" s="312" t="str">
        <f t="shared" ca="1" si="3"/>
        <v xml:space="preserve"> </v>
      </c>
      <c r="K19" s="104" t="str">
        <f t="shared" ca="1" si="4"/>
        <v xml:space="preserve"> </v>
      </c>
      <c r="L19" s="313" t="str">
        <f t="shared" ca="1" si="5"/>
        <v xml:space="preserve"> </v>
      </c>
      <c r="N19" s="64">
        <v>13</v>
      </c>
      <c r="O19" s="69"/>
      <c r="P19" s="40"/>
      <c r="Q19" s="95"/>
      <c r="R19" s="243"/>
      <c r="S19" s="6"/>
      <c r="T19" s="95"/>
      <c r="U19" s="243"/>
      <c r="V19" s="6"/>
      <c r="W19" s="244"/>
      <c r="X19" s="243"/>
      <c r="Y19" s="6"/>
      <c r="Z19" s="244"/>
      <c r="AA19" s="69"/>
      <c r="AB19" s="40"/>
      <c r="AC19" s="73"/>
      <c r="AD19" s="69"/>
      <c r="AE19" s="40"/>
      <c r="AF19" s="73"/>
    </row>
    <row r="20" spans="1:32" ht="20.100000000000001" customHeight="1" thickBot="1">
      <c r="A20" s="3">
        <v>14</v>
      </c>
      <c r="B20" s="33" t="str">
        <f t="shared" ca="1" si="0"/>
        <v/>
      </c>
      <c r="C20" s="8"/>
      <c r="D20" s="33" t="str">
        <f t="shared" ca="1" si="1"/>
        <v/>
      </c>
      <c r="E20" s="2"/>
      <c r="F20" s="33" t="str">
        <f t="shared" ca="1" si="2"/>
        <v/>
      </c>
      <c r="G20" s="45"/>
      <c r="H20" s="19"/>
      <c r="I20" s="36">
        <v>14</v>
      </c>
      <c r="J20" s="312" t="str">
        <f t="shared" ca="1" si="3"/>
        <v xml:space="preserve"> </v>
      </c>
      <c r="K20" s="104" t="str">
        <f t="shared" ca="1" si="4"/>
        <v xml:space="preserve"> </v>
      </c>
      <c r="L20" s="313" t="str">
        <f t="shared" ca="1" si="5"/>
        <v xml:space="preserve"> </v>
      </c>
      <c r="N20" s="65">
        <v>14</v>
      </c>
      <c r="O20" s="70"/>
      <c r="P20" s="42"/>
      <c r="Q20" s="250"/>
      <c r="R20" s="247"/>
      <c r="S20" s="39"/>
      <c r="T20" s="250"/>
      <c r="U20" s="246"/>
      <c r="V20" s="43"/>
      <c r="W20" s="96"/>
      <c r="X20" s="246"/>
      <c r="Y20" s="43"/>
      <c r="Z20" s="96"/>
      <c r="AA20" s="68"/>
      <c r="AB20" s="38"/>
      <c r="AC20" s="72"/>
      <c r="AD20" s="68"/>
      <c r="AE20" s="38"/>
      <c r="AF20" s="72"/>
    </row>
    <row r="21" spans="1:32" ht="19.5" customHeight="1">
      <c r="A21" s="3">
        <v>15</v>
      </c>
      <c r="B21" s="33" t="str">
        <f t="shared" ca="1" si="0"/>
        <v/>
      </c>
      <c r="C21" s="8"/>
      <c r="D21" s="33" t="str">
        <f t="shared" ca="1" si="1"/>
        <v/>
      </c>
      <c r="E21" s="2"/>
      <c r="F21" s="33" t="str">
        <f t="shared" ca="1" si="2"/>
        <v/>
      </c>
      <c r="G21" s="45"/>
      <c r="H21" s="19"/>
      <c r="I21" s="36">
        <v>15</v>
      </c>
      <c r="J21" s="312" t="str">
        <f t="shared" ca="1" si="3"/>
        <v xml:space="preserve"> </v>
      </c>
      <c r="K21" s="104" t="str">
        <f t="shared" ca="1" si="4"/>
        <v xml:space="preserve"> </v>
      </c>
      <c r="L21" s="313" t="str">
        <f t="shared" ca="1" si="5"/>
        <v xml:space="preserve"> </v>
      </c>
      <c r="N21" s="64">
        <v>15</v>
      </c>
      <c r="O21" s="67"/>
      <c r="P21" s="37"/>
      <c r="Q21" s="241"/>
      <c r="R21" s="242"/>
      <c r="S21" s="41"/>
      <c r="T21" s="241"/>
      <c r="U21" s="243"/>
      <c r="V21" s="6"/>
      <c r="W21" s="244"/>
      <c r="X21" s="243"/>
      <c r="Y21" s="6"/>
      <c r="Z21" s="244"/>
      <c r="AA21" s="69"/>
      <c r="AB21" s="40"/>
      <c r="AC21" s="73"/>
      <c r="AD21" s="69"/>
      <c r="AE21" s="40"/>
      <c r="AF21" s="73"/>
    </row>
    <row r="22" spans="1:32" ht="20.100000000000001" customHeight="1" thickBot="1">
      <c r="A22" s="3">
        <v>16</v>
      </c>
      <c r="B22" s="33" t="str">
        <f t="shared" ca="1" si="0"/>
        <v/>
      </c>
      <c r="C22" s="8"/>
      <c r="D22" s="33" t="str">
        <f t="shared" ca="1" si="1"/>
        <v/>
      </c>
      <c r="E22" s="2"/>
      <c r="F22" s="33" t="str">
        <f t="shared" ca="1" si="2"/>
        <v/>
      </c>
      <c r="G22" s="45"/>
      <c r="H22" s="19"/>
      <c r="I22" s="36">
        <v>16</v>
      </c>
      <c r="J22" s="312" t="str">
        <f t="shared" ca="1" si="3"/>
        <v xml:space="preserve"> </v>
      </c>
      <c r="K22" s="104" t="str">
        <f t="shared" ca="1" si="4"/>
        <v xml:space="preserve"> </v>
      </c>
      <c r="L22" s="313" t="str">
        <f t="shared" ca="1" si="5"/>
        <v xml:space="preserve"> </v>
      </c>
      <c r="N22" s="65">
        <v>16</v>
      </c>
      <c r="O22" s="68"/>
      <c r="P22" s="38"/>
      <c r="Q22" s="245"/>
      <c r="R22" s="246"/>
      <c r="S22" s="43"/>
      <c r="T22" s="245"/>
      <c r="U22" s="246"/>
      <c r="V22" s="43"/>
      <c r="W22" s="96"/>
      <c r="X22" s="246"/>
      <c r="Y22" s="43"/>
      <c r="Z22" s="96"/>
      <c r="AA22" s="68"/>
      <c r="AB22" s="38"/>
      <c r="AC22" s="72"/>
      <c r="AD22" s="68"/>
      <c r="AE22" s="38"/>
      <c r="AF22" s="72"/>
    </row>
    <row r="23" spans="1:32" ht="20.100000000000001" customHeight="1">
      <c r="A23" s="3">
        <v>17</v>
      </c>
      <c r="B23" s="33" t="str">
        <f t="shared" ca="1" si="0"/>
        <v/>
      </c>
      <c r="C23" s="8"/>
      <c r="D23" s="33" t="str">
        <f t="shared" ca="1" si="1"/>
        <v/>
      </c>
      <c r="E23" s="2"/>
      <c r="F23" s="33" t="str">
        <f t="shared" ca="1" si="2"/>
        <v/>
      </c>
      <c r="G23" s="45"/>
      <c r="H23" s="19"/>
      <c r="I23" s="36">
        <v>17</v>
      </c>
      <c r="J23" s="312" t="str">
        <f t="shared" ca="1" si="3"/>
        <v xml:space="preserve"> </v>
      </c>
      <c r="K23" s="104" t="str">
        <f t="shared" ca="1" si="4"/>
        <v xml:space="preserve"> </v>
      </c>
      <c r="L23" s="313" t="str">
        <f t="shared" ca="1" si="5"/>
        <v xml:space="preserve"> </v>
      </c>
      <c r="N23" s="64">
        <v>17</v>
      </c>
      <c r="O23" s="67"/>
      <c r="P23" s="37"/>
      <c r="Q23" s="249"/>
      <c r="R23" s="243"/>
      <c r="S23" s="6"/>
      <c r="T23" s="95"/>
      <c r="U23" s="243"/>
      <c r="V23" s="6"/>
      <c r="W23" s="244"/>
      <c r="X23" s="243"/>
      <c r="Y23" s="6"/>
      <c r="Z23" s="244"/>
      <c r="AA23" s="69"/>
      <c r="AB23" s="40"/>
      <c r="AC23" s="73"/>
      <c r="AD23" s="69"/>
      <c r="AE23" s="40"/>
      <c r="AF23" s="73"/>
    </row>
    <row r="24" spans="1:32" ht="20.100000000000001" customHeight="1" thickBot="1">
      <c r="A24" s="3">
        <v>18</v>
      </c>
      <c r="B24" s="33" t="str">
        <f t="shared" ca="1" si="0"/>
        <v/>
      </c>
      <c r="C24" s="8"/>
      <c r="D24" s="33" t="str">
        <f t="shared" ca="1" si="1"/>
        <v/>
      </c>
      <c r="E24" s="2"/>
      <c r="F24" s="33" t="str">
        <f t="shared" ca="1" si="2"/>
        <v/>
      </c>
      <c r="G24" s="45"/>
      <c r="H24" s="19"/>
      <c r="I24" s="36">
        <v>18</v>
      </c>
      <c r="J24" s="312" t="str">
        <f t="shared" ca="1" si="3"/>
        <v xml:space="preserve"> </v>
      </c>
      <c r="K24" s="104" t="str">
        <f t="shared" ca="1" si="4"/>
        <v xml:space="preserve"> </v>
      </c>
      <c r="L24" s="313" t="str">
        <f t="shared" ca="1" si="5"/>
        <v xml:space="preserve"> </v>
      </c>
      <c r="N24" s="65">
        <v>18</v>
      </c>
      <c r="O24" s="68"/>
      <c r="P24" s="38"/>
      <c r="Q24" s="96"/>
      <c r="R24" s="247"/>
      <c r="S24" s="39"/>
      <c r="T24" s="250"/>
      <c r="U24" s="246"/>
      <c r="V24" s="43"/>
      <c r="W24" s="96"/>
      <c r="X24" s="246"/>
      <c r="Y24" s="43"/>
      <c r="Z24" s="96"/>
      <c r="AA24" s="68"/>
      <c r="AB24" s="38"/>
      <c r="AC24" s="72"/>
      <c r="AD24" s="68"/>
      <c r="AE24" s="38"/>
      <c r="AF24" s="72"/>
    </row>
    <row r="25" spans="1:32" ht="20.100000000000001" customHeight="1">
      <c r="A25" s="3">
        <v>19</v>
      </c>
      <c r="B25" s="33" t="str">
        <f t="shared" ca="1" si="0"/>
        <v/>
      </c>
      <c r="C25" s="8"/>
      <c r="D25" s="33" t="str">
        <f t="shared" ca="1" si="1"/>
        <v/>
      </c>
      <c r="E25" s="2"/>
      <c r="F25" s="33" t="str">
        <f t="shared" ca="1" si="2"/>
        <v/>
      </c>
      <c r="G25" s="45"/>
      <c r="H25" s="19"/>
      <c r="I25" s="36">
        <v>19</v>
      </c>
      <c r="J25" s="312" t="str">
        <f t="shared" ca="1" si="3"/>
        <v xml:space="preserve"> </v>
      </c>
      <c r="K25" s="104" t="str">
        <f t="shared" ca="1" si="4"/>
        <v xml:space="preserve"> </v>
      </c>
      <c r="L25" s="313" t="str">
        <f t="shared" ca="1" si="5"/>
        <v xml:space="preserve"> </v>
      </c>
      <c r="N25" s="64">
        <v>19</v>
      </c>
      <c r="O25" s="67"/>
      <c r="P25" s="37"/>
      <c r="Q25" s="249"/>
      <c r="R25" s="242"/>
      <c r="S25" s="41"/>
      <c r="T25" s="241"/>
      <c r="U25" s="243"/>
      <c r="V25" s="6"/>
      <c r="W25" s="244"/>
      <c r="X25" s="243"/>
      <c r="Y25" s="6"/>
      <c r="Z25" s="244"/>
      <c r="AA25" s="69"/>
      <c r="AB25" s="40"/>
      <c r="AC25" s="73"/>
      <c r="AD25" s="69"/>
      <c r="AE25" s="40"/>
      <c r="AF25" s="73"/>
    </row>
    <row r="26" spans="1:32" ht="20.100000000000001" customHeight="1" thickBot="1">
      <c r="A26" s="3">
        <v>20</v>
      </c>
      <c r="B26" s="33" t="str">
        <f t="shared" ca="1" si="0"/>
        <v/>
      </c>
      <c r="C26" s="8"/>
      <c r="D26" s="33" t="str">
        <f t="shared" ca="1" si="1"/>
        <v/>
      </c>
      <c r="E26" s="2"/>
      <c r="F26" s="33" t="str">
        <f t="shared" ca="1" si="2"/>
        <v/>
      </c>
      <c r="G26" s="45"/>
      <c r="H26" s="19"/>
      <c r="I26" s="36">
        <v>20</v>
      </c>
      <c r="J26" s="312" t="str">
        <f t="shared" ca="1" si="3"/>
        <v xml:space="preserve"> </v>
      </c>
      <c r="K26" s="104" t="str">
        <f t="shared" ca="1" si="4"/>
        <v xml:space="preserve"> </v>
      </c>
      <c r="L26" s="313" t="str">
        <f t="shared" ca="1" si="5"/>
        <v xml:space="preserve"> </v>
      </c>
      <c r="N26" s="65">
        <v>20</v>
      </c>
      <c r="O26" s="68"/>
      <c r="P26" s="38"/>
      <c r="Q26" s="96"/>
      <c r="R26" s="251"/>
      <c r="S26" s="43"/>
      <c r="T26" s="245"/>
      <c r="U26" s="246"/>
      <c r="V26" s="43"/>
      <c r="W26" s="96"/>
      <c r="X26" s="246"/>
      <c r="Y26" s="43"/>
      <c r="Z26" s="96"/>
      <c r="AA26" s="68"/>
      <c r="AB26" s="38"/>
      <c r="AC26" s="72"/>
      <c r="AD26" s="68"/>
      <c r="AE26" s="38"/>
      <c r="AF26" s="72"/>
    </row>
    <row r="27" spans="1:32" ht="20.100000000000001" customHeight="1">
      <c r="A27" s="3">
        <v>21</v>
      </c>
      <c r="B27" s="33" t="str">
        <f t="shared" ca="1" si="0"/>
        <v/>
      </c>
      <c r="C27" s="8"/>
      <c r="D27" s="33" t="str">
        <f t="shared" ca="1" si="1"/>
        <v/>
      </c>
      <c r="E27" s="2"/>
      <c r="F27" s="33" t="str">
        <f t="shared" ca="1" si="2"/>
        <v/>
      </c>
      <c r="G27" s="45"/>
      <c r="H27" s="19"/>
      <c r="I27" s="36">
        <v>21</v>
      </c>
      <c r="J27" s="312" t="str">
        <f t="shared" ca="1" si="3"/>
        <v xml:space="preserve"> </v>
      </c>
      <c r="K27" s="104" t="str">
        <f t="shared" ca="1" si="4"/>
        <v xml:space="preserve"> </v>
      </c>
      <c r="L27" s="313" t="str">
        <f t="shared" ca="1" si="5"/>
        <v xml:space="preserve"> </v>
      </c>
      <c r="N27" s="78">
        <v>21</v>
      </c>
      <c r="O27" s="67"/>
      <c r="P27" s="37"/>
      <c r="Q27" s="249"/>
      <c r="R27" s="242"/>
      <c r="S27" s="41"/>
      <c r="T27" s="241"/>
      <c r="U27" s="243"/>
      <c r="V27" s="6"/>
      <c r="W27" s="244"/>
      <c r="X27" s="243"/>
      <c r="Y27" s="6"/>
      <c r="Z27" s="244"/>
      <c r="AA27" s="69"/>
      <c r="AB27" s="40"/>
      <c r="AC27" s="73"/>
      <c r="AD27" s="69"/>
      <c r="AE27" s="40"/>
      <c r="AF27" s="73"/>
    </row>
    <row r="28" spans="1:32" ht="20.100000000000001" customHeight="1" thickBot="1">
      <c r="A28" s="3">
        <v>22</v>
      </c>
      <c r="B28" s="33" t="str">
        <f t="shared" ca="1" si="0"/>
        <v/>
      </c>
      <c r="C28" s="8"/>
      <c r="D28" s="33" t="str">
        <f t="shared" ca="1" si="1"/>
        <v/>
      </c>
      <c r="E28" s="2"/>
      <c r="F28" s="33" t="str">
        <f t="shared" ca="1" si="2"/>
        <v/>
      </c>
      <c r="G28" s="45"/>
      <c r="H28" s="19"/>
      <c r="I28" s="36">
        <v>22</v>
      </c>
      <c r="J28" s="312" t="str">
        <f t="shared" ca="1" si="3"/>
        <v xml:space="preserve"> </v>
      </c>
      <c r="K28" s="104" t="str">
        <f t="shared" ca="1" si="4"/>
        <v xml:space="preserve"> </v>
      </c>
      <c r="L28" s="313" t="str">
        <f t="shared" ca="1" si="5"/>
        <v xml:space="preserve"> </v>
      </c>
      <c r="N28" s="65">
        <v>22</v>
      </c>
      <c r="O28" s="68"/>
      <c r="P28" s="38"/>
      <c r="Q28" s="76"/>
      <c r="R28" s="77"/>
      <c r="S28" s="38"/>
      <c r="T28" s="72"/>
      <c r="U28" s="68"/>
      <c r="V28" s="38"/>
      <c r="W28" s="76"/>
      <c r="X28" s="68"/>
      <c r="Y28" s="38"/>
      <c r="Z28" s="76"/>
      <c r="AA28" s="68"/>
      <c r="AB28" s="38"/>
      <c r="AC28" s="72"/>
      <c r="AD28" s="68"/>
      <c r="AE28" s="38"/>
      <c r="AF28" s="72"/>
    </row>
    <row r="29" spans="1:32" ht="20.100000000000001" customHeight="1">
      <c r="A29" s="3">
        <v>23</v>
      </c>
      <c r="B29" s="33" t="str">
        <f t="shared" ca="1" si="0"/>
        <v/>
      </c>
      <c r="C29" s="8"/>
      <c r="D29" s="33" t="str">
        <f t="shared" ca="1" si="1"/>
        <v/>
      </c>
      <c r="E29" s="2"/>
      <c r="F29" s="33" t="str">
        <f t="shared" ca="1" si="2"/>
        <v/>
      </c>
      <c r="G29" s="45"/>
      <c r="H29" s="19"/>
      <c r="I29" s="36">
        <v>23</v>
      </c>
      <c r="J29" s="312" t="str">
        <f t="shared" ca="1" si="3"/>
        <v xml:space="preserve"> </v>
      </c>
      <c r="K29" s="104" t="str">
        <f t="shared" ca="1" si="4"/>
        <v xml:space="preserve"> </v>
      </c>
      <c r="L29" s="313" t="str">
        <f t="shared" ca="1" si="5"/>
        <v xml:space="preserve"> </v>
      </c>
      <c r="N29" s="64">
        <v>23</v>
      </c>
      <c r="O29" s="67"/>
      <c r="P29" s="37"/>
      <c r="Q29" s="75"/>
      <c r="R29" s="67"/>
      <c r="S29" s="37"/>
      <c r="T29" s="71"/>
      <c r="U29" s="69"/>
      <c r="V29" s="40"/>
      <c r="W29" s="82"/>
      <c r="X29" s="69"/>
      <c r="Y29" s="40"/>
      <c r="Z29" s="82"/>
      <c r="AA29" s="69"/>
      <c r="AB29" s="40"/>
      <c r="AC29" s="73"/>
      <c r="AD29" s="69"/>
      <c r="AE29" s="40"/>
      <c r="AF29" s="73"/>
    </row>
    <row r="30" spans="1:32" ht="20.100000000000001" customHeight="1" thickBot="1">
      <c r="A30" s="3">
        <v>24</v>
      </c>
      <c r="B30" s="33" t="str">
        <f t="shared" ca="1" si="0"/>
        <v/>
      </c>
      <c r="C30" s="8"/>
      <c r="D30" s="33" t="str">
        <f t="shared" ca="1" si="1"/>
        <v/>
      </c>
      <c r="E30" s="2"/>
      <c r="F30" s="33" t="str">
        <f t="shared" ca="1" si="2"/>
        <v/>
      </c>
      <c r="G30" s="45"/>
      <c r="H30" s="19"/>
      <c r="I30" s="36">
        <v>24</v>
      </c>
      <c r="J30" s="312" t="str">
        <f t="shared" ca="1" si="3"/>
        <v xml:space="preserve"> </v>
      </c>
      <c r="K30" s="104" t="str">
        <f t="shared" ca="1" si="4"/>
        <v xml:space="preserve"> </v>
      </c>
      <c r="L30" s="313" t="str">
        <f t="shared" ca="1" si="5"/>
        <v xml:space="preserve"> </v>
      </c>
      <c r="N30" s="65">
        <v>24</v>
      </c>
      <c r="O30" s="68"/>
      <c r="P30" s="38"/>
      <c r="Q30" s="76"/>
      <c r="R30" s="77"/>
      <c r="S30" s="38"/>
      <c r="T30" s="72"/>
      <c r="U30" s="68"/>
      <c r="V30" s="38"/>
      <c r="W30" s="76"/>
      <c r="X30" s="68"/>
      <c r="Y30" s="38"/>
      <c r="Z30" s="76"/>
      <c r="AA30" s="68"/>
      <c r="AB30" s="38"/>
      <c r="AC30" s="72"/>
      <c r="AD30" s="68"/>
      <c r="AE30" s="38"/>
      <c r="AF30" s="72"/>
    </row>
    <row r="31" spans="1:32" ht="20.100000000000001" customHeight="1">
      <c r="A31" s="3">
        <v>25</v>
      </c>
      <c r="B31" s="33" t="str">
        <f t="shared" ca="1" si="0"/>
        <v/>
      </c>
      <c r="C31" s="8"/>
      <c r="D31" s="33" t="str">
        <f t="shared" ca="1" si="1"/>
        <v/>
      </c>
      <c r="E31" s="2"/>
      <c r="F31" s="33" t="str">
        <f t="shared" ca="1" si="2"/>
        <v/>
      </c>
      <c r="G31" s="45"/>
      <c r="H31" s="19"/>
      <c r="I31" s="36">
        <v>25</v>
      </c>
      <c r="J31" s="312" t="str">
        <f t="shared" ca="1" si="3"/>
        <v xml:space="preserve"> </v>
      </c>
      <c r="K31" s="104" t="str">
        <f t="shared" ca="1" si="4"/>
        <v xml:space="preserve"> </v>
      </c>
      <c r="L31" s="313" t="str">
        <f t="shared" ca="1" si="5"/>
        <v xml:space="preserve"> </v>
      </c>
      <c r="N31" s="64">
        <v>25</v>
      </c>
      <c r="O31" s="67"/>
      <c r="P31" s="37"/>
      <c r="Q31" s="75"/>
      <c r="R31" s="67"/>
      <c r="S31" s="37"/>
      <c r="T31" s="71"/>
      <c r="U31" s="69"/>
      <c r="V31" s="40"/>
      <c r="W31" s="82"/>
      <c r="X31" s="69"/>
      <c r="Y31" s="40"/>
      <c r="Z31" s="82"/>
      <c r="AA31" s="69"/>
      <c r="AB31" s="40"/>
      <c r="AC31" s="73"/>
      <c r="AD31" s="69"/>
      <c r="AE31" s="40"/>
      <c r="AF31" s="73"/>
    </row>
    <row r="32" spans="1:32" ht="20.100000000000001" customHeight="1" thickBot="1">
      <c r="A32" s="3">
        <v>26</v>
      </c>
      <c r="B32" s="33" t="str">
        <f t="shared" ca="1" si="0"/>
        <v/>
      </c>
      <c r="C32" s="8"/>
      <c r="D32" s="33" t="str">
        <f t="shared" ca="1" si="1"/>
        <v/>
      </c>
      <c r="E32" s="2"/>
      <c r="F32" s="33" t="str">
        <f t="shared" ca="1" si="2"/>
        <v/>
      </c>
      <c r="G32" s="45"/>
      <c r="H32" s="19"/>
      <c r="I32" s="36">
        <v>26</v>
      </c>
      <c r="J32" s="312" t="str">
        <f t="shared" ca="1" si="3"/>
        <v xml:space="preserve"> </v>
      </c>
      <c r="K32" s="104" t="str">
        <f t="shared" ca="1" si="4"/>
        <v xml:space="preserve"> </v>
      </c>
      <c r="L32" s="313" t="str">
        <f t="shared" ca="1" si="5"/>
        <v xml:space="preserve"> </v>
      </c>
      <c r="N32" s="65">
        <v>26</v>
      </c>
      <c r="O32" s="68"/>
      <c r="P32" s="38"/>
      <c r="Q32" s="76"/>
      <c r="R32" s="77"/>
      <c r="S32" s="38"/>
      <c r="T32" s="72"/>
      <c r="U32" s="68"/>
      <c r="V32" s="38"/>
      <c r="W32" s="76"/>
      <c r="X32" s="68"/>
      <c r="Y32" s="38"/>
      <c r="Z32" s="76"/>
      <c r="AA32" s="68"/>
      <c r="AB32" s="38"/>
      <c r="AC32" s="72"/>
      <c r="AD32" s="68"/>
      <c r="AE32" s="38"/>
      <c r="AF32" s="72"/>
    </row>
    <row r="33" spans="1:32" ht="20.100000000000001" customHeight="1">
      <c r="A33" s="3">
        <v>27</v>
      </c>
      <c r="B33" s="33" t="str">
        <f t="shared" ca="1" si="0"/>
        <v/>
      </c>
      <c r="C33" s="8"/>
      <c r="D33" s="33" t="str">
        <f t="shared" ca="1" si="1"/>
        <v/>
      </c>
      <c r="E33" s="2"/>
      <c r="F33" s="33" t="str">
        <f t="shared" ca="1" si="2"/>
        <v/>
      </c>
      <c r="G33" s="45"/>
      <c r="H33" s="19"/>
      <c r="I33" s="36">
        <v>27</v>
      </c>
      <c r="J33" s="312" t="str">
        <f t="shared" ca="1" si="3"/>
        <v xml:space="preserve"> </v>
      </c>
      <c r="K33" s="104" t="str">
        <f t="shared" ca="1" si="4"/>
        <v xml:space="preserve"> </v>
      </c>
      <c r="L33" s="313" t="str">
        <f t="shared" ca="1" si="5"/>
        <v xml:space="preserve"> </v>
      </c>
      <c r="N33" s="78">
        <v>27</v>
      </c>
      <c r="O33" s="67"/>
      <c r="P33" s="37"/>
      <c r="Q33" s="75"/>
      <c r="R33" s="67"/>
      <c r="S33" s="37"/>
      <c r="T33" s="71"/>
      <c r="U33" s="69"/>
      <c r="V33" s="40"/>
      <c r="W33" s="82"/>
      <c r="X33" s="69"/>
      <c r="Y33" s="40"/>
      <c r="Z33" s="82"/>
      <c r="AA33" s="69"/>
      <c r="AB33" s="40"/>
      <c r="AC33" s="73"/>
      <c r="AD33" s="69"/>
      <c r="AE33" s="40"/>
      <c r="AF33" s="73"/>
    </row>
    <row r="34" spans="1:32" ht="20.100000000000001" customHeight="1" thickBot="1">
      <c r="A34" s="3">
        <v>28</v>
      </c>
      <c r="B34" s="33" t="str">
        <f t="shared" ca="1" si="0"/>
        <v/>
      </c>
      <c r="C34" s="8"/>
      <c r="D34" s="33" t="str">
        <f t="shared" ca="1" si="1"/>
        <v/>
      </c>
      <c r="E34" s="2"/>
      <c r="F34" s="33" t="str">
        <f t="shared" ca="1" si="2"/>
        <v/>
      </c>
      <c r="G34" s="45"/>
      <c r="H34" s="19"/>
      <c r="I34" s="36">
        <v>28</v>
      </c>
      <c r="J34" s="312" t="str">
        <f t="shared" ca="1" si="3"/>
        <v xml:space="preserve"> </v>
      </c>
      <c r="K34" s="104" t="str">
        <f t="shared" ca="1" si="4"/>
        <v xml:space="preserve"> </v>
      </c>
      <c r="L34" s="313" t="str">
        <f t="shared" ca="1" si="5"/>
        <v xml:space="preserve"> </v>
      </c>
      <c r="N34" s="65">
        <v>28</v>
      </c>
      <c r="O34" s="68"/>
      <c r="P34" s="38"/>
      <c r="Q34" s="76"/>
      <c r="R34" s="77"/>
      <c r="S34" s="38"/>
      <c r="T34" s="72"/>
      <c r="U34" s="68"/>
      <c r="V34" s="38"/>
      <c r="W34" s="76"/>
      <c r="X34" s="68"/>
      <c r="Y34" s="38"/>
      <c r="Z34" s="76"/>
      <c r="AA34" s="68"/>
      <c r="AB34" s="38"/>
      <c r="AC34" s="72"/>
      <c r="AD34" s="68"/>
      <c r="AE34" s="38"/>
      <c r="AF34" s="72"/>
    </row>
    <row r="35" spans="1:32" ht="20.100000000000001" customHeight="1">
      <c r="A35" s="3">
        <v>29</v>
      </c>
      <c r="B35" s="33" t="str">
        <f t="shared" ca="1" si="0"/>
        <v/>
      </c>
      <c r="C35" s="8"/>
      <c r="D35" s="33" t="str">
        <f t="shared" ca="1" si="1"/>
        <v/>
      </c>
      <c r="E35" s="2"/>
      <c r="F35" s="33" t="str">
        <f t="shared" ca="1" si="2"/>
        <v/>
      </c>
      <c r="G35" s="45"/>
      <c r="H35" s="19"/>
      <c r="I35" s="36">
        <v>29</v>
      </c>
      <c r="J35" s="312" t="str">
        <f t="shared" ca="1" si="3"/>
        <v xml:space="preserve"> </v>
      </c>
      <c r="K35" s="104" t="str">
        <f t="shared" ca="1" si="4"/>
        <v xml:space="preserve"> </v>
      </c>
      <c r="L35" s="313" t="str">
        <f t="shared" ca="1" si="5"/>
        <v xml:space="preserve"> </v>
      </c>
      <c r="N35" s="78">
        <v>29</v>
      </c>
      <c r="O35" s="67"/>
      <c r="P35" s="37"/>
      <c r="Q35" s="75"/>
      <c r="R35" s="67"/>
      <c r="S35" s="37"/>
      <c r="T35" s="71"/>
      <c r="U35" s="69"/>
      <c r="V35" s="40"/>
      <c r="W35" s="82"/>
      <c r="X35" s="69"/>
      <c r="Y35" s="40"/>
      <c r="Z35" s="82"/>
      <c r="AA35" s="69"/>
      <c r="AB35" s="40"/>
      <c r="AC35" s="73"/>
      <c r="AD35" s="69"/>
      <c r="AE35" s="40"/>
      <c r="AF35" s="73"/>
    </row>
    <row r="36" spans="1:32" ht="20.100000000000001" customHeight="1" thickBot="1">
      <c r="A36" s="3">
        <v>30</v>
      </c>
      <c r="B36" s="33" t="str">
        <f t="shared" ca="1" si="0"/>
        <v/>
      </c>
      <c r="C36" s="8"/>
      <c r="D36" s="33" t="str">
        <f t="shared" ca="1" si="1"/>
        <v/>
      </c>
      <c r="E36" s="2"/>
      <c r="F36" s="33" t="str">
        <f t="shared" ca="1" si="2"/>
        <v/>
      </c>
      <c r="G36" s="45"/>
      <c r="H36" s="19"/>
      <c r="I36" s="36">
        <v>30</v>
      </c>
      <c r="J36" s="312" t="str">
        <f t="shared" ca="1" si="3"/>
        <v xml:space="preserve"> </v>
      </c>
      <c r="K36" s="104" t="str">
        <f t="shared" ca="1" si="4"/>
        <v xml:space="preserve"> </v>
      </c>
      <c r="L36" s="313" t="str">
        <f t="shared" ca="1" si="5"/>
        <v xml:space="preserve"> </v>
      </c>
      <c r="M36" s="79"/>
      <c r="N36" s="65">
        <v>30</v>
      </c>
      <c r="O36" s="68"/>
      <c r="P36" s="38"/>
      <c r="Q36" s="76"/>
      <c r="R36" s="77"/>
      <c r="S36" s="38"/>
      <c r="T36" s="72"/>
      <c r="U36" s="68"/>
      <c r="V36" s="38"/>
      <c r="W36" s="76"/>
      <c r="X36" s="68"/>
      <c r="Y36" s="38"/>
      <c r="Z36" s="76"/>
      <c r="AA36" s="68"/>
      <c r="AB36" s="38"/>
      <c r="AC36" s="72"/>
      <c r="AD36" s="68"/>
      <c r="AE36" s="38"/>
      <c r="AF36" s="72"/>
    </row>
    <row r="37" spans="1:32" ht="20.100000000000001" customHeight="1">
      <c r="A37" s="3">
        <v>31</v>
      </c>
      <c r="B37" s="33" t="str">
        <f t="shared" ca="1" si="0"/>
        <v/>
      </c>
      <c r="C37" s="8"/>
      <c r="D37" s="33" t="str">
        <f t="shared" ca="1" si="1"/>
        <v/>
      </c>
      <c r="E37" s="2"/>
      <c r="F37" s="33" t="str">
        <f t="shared" ca="1" si="2"/>
        <v/>
      </c>
      <c r="G37" s="45"/>
      <c r="H37" s="19"/>
      <c r="I37" s="36">
        <v>31</v>
      </c>
      <c r="J37" s="312" t="str">
        <f t="shared" ca="1" si="3"/>
        <v xml:space="preserve"> </v>
      </c>
      <c r="K37" s="104" t="str">
        <f t="shared" ca="1" si="4"/>
        <v xml:space="preserve"> </v>
      </c>
      <c r="L37" s="313" t="str">
        <f t="shared" ca="1" si="5"/>
        <v xml:space="preserve"> </v>
      </c>
      <c r="M37" s="79"/>
      <c r="N37" s="78">
        <v>31</v>
      </c>
      <c r="O37" s="67"/>
      <c r="P37" s="37"/>
      <c r="Q37" s="75"/>
      <c r="R37" s="67"/>
      <c r="S37" s="37"/>
      <c r="T37" s="71"/>
      <c r="U37" s="69"/>
      <c r="V37" s="40"/>
      <c r="W37" s="82"/>
      <c r="X37" s="69"/>
      <c r="Y37" s="40"/>
      <c r="Z37" s="82"/>
      <c r="AA37" s="69"/>
      <c r="AB37" s="40"/>
      <c r="AC37" s="73"/>
      <c r="AD37" s="69"/>
      <c r="AE37" s="40"/>
      <c r="AF37" s="73"/>
    </row>
    <row r="38" spans="1:32" ht="20.100000000000001" customHeight="1" thickBot="1">
      <c r="A38" s="3">
        <v>32</v>
      </c>
      <c r="B38" s="33" t="str">
        <f t="shared" ca="1" si="0"/>
        <v/>
      </c>
      <c r="C38" s="8"/>
      <c r="D38" s="33" t="str">
        <f t="shared" ca="1" si="1"/>
        <v/>
      </c>
      <c r="E38" s="2"/>
      <c r="F38" s="33" t="str">
        <f t="shared" ca="1" si="2"/>
        <v/>
      </c>
      <c r="G38" s="45"/>
      <c r="H38" s="19"/>
      <c r="I38" s="36">
        <v>32</v>
      </c>
      <c r="J38" s="312" t="str">
        <f t="shared" ca="1" si="3"/>
        <v xml:space="preserve"> </v>
      </c>
      <c r="K38" s="104" t="str">
        <f t="shared" ca="1" si="4"/>
        <v xml:space="preserve"> </v>
      </c>
      <c r="L38" s="313" t="str">
        <f t="shared" ca="1" si="5"/>
        <v xml:space="preserve"> </v>
      </c>
      <c r="M38" s="80"/>
      <c r="N38" s="65">
        <v>32</v>
      </c>
      <c r="O38" s="68"/>
      <c r="P38" s="38"/>
      <c r="Q38" s="76"/>
      <c r="R38" s="77"/>
      <c r="S38" s="38"/>
      <c r="T38" s="72"/>
      <c r="U38" s="68"/>
      <c r="V38" s="38"/>
      <c r="W38" s="76"/>
      <c r="X38" s="68"/>
      <c r="Y38" s="38"/>
      <c r="Z38" s="76"/>
      <c r="AA38" s="68"/>
      <c r="AB38" s="38"/>
      <c r="AC38" s="72"/>
      <c r="AD38" s="68"/>
      <c r="AE38" s="38"/>
      <c r="AF38" s="72"/>
    </row>
    <row r="39" spans="1:32" ht="20.100000000000001" customHeight="1">
      <c r="A39" s="3">
        <v>33</v>
      </c>
      <c r="B39" s="33" t="str">
        <f t="shared" ca="1" si="0"/>
        <v/>
      </c>
      <c r="C39" s="8"/>
      <c r="D39" s="33" t="str">
        <f t="shared" ca="1" si="1"/>
        <v/>
      </c>
      <c r="E39" s="2"/>
      <c r="F39" s="33" t="str">
        <f t="shared" ca="1" si="2"/>
        <v/>
      </c>
      <c r="G39" s="45"/>
      <c r="H39" s="19"/>
      <c r="I39" s="36">
        <v>33</v>
      </c>
      <c r="J39" s="312" t="str">
        <f t="shared" ca="1" si="3"/>
        <v xml:space="preserve"> </v>
      </c>
      <c r="K39" s="104" t="str">
        <f t="shared" ca="1" si="4"/>
        <v xml:space="preserve"> </v>
      </c>
      <c r="L39" s="313" t="str">
        <f t="shared" ca="1" si="5"/>
        <v xml:space="preserve"> </v>
      </c>
      <c r="N39" s="78">
        <v>33</v>
      </c>
      <c r="O39" s="67"/>
      <c r="P39" s="37"/>
      <c r="Q39" s="75"/>
      <c r="R39" s="67"/>
      <c r="S39" s="37"/>
      <c r="T39" s="71"/>
      <c r="U39" s="69"/>
      <c r="V39" s="40"/>
      <c r="W39" s="82"/>
      <c r="X39" s="69"/>
      <c r="Y39" s="40"/>
      <c r="Z39" s="82"/>
      <c r="AA39" s="69"/>
      <c r="AB39" s="40"/>
      <c r="AC39" s="73"/>
      <c r="AD39" s="69"/>
      <c r="AE39" s="40"/>
      <c r="AF39" s="73"/>
    </row>
    <row r="40" spans="1:32" ht="20.100000000000001" customHeight="1" thickBot="1">
      <c r="A40" s="3">
        <v>34</v>
      </c>
      <c r="B40" s="33" t="str">
        <f t="shared" ca="1" si="0"/>
        <v/>
      </c>
      <c r="C40" s="8"/>
      <c r="D40" s="33" t="str">
        <f t="shared" ca="1" si="1"/>
        <v/>
      </c>
      <c r="E40" s="2"/>
      <c r="F40" s="33" t="str">
        <f t="shared" ca="1" si="2"/>
        <v/>
      </c>
      <c r="G40" s="45"/>
      <c r="H40" s="19"/>
      <c r="I40" s="36">
        <v>34</v>
      </c>
      <c r="J40" s="312" t="str">
        <f t="shared" ca="1" si="3"/>
        <v xml:space="preserve"> </v>
      </c>
      <c r="K40" s="104" t="str">
        <f t="shared" ca="1" si="4"/>
        <v xml:space="preserve"> </v>
      </c>
      <c r="L40" s="313" t="str">
        <f t="shared" ca="1" si="5"/>
        <v xml:space="preserve"> </v>
      </c>
      <c r="N40" s="65">
        <v>34</v>
      </c>
      <c r="O40" s="68"/>
      <c r="P40" s="38"/>
      <c r="Q40" s="76"/>
      <c r="R40" s="77"/>
      <c r="S40" s="38"/>
      <c r="T40" s="72"/>
      <c r="U40" s="68"/>
      <c r="V40" s="38"/>
      <c r="W40" s="76"/>
      <c r="X40" s="68"/>
      <c r="Y40" s="38"/>
      <c r="Z40" s="76"/>
      <c r="AA40" s="68"/>
      <c r="AB40" s="38"/>
      <c r="AC40" s="72"/>
      <c r="AD40" s="68"/>
      <c r="AE40" s="38"/>
      <c r="AF40" s="72"/>
    </row>
    <row r="41" spans="1:32" ht="20.100000000000001" customHeight="1">
      <c r="A41" s="3">
        <v>35</v>
      </c>
      <c r="B41" s="33" t="str">
        <f t="shared" ca="1" si="0"/>
        <v/>
      </c>
      <c r="C41" s="8"/>
      <c r="D41" s="33" t="str">
        <f t="shared" ca="1" si="1"/>
        <v/>
      </c>
      <c r="E41" s="2"/>
      <c r="F41" s="33" t="str">
        <f t="shared" ca="1" si="2"/>
        <v/>
      </c>
      <c r="G41" s="45"/>
      <c r="H41" s="19"/>
      <c r="I41" s="36">
        <v>35</v>
      </c>
      <c r="J41" s="312" t="str">
        <f t="shared" ca="1" si="3"/>
        <v xml:space="preserve"> </v>
      </c>
      <c r="K41" s="104" t="str">
        <f t="shared" ca="1" si="4"/>
        <v xml:space="preserve"> </v>
      </c>
      <c r="L41" s="313" t="str">
        <f t="shared" ca="1" si="5"/>
        <v xml:space="preserve"> </v>
      </c>
      <c r="N41" s="78">
        <v>35</v>
      </c>
      <c r="O41" s="67"/>
      <c r="P41" s="37"/>
      <c r="Q41" s="75"/>
      <c r="R41" s="67"/>
      <c r="S41" s="37"/>
      <c r="T41" s="71"/>
      <c r="U41" s="69"/>
      <c r="V41" s="40"/>
      <c r="W41" s="82"/>
      <c r="X41" s="69"/>
      <c r="Y41" s="40"/>
      <c r="Z41" s="82"/>
      <c r="AA41" s="69"/>
      <c r="AB41" s="40"/>
      <c r="AC41" s="73"/>
      <c r="AD41" s="69"/>
      <c r="AE41" s="40"/>
      <c r="AF41" s="73"/>
    </row>
    <row r="42" spans="1:32" ht="20.100000000000001" customHeight="1" thickBot="1">
      <c r="A42" s="3">
        <v>36</v>
      </c>
      <c r="B42" s="33" t="str">
        <f t="shared" ca="1" si="0"/>
        <v/>
      </c>
      <c r="C42" s="8"/>
      <c r="D42" s="33" t="str">
        <f t="shared" ca="1" si="1"/>
        <v/>
      </c>
      <c r="E42" s="2"/>
      <c r="F42" s="33" t="str">
        <f t="shared" ca="1" si="2"/>
        <v/>
      </c>
      <c r="G42" s="45"/>
      <c r="H42" s="19"/>
      <c r="I42" s="36">
        <v>36</v>
      </c>
      <c r="J42" s="312" t="str">
        <f t="shared" ca="1" si="3"/>
        <v xml:space="preserve"> </v>
      </c>
      <c r="K42" s="104" t="str">
        <f t="shared" ca="1" si="4"/>
        <v xml:space="preserve"> </v>
      </c>
      <c r="L42" s="313" t="str">
        <f t="shared" ca="1" si="5"/>
        <v xml:space="preserve"> </v>
      </c>
      <c r="N42" s="65">
        <v>36</v>
      </c>
      <c r="O42" s="68"/>
      <c r="P42" s="38"/>
      <c r="Q42" s="76"/>
      <c r="R42" s="77"/>
      <c r="S42" s="38"/>
      <c r="T42" s="72"/>
      <c r="U42" s="68"/>
      <c r="V42" s="38"/>
      <c r="W42" s="76"/>
      <c r="X42" s="68"/>
      <c r="Y42" s="38"/>
      <c r="Z42" s="76"/>
      <c r="AA42" s="68"/>
      <c r="AB42" s="38"/>
      <c r="AC42" s="72"/>
      <c r="AD42" s="68"/>
      <c r="AE42" s="38"/>
      <c r="AF42" s="72"/>
    </row>
    <row r="43" spans="1:32" ht="20.100000000000001" customHeight="1">
      <c r="A43" s="3">
        <v>37</v>
      </c>
      <c r="B43" s="33" t="str">
        <f t="shared" ca="1" si="0"/>
        <v/>
      </c>
      <c r="C43" s="8"/>
      <c r="D43" s="33" t="str">
        <f t="shared" ca="1" si="1"/>
        <v/>
      </c>
      <c r="E43" s="2"/>
      <c r="F43" s="33" t="str">
        <f t="shared" ca="1" si="2"/>
        <v/>
      </c>
      <c r="G43" s="45"/>
      <c r="H43" s="19"/>
      <c r="I43" s="36">
        <v>37</v>
      </c>
      <c r="J43" s="312" t="str">
        <f t="shared" ca="1" si="3"/>
        <v xml:space="preserve"> </v>
      </c>
      <c r="K43" s="104" t="str">
        <f t="shared" ca="1" si="4"/>
        <v xml:space="preserve"> </v>
      </c>
      <c r="L43" s="313" t="str">
        <f t="shared" ca="1" si="5"/>
        <v xml:space="preserve"> </v>
      </c>
      <c r="N43" s="78">
        <v>37</v>
      </c>
      <c r="O43" s="67"/>
      <c r="P43" s="37"/>
      <c r="Q43" s="75"/>
      <c r="R43" s="67"/>
      <c r="S43" s="37"/>
      <c r="T43" s="71"/>
      <c r="U43" s="69"/>
      <c r="V43" s="40"/>
      <c r="W43" s="82"/>
      <c r="X43" s="69"/>
      <c r="Y43" s="40"/>
      <c r="Z43" s="82"/>
      <c r="AA43" s="69"/>
      <c r="AB43" s="40"/>
      <c r="AC43" s="73"/>
      <c r="AD43" s="69"/>
      <c r="AE43" s="40"/>
      <c r="AF43" s="73"/>
    </row>
    <row r="44" spans="1:32" ht="20.100000000000001" customHeight="1" thickBot="1">
      <c r="A44" s="3">
        <v>38</v>
      </c>
      <c r="B44" s="33" t="str">
        <f t="shared" ca="1" si="0"/>
        <v/>
      </c>
      <c r="C44" s="8"/>
      <c r="D44" s="33" t="str">
        <f t="shared" ca="1" si="1"/>
        <v/>
      </c>
      <c r="E44" s="2"/>
      <c r="F44" s="33" t="str">
        <f t="shared" ca="1" si="2"/>
        <v/>
      </c>
      <c r="G44" s="45"/>
      <c r="H44" s="19"/>
      <c r="I44" s="36">
        <v>38</v>
      </c>
      <c r="J44" s="312" t="str">
        <f t="shared" ca="1" si="3"/>
        <v xml:space="preserve"> </v>
      </c>
      <c r="K44" s="104" t="str">
        <f t="shared" ca="1" si="4"/>
        <v xml:space="preserve"> </v>
      </c>
      <c r="L44" s="313" t="str">
        <f t="shared" ca="1" si="5"/>
        <v xml:space="preserve"> </v>
      </c>
      <c r="N44" s="65">
        <v>38</v>
      </c>
      <c r="O44" s="68"/>
      <c r="P44" s="38"/>
      <c r="Q44" s="76"/>
      <c r="R44" s="77"/>
      <c r="S44" s="38"/>
      <c r="T44" s="72"/>
      <c r="U44" s="68"/>
      <c r="V44" s="38"/>
      <c r="W44" s="76"/>
      <c r="X44" s="68"/>
      <c r="Y44" s="38"/>
      <c r="Z44" s="76"/>
      <c r="AA44" s="68"/>
      <c r="AB44" s="38"/>
      <c r="AC44" s="72"/>
      <c r="AD44" s="68"/>
      <c r="AE44" s="38"/>
      <c r="AF44" s="72"/>
    </row>
    <row r="45" spans="1:32" ht="20.100000000000001" customHeight="1">
      <c r="A45" s="3">
        <v>39</v>
      </c>
      <c r="B45" s="33" t="str">
        <f t="shared" ca="1" si="0"/>
        <v/>
      </c>
      <c r="C45" s="8"/>
      <c r="D45" s="33" t="str">
        <f t="shared" ca="1" si="1"/>
        <v/>
      </c>
      <c r="E45" s="2"/>
      <c r="F45" s="33" t="str">
        <f t="shared" ca="1" si="2"/>
        <v/>
      </c>
      <c r="G45" s="45"/>
      <c r="H45" s="19"/>
      <c r="I45" s="36">
        <v>39</v>
      </c>
      <c r="J45" s="312" t="str">
        <f t="shared" ca="1" si="3"/>
        <v xml:space="preserve"> </v>
      </c>
      <c r="K45" s="104" t="str">
        <f t="shared" ca="1" si="4"/>
        <v xml:space="preserve"> </v>
      </c>
      <c r="L45" s="313" t="str">
        <f t="shared" ca="1" si="5"/>
        <v xml:space="preserve"> </v>
      </c>
      <c r="N45" s="78">
        <v>39</v>
      </c>
      <c r="O45" s="67"/>
      <c r="P45" s="37"/>
      <c r="Q45" s="75"/>
      <c r="R45" s="67"/>
      <c r="S45" s="37"/>
      <c r="T45" s="71"/>
      <c r="U45" s="69"/>
      <c r="V45" s="40"/>
      <c r="W45" s="82"/>
      <c r="X45" s="69"/>
      <c r="Y45" s="40"/>
      <c r="Z45" s="82"/>
      <c r="AA45" s="69"/>
      <c r="AB45" s="40"/>
      <c r="AC45" s="73"/>
      <c r="AD45" s="69"/>
      <c r="AE45" s="40"/>
      <c r="AF45" s="73"/>
    </row>
    <row r="46" spans="1:32" ht="20.100000000000001" customHeight="1" thickBot="1">
      <c r="A46" s="3">
        <v>40</v>
      </c>
      <c r="B46" s="33" t="str">
        <f t="shared" ca="1" si="0"/>
        <v/>
      </c>
      <c r="C46" s="8"/>
      <c r="D46" s="33" t="str">
        <f t="shared" ca="1" si="1"/>
        <v/>
      </c>
      <c r="E46" s="2"/>
      <c r="F46" s="33" t="str">
        <f t="shared" ca="1" si="2"/>
        <v/>
      </c>
      <c r="G46" s="45"/>
      <c r="H46" s="19"/>
      <c r="I46" s="36">
        <v>40</v>
      </c>
      <c r="J46" s="312" t="str">
        <f t="shared" ca="1" si="3"/>
        <v xml:space="preserve"> </v>
      </c>
      <c r="K46" s="104" t="str">
        <f t="shared" ca="1" si="4"/>
        <v xml:space="preserve"> </v>
      </c>
      <c r="L46" s="313" t="str">
        <f t="shared" ca="1" si="5"/>
        <v xml:space="preserve"> </v>
      </c>
      <c r="N46" s="65">
        <v>40</v>
      </c>
      <c r="O46" s="68"/>
      <c r="P46" s="38"/>
      <c r="Q46" s="76"/>
      <c r="R46" s="77"/>
      <c r="S46" s="38"/>
      <c r="T46" s="72"/>
      <c r="U46" s="68"/>
      <c r="V46" s="38"/>
      <c r="W46" s="76"/>
      <c r="X46" s="68"/>
      <c r="Y46" s="38"/>
      <c r="Z46" s="76"/>
      <c r="AA46" s="68"/>
      <c r="AB46" s="38"/>
      <c r="AC46" s="72"/>
      <c r="AD46" s="68"/>
      <c r="AE46" s="38"/>
      <c r="AF46" s="72"/>
    </row>
    <row r="47" spans="1:32" ht="20.100000000000001" customHeight="1">
      <c r="A47" s="3">
        <v>41</v>
      </c>
      <c r="B47" s="33" t="str">
        <f t="shared" ca="1" si="0"/>
        <v/>
      </c>
      <c r="C47" s="8"/>
      <c r="D47" s="33" t="str">
        <f t="shared" ca="1" si="1"/>
        <v/>
      </c>
      <c r="E47" s="2"/>
      <c r="F47" s="33" t="str">
        <f t="shared" ca="1" si="2"/>
        <v/>
      </c>
      <c r="G47" s="45"/>
      <c r="H47" s="19"/>
      <c r="I47" s="36">
        <v>41</v>
      </c>
      <c r="J47" s="312" t="str">
        <f t="shared" ca="1" si="3"/>
        <v xml:space="preserve"> </v>
      </c>
      <c r="K47" s="104" t="str">
        <f t="shared" ca="1" si="4"/>
        <v xml:space="preserve"> </v>
      </c>
      <c r="L47" s="313" t="str">
        <f t="shared" ca="1" si="5"/>
        <v xml:space="preserve"> </v>
      </c>
      <c r="N47" s="78">
        <v>41</v>
      </c>
      <c r="O47" s="67"/>
      <c r="P47" s="37"/>
      <c r="Q47" s="75"/>
      <c r="R47" s="67"/>
      <c r="S47" s="37"/>
      <c r="T47" s="71"/>
      <c r="U47" s="69"/>
      <c r="V47" s="40"/>
      <c r="W47" s="82"/>
      <c r="X47" s="69"/>
      <c r="Y47" s="40"/>
      <c r="Z47" s="82"/>
      <c r="AA47" s="69"/>
      <c r="AB47" s="40"/>
      <c r="AC47" s="73"/>
      <c r="AD47" s="69"/>
      <c r="AE47" s="40"/>
      <c r="AF47" s="73"/>
    </row>
    <row r="48" spans="1:32" ht="20.100000000000001" customHeight="1" thickBot="1">
      <c r="A48" s="3">
        <v>42</v>
      </c>
      <c r="B48" s="33" t="str">
        <f t="shared" ca="1" si="0"/>
        <v/>
      </c>
      <c r="C48" s="8"/>
      <c r="D48" s="33" t="str">
        <f t="shared" ca="1" si="1"/>
        <v/>
      </c>
      <c r="E48" s="2"/>
      <c r="F48" s="33" t="str">
        <f t="shared" ca="1" si="2"/>
        <v/>
      </c>
      <c r="G48" s="45"/>
      <c r="H48" s="19"/>
      <c r="I48" s="36">
        <v>42</v>
      </c>
      <c r="J48" s="312" t="str">
        <f t="shared" ca="1" si="3"/>
        <v xml:space="preserve"> </v>
      </c>
      <c r="K48" s="104" t="str">
        <f t="shared" ca="1" si="4"/>
        <v xml:space="preserve"> </v>
      </c>
      <c r="L48" s="313" t="str">
        <f t="shared" ca="1" si="5"/>
        <v xml:space="preserve"> </v>
      </c>
      <c r="N48" s="65">
        <v>42</v>
      </c>
      <c r="O48" s="68"/>
      <c r="P48" s="38"/>
      <c r="Q48" s="76"/>
      <c r="R48" s="77"/>
      <c r="S48" s="38"/>
      <c r="T48" s="72"/>
      <c r="U48" s="68"/>
      <c r="V48" s="38"/>
      <c r="W48" s="76"/>
      <c r="X48" s="68"/>
      <c r="Y48" s="38"/>
      <c r="Z48" s="76"/>
      <c r="AA48" s="68"/>
      <c r="AB48" s="38"/>
      <c r="AC48" s="72"/>
      <c r="AD48" s="68"/>
      <c r="AE48" s="38"/>
      <c r="AF48" s="72"/>
    </row>
    <row r="49" spans="1:32" ht="20.100000000000001" customHeight="1">
      <c r="A49" s="3">
        <v>43</v>
      </c>
      <c r="B49" s="33" t="str">
        <f t="shared" ca="1" si="0"/>
        <v/>
      </c>
      <c r="C49" s="8"/>
      <c r="D49" s="33" t="str">
        <f t="shared" ca="1" si="1"/>
        <v/>
      </c>
      <c r="E49" s="2"/>
      <c r="F49" s="33" t="str">
        <f t="shared" ca="1" si="2"/>
        <v/>
      </c>
      <c r="G49" s="45"/>
      <c r="H49" s="19"/>
      <c r="I49" s="36">
        <v>43</v>
      </c>
      <c r="J49" s="312" t="str">
        <f t="shared" ca="1" si="3"/>
        <v xml:space="preserve"> </v>
      </c>
      <c r="K49" s="104" t="str">
        <f t="shared" ca="1" si="4"/>
        <v xml:space="preserve"> </v>
      </c>
      <c r="L49" s="313" t="str">
        <f t="shared" ca="1" si="5"/>
        <v xml:space="preserve"> </v>
      </c>
      <c r="N49" s="64">
        <v>43</v>
      </c>
      <c r="O49" s="67"/>
      <c r="P49" s="37"/>
      <c r="Q49" s="75"/>
      <c r="R49" s="67"/>
      <c r="S49" s="37"/>
      <c r="T49" s="71"/>
      <c r="U49" s="69"/>
      <c r="V49" s="40"/>
      <c r="W49" s="82"/>
      <c r="X49" s="69"/>
      <c r="Y49" s="40"/>
      <c r="Z49" s="82"/>
      <c r="AA49" s="69"/>
      <c r="AB49" s="40"/>
      <c r="AC49" s="73"/>
      <c r="AD49" s="69"/>
      <c r="AE49" s="40"/>
      <c r="AF49" s="73"/>
    </row>
    <row r="50" spans="1:32" ht="20.100000000000001" customHeight="1" thickBot="1">
      <c r="A50" s="3">
        <v>44</v>
      </c>
      <c r="B50" s="33" t="str">
        <f t="shared" ca="1" si="0"/>
        <v/>
      </c>
      <c r="C50" s="8"/>
      <c r="D50" s="33" t="str">
        <f t="shared" ca="1" si="1"/>
        <v/>
      </c>
      <c r="E50" s="2"/>
      <c r="F50" s="33" t="str">
        <f t="shared" ca="1" si="2"/>
        <v/>
      </c>
      <c r="G50" s="45"/>
      <c r="H50" s="16"/>
      <c r="I50" s="36">
        <v>44</v>
      </c>
      <c r="J50" s="312" t="str">
        <f t="shared" ca="1" si="3"/>
        <v xml:space="preserve"> </v>
      </c>
      <c r="K50" s="104" t="str">
        <f t="shared" ca="1" si="4"/>
        <v xml:space="preserve"> </v>
      </c>
      <c r="L50" s="313" t="str">
        <f t="shared" ca="1" si="5"/>
        <v xml:space="preserve"> </v>
      </c>
      <c r="M50" s="79"/>
      <c r="N50" s="65">
        <v>44</v>
      </c>
      <c r="O50" s="68"/>
      <c r="P50" s="38"/>
      <c r="Q50" s="76"/>
      <c r="R50" s="77"/>
      <c r="S50" s="38"/>
      <c r="T50" s="72"/>
      <c r="U50" s="68"/>
      <c r="V50" s="38"/>
      <c r="W50" s="76"/>
      <c r="X50" s="68"/>
      <c r="Y50" s="38"/>
      <c r="Z50" s="76"/>
      <c r="AA50" s="68"/>
      <c r="AB50" s="38"/>
      <c r="AC50" s="72"/>
      <c r="AD50" s="68"/>
      <c r="AE50" s="38"/>
      <c r="AF50" s="72"/>
    </row>
    <row r="51" spans="1:32" ht="20.100000000000001" customHeight="1">
      <c r="A51" s="3">
        <v>45</v>
      </c>
      <c r="B51" s="33" t="str">
        <f t="shared" ca="1" si="0"/>
        <v/>
      </c>
      <c r="C51" s="8"/>
      <c r="D51" s="33" t="str">
        <f t="shared" ca="1" si="1"/>
        <v/>
      </c>
      <c r="E51" s="2"/>
      <c r="F51" s="33" t="str">
        <f t="shared" ca="1" si="2"/>
        <v/>
      </c>
      <c r="G51" s="45"/>
      <c r="H51" s="16"/>
      <c r="I51" s="36">
        <v>45</v>
      </c>
      <c r="J51" s="312" t="str">
        <f t="shared" ca="1" si="3"/>
        <v xml:space="preserve"> </v>
      </c>
      <c r="K51" s="104" t="str">
        <f t="shared" ca="1" si="4"/>
        <v xml:space="preserve"> </v>
      </c>
      <c r="L51" s="313" t="str">
        <f t="shared" ca="1" si="5"/>
        <v xml:space="preserve"> </v>
      </c>
      <c r="M51" s="79"/>
      <c r="N51" s="78">
        <v>45</v>
      </c>
      <c r="O51" s="67"/>
      <c r="P51" s="37"/>
      <c r="Q51" s="75"/>
      <c r="R51" s="67"/>
      <c r="S51" s="37"/>
      <c r="T51" s="71"/>
      <c r="U51" s="69"/>
      <c r="V51" s="40"/>
      <c r="W51" s="82"/>
      <c r="X51" s="69"/>
      <c r="Y51" s="40"/>
      <c r="Z51" s="82"/>
      <c r="AA51" s="69"/>
      <c r="AB51" s="40"/>
      <c r="AC51" s="73"/>
      <c r="AD51" s="69"/>
      <c r="AE51" s="40"/>
      <c r="AF51" s="73"/>
    </row>
    <row r="52" spans="1:32" ht="20.100000000000001" customHeight="1" thickBot="1">
      <c r="A52" s="3">
        <v>46</v>
      </c>
      <c r="B52" s="33" t="str">
        <f t="shared" ca="1" si="0"/>
        <v/>
      </c>
      <c r="C52" s="8"/>
      <c r="D52" s="33" t="str">
        <f t="shared" ca="1" si="1"/>
        <v/>
      </c>
      <c r="E52" s="2"/>
      <c r="F52" s="33" t="str">
        <f t="shared" ca="1" si="2"/>
        <v/>
      </c>
      <c r="G52" s="45"/>
      <c r="H52" s="16"/>
      <c r="I52" s="36">
        <v>46</v>
      </c>
      <c r="J52" s="312" t="str">
        <f t="shared" ca="1" si="3"/>
        <v xml:space="preserve"> </v>
      </c>
      <c r="K52" s="104" t="str">
        <f t="shared" ca="1" si="4"/>
        <v xml:space="preserve"> </v>
      </c>
      <c r="L52" s="313" t="str">
        <f t="shared" ca="1" si="5"/>
        <v xml:space="preserve"> </v>
      </c>
      <c r="M52" s="80"/>
      <c r="N52" s="65">
        <v>46</v>
      </c>
      <c r="O52" s="68"/>
      <c r="P52" s="38"/>
      <c r="Q52" s="76"/>
      <c r="R52" s="77"/>
      <c r="S52" s="38"/>
      <c r="T52" s="72"/>
      <c r="U52" s="68"/>
      <c r="V52" s="38"/>
      <c r="W52" s="76"/>
      <c r="X52" s="68"/>
      <c r="Y52" s="38"/>
      <c r="Z52" s="76"/>
      <c r="AA52" s="68"/>
      <c r="AB52" s="38"/>
      <c r="AC52" s="72"/>
      <c r="AD52" s="68"/>
      <c r="AE52" s="38"/>
      <c r="AF52" s="72"/>
    </row>
    <row r="53" spans="1:32" ht="20.100000000000001" customHeight="1">
      <c r="A53" s="3">
        <v>47</v>
      </c>
      <c r="B53" s="33" t="str">
        <f t="shared" ca="1" si="0"/>
        <v/>
      </c>
      <c r="C53" s="8"/>
      <c r="D53" s="33" t="str">
        <f t="shared" ca="1" si="1"/>
        <v/>
      </c>
      <c r="E53" s="2"/>
      <c r="F53" s="33" t="str">
        <f t="shared" ca="1" si="2"/>
        <v/>
      </c>
      <c r="G53" s="45"/>
      <c r="H53" s="16"/>
      <c r="I53" s="36">
        <v>47</v>
      </c>
      <c r="J53" s="312" t="str">
        <f t="shared" ca="1" si="3"/>
        <v xml:space="preserve"> </v>
      </c>
      <c r="K53" s="104" t="str">
        <f t="shared" ca="1" si="4"/>
        <v xml:space="preserve"> </v>
      </c>
      <c r="L53" s="313" t="str">
        <f t="shared" ca="1" si="5"/>
        <v xml:space="preserve"> </v>
      </c>
      <c r="N53" s="64">
        <v>47</v>
      </c>
      <c r="O53" s="67"/>
      <c r="P53" s="37"/>
      <c r="Q53" s="75"/>
      <c r="R53" s="67"/>
      <c r="S53" s="37"/>
      <c r="T53" s="71"/>
      <c r="U53" s="69"/>
      <c r="V53" s="40"/>
      <c r="W53" s="82"/>
      <c r="X53" s="69"/>
      <c r="Y53" s="40"/>
      <c r="Z53" s="82"/>
      <c r="AA53" s="69"/>
      <c r="AB53" s="40"/>
      <c r="AC53" s="73"/>
      <c r="AD53" s="69"/>
      <c r="AE53" s="40"/>
      <c r="AF53" s="73"/>
    </row>
    <row r="54" spans="1:32" ht="20.100000000000001" customHeight="1" thickBot="1">
      <c r="A54" s="3">
        <v>48</v>
      </c>
      <c r="B54" s="33" t="str">
        <f t="shared" ca="1" si="0"/>
        <v/>
      </c>
      <c r="C54" s="8"/>
      <c r="D54" s="33" t="str">
        <f t="shared" ca="1" si="1"/>
        <v/>
      </c>
      <c r="E54" s="2"/>
      <c r="F54" s="33" t="str">
        <f t="shared" ca="1" si="2"/>
        <v/>
      </c>
      <c r="G54" s="45"/>
      <c r="H54" s="16"/>
      <c r="I54" s="36">
        <v>48</v>
      </c>
      <c r="J54" s="312" t="str">
        <f t="shared" ca="1" si="3"/>
        <v xml:space="preserve"> </v>
      </c>
      <c r="K54" s="104" t="str">
        <f t="shared" ca="1" si="4"/>
        <v xml:space="preserve"> </v>
      </c>
      <c r="L54" s="313" t="str">
        <f t="shared" ca="1" si="5"/>
        <v xml:space="preserve"> </v>
      </c>
      <c r="N54" s="65">
        <v>48</v>
      </c>
      <c r="O54" s="68"/>
      <c r="P54" s="38"/>
      <c r="Q54" s="76"/>
      <c r="R54" s="77"/>
      <c r="S54" s="38"/>
      <c r="T54" s="72"/>
      <c r="U54" s="68"/>
      <c r="V54" s="38"/>
      <c r="W54" s="76"/>
      <c r="X54" s="68"/>
      <c r="Y54" s="38"/>
      <c r="Z54" s="76"/>
      <c r="AA54" s="68"/>
      <c r="AB54" s="38"/>
      <c r="AC54" s="72"/>
      <c r="AD54" s="68"/>
      <c r="AE54" s="38"/>
      <c r="AF54" s="72"/>
    </row>
    <row r="55" spans="1:32" ht="20.100000000000001" customHeight="1">
      <c r="A55" s="3">
        <v>49</v>
      </c>
      <c r="B55" s="33" t="str">
        <f t="shared" ca="1" si="0"/>
        <v/>
      </c>
      <c r="C55" s="8"/>
      <c r="D55" s="33" t="str">
        <f t="shared" ca="1" si="1"/>
        <v/>
      </c>
      <c r="E55" s="2"/>
      <c r="F55" s="33" t="str">
        <f t="shared" ca="1" si="2"/>
        <v/>
      </c>
      <c r="G55" s="45"/>
      <c r="H55" s="16"/>
      <c r="I55" s="36">
        <v>49</v>
      </c>
      <c r="J55" s="312" t="str">
        <f t="shared" ca="1" si="3"/>
        <v xml:space="preserve"> </v>
      </c>
      <c r="K55" s="104" t="str">
        <f t="shared" ca="1" si="4"/>
        <v xml:space="preserve"> </v>
      </c>
      <c r="L55" s="313" t="str">
        <f t="shared" ca="1" si="5"/>
        <v xml:space="preserve"> </v>
      </c>
      <c r="M55" s="79"/>
      <c r="N55" s="78">
        <v>49</v>
      </c>
      <c r="O55" s="67"/>
      <c r="P55" s="37"/>
      <c r="Q55" s="75"/>
      <c r="R55" s="67"/>
      <c r="S55" s="37"/>
      <c r="T55" s="71"/>
      <c r="U55" s="69"/>
      <c r="V55" s="40"/>
      <c r="W55" s="82"/>
      <c r="X55" s="69"/>
      <c r="Y55" s="40"/>
      <c r="Z55" s="82"/>
      <c r="AA55" s="69"/>
      <c r="AB55" s="40"/>
      <c r="AC55" s="73"/>
      <c r="AD55" s="69"/>
      <c r="AE55" s="40"/>
      <c r="AF55" s="73"/>
    </row>
    <row r="56" spans="1:32" ht="20.100000000000001" customHeight="1" thickBot="1">
      <c r="A56" s="3">
        <v>50</v>
      </c>
      <c r="B56" s="33" t="str">
        <f t="shared" ca="1" si="0"/>
        <v/>
      </c>
      <c r="C56" s="8"/>
      <c r="D56" s="33" t="str">
        <f t="shared" ca="1" si="1"/>
        <v/>
      </c>
      <c r="E56" s="2"/>
      <c r="F56" s="33" t="str">
        <f t="shared" ca="1" si="2"/>
        <v/>
      </c>
      <c r="G56" s="45"/>
      <c r="H56" s="16"/>
      <c r="I56" s="36">
        <v>50</v>
      </c>
      <c r="J56" s="312" t="str">
        <f t="shared" ca="1" si="3"/>
        <v xml:space="preserve"> </v>
      </c>
      <c r="K56" s="104" t="str">
        <f t="shared" ca="1" si="4"/>
        <v xml:space="preserve"> </v>
      </c>
      <c r="L56" s="313" t="str">
        <f t="shared" ca="1" si="5"/>
        <v xml:space="preserve"> </v>
      </c>
      <c r="M56" s="80"/>
      <c r="N56" s="65">
        <v>50</v>
      </c>
      <c r="O56" s="68"/>
      <c r="P56" s="38"/>
      <c r="Q56" s="76"/>
      <c r="R56" s="77"/>
      <c r="S56" s="38"/>
      <c r="T56" s="72"/>
      <c r="U56" s="68"/>
      <c r="V56" s="38"/>
      <c r="W56" s="76"/>
      <c r="X56" s="68"/>
      <c r="Y56" s="38"/>
      <c r="Z56" s="76"/>
      <c r="AA56" s="68"/>
      <c r="AB56" s="38"/>
      <c r="AC56" s="72"/>
      <c r="AD56" s="68"/>
      <c r="AE56" s="38"/>
      <c r="AF56" s="72"/>
    </row>
    <row r="57" spans="1:32" ht="20.100000000000001" customHeight="1">
      <c r="A57" s="3">
        <v>51</v>
      </c>
      <c r="B57" s="33" t="str">
        <f t="shared" ca="1" si="0"/>
        <v/>
      </c>
      <c r="C57" s="8"/>
      <c r="D57" s="33" t="str">
        <f t="shared" ca="1" si="1"/>
        <v/>
      </c>
      <c r="E57" s="2"/>
      <c r="F57" s="33" t="str">
        <f t="shared" ca="1" si="2"/>
        <v/>
      </c>
      <c r="G57" s="45"/>
      <c r="H57" s="16"/>
      <c r="I57" s="36">
        <v>51</v>
      </c>
      <c r="J57" s="312" t="str">
        <f t="shared" ca="1" si="3"/>
        <v xml:space="preserve"> </v>
      </c>
      <c r="K57" s="104" t="str">
        <f t="shared" ca="1" si="4"/>
        <v xml:space="preserve"> </v>
      </c>
      <c r="L57" s="313" t="str">
        <f t="shared" ca="1" si="5"/>
        <v xml:space="preserve"> </v>
      </c>
      <c r="N57" s="64">
        <v>51</v>
      </c>
      <c r="O57" s="67"/>
      <c r="P57" s="37"/>
      <c r="Q57" s="75"/>
      <c r="R57" s="67"/>
      <c r="S57" s="37"/>
      <c r="T57" s="71"/>
      <c r="U57" s="69"/>
      <c r="V57" s="40"/>
      <c r="W57" s="82"/>
      <c r="X57" s="69"/>
      <c r="Y57" s="40"/>
      <c r="Z57" s="82"/>
      <c r="AA57" s="69"/>
      <c r="AB57" s="40"/>
      <c r="AC57" s="73"/>
      <c r="AD57" s="69"/>
      <c r="AE57" s="40"/>
      <c r="AF57" s="73"/>
    </row>
    <row r="58" spans="1:32" ht="20.100000000000001" customHeight="1" thickBot="1">
      <c r="A58" s="3">
        <v>52</v>
      </c>
      <c r="B58" s="33" t="str">
        <f t="shared" ca="1" si="0"/>
        <v/>
      </c>
      <c r="C58" s="8"/>
      <c r="D58" s="33" t="str">
        <f t="shared" ca="1" si="1"/>
        <v/>
      </c>
      <c r="E58" s="2"/>
      <c r="F58" s="33" t="str">
        <f t="shared" ca="1" si="2"/>
        <v/>
      </c>
      <c r="G58" s="45"/>
      <c r="H58" s="16"/>
      <c r="I58" s="36">
        <v>52</v>
      </c>
      <c r="J58" s="312" t="str">
        <f t="shared" ca="1" si="3"/>
        <v xml:space="preserve"> </v>
      </c>
      <c r="K58" s="104" t="str">
        <f t="shared" ca="1" si="4"/>
        <v xml:space="preserve"> </v>
      </c>
      <c r="L58" s="313" t="str">
        <f t="shared" ca="1" si="5"/>
        <v xml:space="preserve"> </v>
      </c>
      <c r="N58" s="65">
        <v>52</v>
      </c>
      <c r="O58" s="68"/>
      <c r="P58" s="38"/>
      <c r="Q58" s="76"/>
      <c r="R58" s="77"/>
      <c r="S58" s="38"/>
      <c r="T58" s="72"/>
      <c r="U58" s="68"/>
      <c r="V58" s="38"/>
      <c r="W58" s="76"/>
      <c r="X58" s="68"/>
      <c r="Y58" s="38"/>
      <c r="Z58" s="76"/>
      <c r="AA58" s="68"/>
      <c r="AB58" s="38"/>
      <c r="AC58" s="72"/>
      <c r="AD58" s="68"/>
      <c r="AE58" s="38"/>
      <c r="AF58" s="72"/>
    </row>
    <row r="59" spans="1:32" ht="20.100000000000001" customHeight="1">
      <c r="A59" s="3">
        <v>53</v>
      </c>
      <c r="B59" s="33" t="str">
        <f t="shared" ca="1" si="0"/>
        <v/>
      </c>
      <c r="C59" s="8"/>
      <c r="D59" s="33" t="str">
        <f t="shared" ca="1" si="1"/>
        <v/>
      </c>
      <c r="E59" s="2"/>
      <c r="F59" s="33" t="str">
        <f t="shared" ca="1" si="2"/>
        <v/>
      </c>
      <c r="G59" s="45"/>
      <c r="H59" s="16"/>
      <c r="I59" s="36">
        <v>53</v>
      </c>
      <c r="J59" s="312" t="str">
        <f t="shared" ca="1" si="3"/>
        <v xml:space="preserve"> </v>
      </c>
      <c r="K59" s="104" t="str">
        <f t="shared" ca="1" si="4"/>
        <v xml:space="preserve"> </v>
      </c>
      <c r="L59" s="313" t="str">
        <f t="shared" ca="1" si="5"/>
        <v xml:space="preserve"> </v>
      </c>
      <c r="N59" s="78">
        <v>53</v>
      </c>
      <c r="O59" s="67"/>
      <c r="P59" s="37"/>
      <c r="Q59" s="75"/>
      <c r="R59" s="67"/>
      <c r="S59" s="37"/>
      <c r="T59" s="71"/>
      <c r="U59" s="69"/>
      <c r="V59" s="40"/>
      <c r="W59" s="82"/>
      <c r="X59" s="69"/>
      <c r="Y59" s="40"/>
      <c r="Z59" s="82"/>
      <c r="AA59" s="69"/>
      <c r="AB59" s="40"/>
      <c r="AC59" s="73"/>
      <c r="AD59" s="69"/>
      <c r="AE59" s="40"/>
      <c r="AF59" s="73"/>
    </row>
    <row r="60" spans="1:32" ht="20.100000000000001" customHeight="1" thickBot="1">
      <c r="A60" s="3">
        <v>54</v>
      </c>
      <c r="B60" s="33" t="str">
        <f t="shared" ca="1" si="0"/>
        <v/>
      </c>
      <c r="C60" s="8"/>
      <c r="D60" s="33" t="str">
        <f t="shared" ca="1" si="1"/>
        <v/>
      </c>
      <c r="E60" s="2"/>
      <c r="F60" s="33" t="str">
        <f t="shared" ca="1" si="2"/>
        <v/>
      </c>
      <c r="G60" s="45"/>
      <c r="H60" s="19"/>
      <c r="I60" s="36">
        <v>54</v>
      </c>
      <c r="J60" s="312" t="str">
        <f t="shared" ca="1" si="3"/>
        <v xml:space="preserve"> </v>
      </c>
      <c r="K60" s="104" t="str">
        <f t="shared" ca="1" si="4"/>
        <v xml:space="preserve"> </v>
      </c>
      <c r="L60" s="313" t="str">
        <f t="shared" ca="1" si="5"/>
        <v xml:space="preserve"> </v>
      </c>
      <c r="N60" s="65">
        <v>54</v>
      </c>
      <c r="O60" s="68"/>
      <c r="P60" s="38"/>
      <c r="Q60" s="76"/>
      <c r="R60" s="77"/>
      <c r="S60" s="38"/>
      <c r="T60" s="72"/>
      <c r="U60" s="68"/>
      <c r="V60" s="38"/>
      <c r="W60" s="76"/>
      <c r="X60" s="68"/>
      <c r="Y60" s="38"/>
      <c r="Z60" s="76"/>
      <c r="AA60" s="68"/>
      <c r="AB60" s="38"/>
      <c r="AC60" s="72"/>
      <c r="AD60" s="68"/>
      <c r="AE60" s="38"/>
      <c r="AF60" s="72"/>
    </row>
    <row r="61" spans="1:32" ht="20.100000000000001" customHeight="1">
      <c r="A61" s="3">
        <v>55</v>
      </c>
      <c r="B61" s="33" t="str">
        <f t="shared" ca="1" si="0"/>
        <v/>
      </c>
      <c r="C61" s="8"/>
      <c r="D61" s="33" t="str">
        <f t="shared" ca="1" si="1"/>
        <v/>
      </c>
      <c r="E61" s="2"/>
      <c r="F61" s="33" t="str">
        <f t="shared" ca="1" si="2"/>
        <v/>
      </c>
      <c r="G61" s="45"/>
      <c r="H61" s="19"/>
      <c r="I61" s="36">
        <v>55</v>
      </c>
      <c r="J61" s="312" t="str">
        <f t="shared" ca="1" si="3"/>
        <v xml:space="preserve"> </v>
      </c>
      <c r="K61" s="104" t="str">
        <f t="shared" ca="1" si="4"/>
        <v xml:space="preserve"> </v>
      </c>
      <c r="L61" s="313" t="str">
        <f t="shared" ca="1" si="5"/>
        <v xml:space="preserve"> </v>
      </c>
      <c r="N61" s="64">
        <v>55</v>
      </c>
      <c r="O61" s="67"/>
      <c r="P61" s="37"/>
      <c r="Q61" s="75"/>
      <c r="R61" s="67"/>
      <c r="S61" s="37"/>
      <c r="T61" s="71"/>
      <c r="U61" s="69"/>
      <c r="V61" s="40"/>
      <c r="W61" s="82"/>
      <c r="X61" s="69"/>
      <c r="Y61" s="40"/>
      <c r="Z61" s="82"/>
      <c r="AA61" s="69"/>
      <c r="AB61" s="40"/>
      <c r="AC61" s="73"/>
      <c r="AD61" s="69"/>
      <c r="AE61" s="40"/>
      <c r="AF61" s="73"/>
    </row>
    <row r="62" spans="1:32" ht="20.100000000000001" customHeight="1" thickBot="1">
      <c r="A62" s="3">
        <v>56</v>
      </c>
      <c r="B62" s="33" t="str">
        <f t="shared" ca="1" si="0"/>
        <v/>
      </c>
      <c r="C62" s="8"/>
      <c r="D62" s="33" t="str">
        <f t="shared" ca="1" si="1"/>
        <v/>
      </c>
      <c r="E62" s="2"/>
      <c r="F62" s="33" t="str">
        <f t="shared" ca="1" si="2"/>
        <v/>
      </c>
      <c r="G62" s="45"/>
      <c r="H62" s="19"/>
      <c r="I62" s="36">
        <v>56</v>
      </c>
      <c r="J62" s="312" t="str">
        <f t="shared" ca="1" si="3"/>
        <v xml:space="preserve"> </v>
      </c>
      <c r="K62" s="104" t="str">
        <f t="shared" ca="1" si="4"/>
        <v xml:space="preserve"> </v>
      </c>
      <c r="L62" s="313" t="str">
        <f t="shared" ca="1" si="5"/>
        <v xml:space="preserve"> </v>
      </c>
      <c r="N62" s="65">
        <v>56</v>
      </c>
      <c r="O62" s="68"/>
      <c r="P62" s="38"/>
      <c r="Q62" s="76"/>
      <c r="R62" s="77"/>
      <c r="S62" s="38"/>
      <c r="T62" s="72"/>
      <c r="U62" s="68"/>
      <c r="V62" s="38"/>
      <c r="W62" s="76"/>
      <c r="X62" s="68"/>
      <c r="Y62" s="38"/>
      <c r="Z62" s="76"/>
      <c r="AA62" s="68"/>
      <c r="AB62" s="38"/>
      <c r="AC62" s="72"/>
      <c r="AD62" s="68"/>
      <c r="AE62" s="38"/>
      <c r="AF62" s="72"/>
    </row>
    <row r="63" spans="1:32" ht="20.100000000000001" customHeight="1">
      <c r="A63" s="3">
        <v>57</v>
      </c>
      <c r="B63" s="33" t="str">
        <f t="shared" ca="1" si="0"/>
        <v/>
      </c>
      <c r="C63" s="8"/>
      <c r="D63" s="33" t="str">
        <f t="shared" ca="1" si="1"/>
        <v/>
      </c>
      <c r="E63" s="2"/>
      <c r="F63" s="33" t="str">
        <f t="shared" ca="1" si="2"/>
        <v/>
      </c>
      <c r="G63" s="45"/>
      <c r="H63" s="19"/>
      <c r="I63" s="36">
        <v>57</v>
      </c>
      <c r="J63" s="312" t="str">
        <f t="shared" ca="1" si="3"/>
        <v xml:space="preserve"> </v>
      </c>
      <c r="K63" s="104" t="str">
        <f t="shared" ca="1" si="4"/>
        <v xml:space="preserve"> </v>
      </c>
      <c r="L63" s="313" t="str">
        <f t="shared" ca="1" si="5"/>
        <v xml:space="preserve"> </v>
      </c>
      <c r="N63" s="78">
        <v>57</v>
      </c>
      <c r="O63" s="67"/>
      <c r="P63" s="37"/>
      <c r="Q63" s="75"/>
      <c r="R63" s="67"/>
      <c r="S63" s="37"/>
      <c r="T63" s="71"/>
      <c r="U63" s="69"/>
      <c r="V63" s="40"/>
      <c r="W63" s="82"/>
      <c r="X63" s="69"/>
      <c r="Y63" s="40"/>
      <c r="Z63" s="82"/>
      <c r="AA63" s="69"/>
      <c r="AB63" s="40"/>
      <c r="AC63" s="73"/>
      <c r="AD63" s="69"/>
      <c r="AE63" s="40"/>
      <c r="AF63" s="73"/>
    </row>
    <row r="64" spans="1:32" ht="20.100000000000001" customHeight="1" thickBot="1">
      <c r="A64" s="3">
        <v>58</v>
      </c>
      <c r="B64" s="33" t="str">
        <f t="shared" ca="1" si="0"/>
        <v/>
      </c>
      <c r="C64" s="8"/>
      <c r="D64" s="33" t="str">
        <f t="shared" ca="1" si="1"/>
        <v/>
      </c>
      <c r="E64" s="2"/>
      <c r="F64" s="33" t="str">
        <f t="shared" ca="1" si="2"/>
        <v/>
      </c>
      <c r="G64" s="45"/>
      <c r="H64" s="19"/>
      <c r="I64" s="36">
        <v>58</v>
      </c>
      <c r="J64" s="312" t="str">
        <f t="shared" ca="1" si="3"/>
        <v xml:space="preserve"> </v>
      </c>
      <c r="K64" s="104" t="str">
        <f t="shared" ca="1" si="4"/>
        <v xml:space="preserve"> </v>
      </c>
      <c r="L64" s="313" t="str">
        <f t="shared" ca="1" si="5"/>
        <v xml:space="preserve"> </v>
      </c>
      <c r="N64" s="65">
        <v>58</v>
      </c>
      <c r="O64" s="68"/>
      <c r="P64" s="38"/>
      <c r="Q64" s="76"/>
      <c r="R64" s="77"/>
      <c r="S64" s="38"/>
      <c r="T64" s="72"/>
      <c r="U64" s="68"/>
      <c r="V64" s="38"/>
      <c r="W64" s="76"/>
      <c r="X64" s="68"/>
      <c r="Y64" s="38"/>
      <c r="Z64" s="76"/>
      <c r="AA64" s="68"/>
      <c r="AB64" s="38"/>
      <c r="AC64" s="72"/>
      <c r="AD64" s="68"/>
      <c r="AE64" s="38"/>
      <c r="AF64" s="72"/>
    </row>
    <row r="65" spans="1:32" ht="20.100000000000001" customHeight="1">
      <c r="A65" s="3">
        <v>59</v>
      </c>
      <c r="B65" s="33" t="str">
        <f t="shared" ca="1" si="0"/>
        <v/>
      </c>
      <c r="C65" s="8"/>
      <c r="D65" s="33" t="str">
        <f t="shared" ca="1" si="1"/>
        <v/>
      </c>
      <c r="E65" s="2"/>
      <c r="F65" s="33" t="str">
        <f t="shared" ca="1" si="2"/>
        <v/>
      </c>
      <c r="G65" s="45"/>
      <c r="H65" s="19"/>
      <c r="I65" s="36">
        <v>59</v>
      </c>
      <c r="J65" s="312" t="str">
        <f t="shared" ca="1" si="3"/>
        <v xml:space="preserve"> </v>
      </c>
      <c r="K65" s="104" t="str">
        <f t="shared" ca="1" si="4"/>
        <v xml:space="preserve"> </v>
      </c>
      <c r="L65" s="313" t="str">
        <f t="shared" ca="1" si="5"/>
        <v xml:space="preserve"> </v>
      </c>
      <c r="N65" s="78">
        <v>59</v>
      </c>
      <c r="O65" s="67"/>
      <c r="P65" s="37"/>
      <c r="Q65" s="75"/>
      <c r="R65" s="67"/>
      <c r="S65" s="37"/>
      <c r="T65" s="71"/>
      <c r="U65" s="69"/>
      <c r="V65" s="40"/>
      <c r="W65" s="82"/>
      <c r="X65" s="69"/>
      <c r="Y65" s="40"/>
      <c r="Z65" s="82"/>
      <c r="AA65" s="69"/>
      <c r="AB65" s="40"/>
      <c r="AC65" s="73"/>
      <c r="AD65" s="69"/>
      <c r="AE65" s="40"/>
      <c r="AF65" s="73"/>
    </row>
    <row r="66" spans="1:32" ht="20.100000000000001" customHeight="1" thickBot="1">
      <c r="A66" s="5">
        <v>60</v>
      </c>
      <c r="B66" s="33" t="str">
        <f t="shared" ca="1" si="0"/>
        <v/>
      </c>
      <c r="C66" s="290"/>
      <c r="D66" s="33" t="str">
        <f t="shared" ca="1" si="1"/>
        <v/>
      </c>
      <c r="E66" s="291"/>
      <c r="F66" s="33" t="str">
        <f t="shared" ca="1" si="2"/>
        <v/>
      </c>
      <c r="G66" s="292"/>
      <c r="H66" s="16"/>
      <c r="I66" s="36">
        <v>60</v>
      </c>
      <c r="J66" s="303" t="str">
        <f t="shared" ca="1" si="3"/>
        <v xml:space="preserve"> </v>
      </c>
      <c r="K66" s="112" t="str">
        <f t="shared" ca="1" si="4"/>
        <v xml:space="preserve"> </v>
      </c>
      <c r="L66" s="304" t="str">
        <f t="shared" ca="1" si="5"/>
        <v xml:space="preserve"> </v>
      </c>
      <c r="N66" s="65">
        <v>60</v>
      </c>
      <c r="O66" s="68"/>
      <c r="P66" s="38"/>
      <c r="Q66" s="76"/>
      <c r="R66" s="77"/>
      <c r="S66" s="38"/>
      <c r="T66" s="72"/>
      <c r="U66" s="68"/>
      <c r="V66" s="38"/>
      <c r="W66" s="76"/>
      <c r="X66" s="68"/>
      <c r="Y66" s="38"/>
      <c r="Z66" s="76"/>
      <c r="AA66" s="68"/>
      <c r="AB66" s="38"/>
      <c r="AC66" s="72"/>
      <c r="AD66" s="68"/>
      <c r="AE66" s="38"/>
      <c r="AF66" s="72"/>
    </row>
    <row r="67" spans="1:32">
      <c r="B67" s="16"/>
      <c r="C67" s="16"/>
      <c r="D67" s="16"/>
      <c r="E67" s="16"/>
      <c r="F67" s="16"/>
      <c r="G67" s="16"/>
      <c r="H67" s="16"/>
      <c r="W67" s="86"/>
      <c r="Z67" s="86"/>
      <c r="AC67" s="86"/>
      <c r="AF67" s="86"/>
    </row>
    <row r="68" spans="1:32">
      <c r="G68" s="16"/>
      <c r="Q68" s="87"/>
      <c r="T68" s="87"/>
      <c r="W68" s="87"/>
      <c r="Z68" s="87"/>
      <c r="AC68" s="87"/>
      <c r="AF68" s="87"/>
    </row>
    <row r="69" spans="1:32">
      <c r="G69" s="16"/>
      <c r="Q69" s="87"/>
      <c r="T69" s="87"/>
      <c r="W69" s="87"/>
      <c r="Z69" s="87"/>
      <c r="AC69" s="87"/>
      <c r="AF69" s="87"/>
    </row>
  </sheetData>
  <sheetProtection password="CFC3" sheet="1" objects="1" scenarios="1" formatCells="0" formatColumns="0" formatRows="0" insertColumns="0" insertRows="0" insertHyperlinks="0" deleteColumns="0" deleteRows="0" sort="0"/>
  <mergeCells count="10">
    <mergeCell ref="I5:M5"/>
    <mergeCell ref="J2:K2"/>
    <mergeCell ref="D4:G4"/>
    <mergeCell ref="O5:AF5"/>
    <mergeCell ref="AA6:AC6"/>
    <mergeCell ref="AD6:AF6"/>
    <mergeCell ref="O6:Q6"/>
    <mergeCell ref="R6:T6"/>
    <mergeCell ref="U6:W6"/>
    <mergeCell ref="X6:Z6"/>
  </mergeCells>
  <phoneticPr fontId="1" type="noConversion"/>
  <pageMargins left="0.23622047244094491" right="0.23622047244094491" top="0.35433070866141736" bottom="0.51181102362204722" header="0.19685039370078741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A1:AI250"/>
  <sheetViews>
    <sheetView zoomScale="80" zoomScaleNormal="80" workbookViewId="0">
      <selection activeCell="D44" sqref="D44"/>
    </sheetView>
  </sheetViews>
  <sheetFormatPr baseColWidth="10" defaultRowHeight="15.75"/>
  <cols>
    <col min="1" max="1" width="5.28515625" style="27" customWidth="1"/>
    <col min="2" max="2" width="18.7109375" style="119" customWidth="1"/>
    <col min="3" max="3" width="7" style="16" customWidth="1"/>
    <col min="4" max="4" width="5.42578125" style="16" customWidth="1"/>
    <col min="5" max="5" width="7" style="16" customWidth="1"/>
    <col min="6" max="6" width="2.5703125" style="16" customWidth="1"/>
    <col min="7" max="7" width="18.7109375" style="16" customWidth="1"/>
    <col min="8" max="8" width="6.140625" style="16" customWidth="1"/>
    <col min="9" max="9" width="5.140625" style="16" customWidth="1"/>
    <col min="10" max="10" width="4.85546875" style="16" customWidth="1"/>
    <col min="11" max="11" width="2.5703125" style="16" customWidth="1"/>
    <col min="12" max="12" width="18.85546875" style="119" customWidth="1"/>
    <col min="13" max="13" width="6.7109375" style="16" customWidth="1"/>
    <col min="14" max="14" width="5.5703125" style="16" customWidth="1"/>
    <col min="15" max="15" width="4.85546875" style="16" customWidth="1"/>
    <col min="16" max="16" width="2.5703125" style="16" customWidth="1"/>
    <col min="17" max="17" width="18.85546875" style="119" customWidth="1"/>
    <col min="18" max="18" width="6" style="16" customWidth="1"/>
    <col min="19" max="19" width="5" style="16" customWidth="1"/>
    <col min="20" max="20" width="4.42578125" style="16" customWidth="1"/>
    <col min="21" max="21" width="1.7109375" style="16" customWidth="1"/>
    <col min="22" max="22" width="18.7109375" style="16" customWidth="1"/>
    <col min="23" max="23" width="6" style="16" customWidth="1"/>
    <col min="24" max="24" width="5.5703125" style="16" customWidth="1"/>
    <col min="25" max="25" width="4.7109375" style="16" customWidth="1"/>
    <col min="26" max="26" width="2.5703125" style="16" customWidth="1"/>
    <col min="27" max="27" width="18.7109375" style="16" customWidth="1"/>
    <col min="28" max="28" width="6.140625" style="16" customWidth="1"/>
    <col min="29" max="29" width="5.42578125" style="16" customWidth="1"/>
    <col min="30" max="30" width="4.85546875" style="16" customWidth="1"/>
    <col min="31" max="16384" width="11.42578125" style="16"/>
  </cols>
  <sheetData>
    <row r="1" spans="1:35">
      <c r="B1" s="119" t="s">
        <v>15</v>
      </c>
    </row>
    <row r="3" spans="1:35">
      <c r="D3" s="17" t="s">
        <v>30</v>
      </c>
      <c r="E3" s="18"/>
      <c r="F3" s="19"/>
      <c r="G3" s="18"/>
      <c r="H3" s="18"/>
      <c r="M3" s="16" t="s">
        <v>37</v>
      </c>
      <c r="AA3" s="48" t="s">
        <v>31</v>
      </c>
      <c r="AB3" s="48"/>
    </row>
    <row r="5" spans="1:35" ht="16.5" thickBot="1"/>
    <row r="6" spans="1:35" s="23" customFormat="1" ht="21.75" customHeight="1" thickTop="1" thickBot="1">
      <c r="A6" s="27"/>
      <c r="B6" s="342" t="s">
        <v>1</v>
      </c>
      <c r="C6" s="343"/>
      <c r="D6" s="343"/>
      <c r="E6" s="344"/>
      <c r="F6" s="19"/>
      <c r="G6" s="345" t="s">
        <v>2</v>
      </c>
      <c r="H6" s="346"/>
      <c r="I6" s="346"/>
      <c r="J6" s="347"/>
      <c r="K6" s="19"/>
      <c r="L6" s="348" t="s">
        <v>3</v>
      </c>
      <c r="M6" s="349"/>
      <c r="N6" s="349"/>
      <c r="O6" s="350"/>
      <c r="Q6" s="351" t="s">
        <v>4</v>
      </c>
      <c r="R6" s="352"/>
      <c r="S6" s="352"/>
      <c r="T6" s="353"/>
      <c r="V6" s="354" t="s">
        <v>5</v>
      </c>
      <c r="W6" s="355"/>
      <c r="X6" s="355"/>
      <c r="Y6" s="356"/>
      <c r="AA6" s="339" t="s">
        <v>6</v>
      </c>
      <c r="AB6" s="340"/>
      <c r="AC6" s="340"/>
      <c r="AD6" s="341"/>
    </row>
    <row r="7" spans="1:35" ht="16.5" thickTop="1">
      <c r="B7" s="21"/>
      <c r="C7" s="18"/>
      <c r="D7" s="18"/>
      <c r="E7" s="18"/>
      <c r="F7" s="19"/>
      <c r="G7" s="18"/>
      <c r="H7" s="18"/>
      <c r="I7" s="18"/>
      <c r="K7" s="18"/>
      <c r="L7" s="21"/>
      <c r="M7" s="19"/>
      <c r="N7" s="19"/>
      <c r="O7" s="18"/>
      <c r="P7" s="18"/>
      <c r="R7" s="18"/>
      <c r="S7" s="18"/>
      <c r="T7" s="18"/>
      <c r="U7" s="19"/>
      <c r="V7" s="18"/>
      <c r="W7" s="18"/>
      <c r="X7" s="18"/>
    </row>
    <row r="8" spans="1:35">
      <c r="B8" s="120" t="s">
        <v>7</v>
      </c>
      <c r="C8" s="20" t="s">
        <v>22</v>
      </c>
      <c r="D8" s="20" t="s">
        <v>19</v>
      </c>
      <c r="E8" s="20" t="s">
        <v>54</v>
      </c>
      <c r="F8" s="18"/>
      <c r="G8" s="20" t="s">
        <v>7</v>
      </c>
      <c r="H8" s="20" t="s">
        <v>22</v>
      </c>
      <c r="I8" s="20" t="s">
        <v>19</v>
      </c>
      <c r="J8" s="20" t="s">
        <v>20</v>
      </c>
      <c r="K8" s="18"/>
      <c r="L8" s="120" t="s">
        <v>7</v>
      </c>
      <c r="M8" s="20" t="s">
        <v>22</v>
      </c>
      <c r="N8" s="20" t="s">
        <v>19</v>
      </c>
      <c r="O8" s="20" t="s">
        <v>20</v>
      </c>
      <c r="Q8" s="120" t="s">
        <v>7</v>
      </c>
      <c r="R8" s="20" t="s">
        <v>22</v>
      </c>
      <c r="S8" s="20" t="s">
        <v>19</v>
      </c>
      <c r="T8" s="20" t="s">
        <v>20</v>
      </c>
      <c r="V8" s="20" t="s">
        <v>7</v>
      </c>
      <c r="W8" s="20" t="s">
        <v>22</v>
      </c>
      <c r="X8" s="20" t="s">
        <v>19</v>
      </c>
      <c r="Y8" s="20" t="s">
        <v>20</v>
      </c>
      <c r="AA8" s="20" t="s">
        <v>7</v>
      </c>
      <c r="AB8" s="20" t="s">
        <v>22</v>
      </c>
      <c r="AC8" s="20" t="s">
        <v>19</v>
      </c>
      <c r="AD8" s="20" t="s">
        <v>20</v>
      </c>
    </row>
    <row r="9" spans="1:35" ht="16.5" thickBot="1"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18"/>
      <c r="N9" s="18"/>
      <c r="O9" s="18"/>
      <c r="P9" s="22"/>
    </row>
    <row r="10" spans="1:35" ht="16.5" thickTop="1">
      <c r="B10" s="139" t="str">
        <f>'Joueurs et TirageV'!O7</f>
        <v>A7</v>
      </c>
      <c r="C10" s="140">
        <v>13</v>
      </c>
      <c r="D10" s="141">
        <f>IF(C10+C14=0,0,IF(C10=C14,2,IF(C10&gt;C14,3,1)))</f>
        <v>3</v>
      </c>
      <c r="E10" s="142">
        <f>C10-C14</f>
        <v>2</v>
      </c>
      <c r="F10" s="18"/>
      <c r="G10" s="154" t="str">
        <f>'Joueurs et TirageV'!R7</f>
        <v>A3</v>
      </c>
      <c r="H10" s="155">
        <v>6</v>
      </c>
      <c r="I10" s="156">
        <f>IF(H10+H14=0,0,IF(H10=H14,2,IF(H10&gt;H14,3,1)))</f>
        <v>3</v>
      </c>
      <c r="J10" s="157">
        <f>H10-H14</f>
        <v>5</v>
      </c>
      <c r="K10" s="18"/>
      <c r="L10" s="177">
        <f>'Joueurs et TirageV'!U7</f>
        <v>0</v>
      </c>
      <c r="M10" s="178"/>
      <c r="N10" s="179">
        <f>IF(M10+M14=0,0,IF(M10=M14,2,IF(M10&gt;M14,3,1)))</f>
        <v>0</v>
      </c>
      <c r="O10" s="180">
        <f>M10-M14</f>
        <v>0</v>
      </c>
      <c r="Q10" s="198">
        <f>'Joueurs et TirageV'!X7</f>
        <v>0</v>
      </c>
      <c r="R10" s="199"/>
      <c r="S10" s="200">
        <f>IF(R10+R14=0,0,IF(R10=R14,2,IF(R10&gt;R14,3,1)))</f>
        <v>0</v>
      </c>
      <c r="T10" s="201">
        <f>R10-R14</f>
        <v>0</v>
      </c>
      <c r="V10" s="213">
        <f>'Joueurs et TirageV'!AA7</f>
        <v>0</v>
      </c>
      <c r="W10" s="214"/>
      <c r="X10" s="156">
        <f>IF(W10+W14=0,0,IF(W10=W14,2,IF(W10&gt;W14,3,1)))</f>
        <v>0</v>
      </c>
      <c r="Y10" s="157">
        <f>W10-W14</f>
        <v>0</v>
      </c>
      <c r="AA10" s="219">
        <f>'Joueurs et TirageV'!AD7</f>
        <v>0</v>
      </c>
      <c r="AB10" s="220"/>
      <c r="AC10" s="221">
        <f>IF(AB10+AB14=0,0,IF(AB10=AB14,2,IF(AB10&gt;AB14,3,1)))</f>
        <v>0</v>
      </c>
      <c r="AD10" s="222">
        <f>AB10-AB14</f>
        <v>0</v>
      </c>
    </row>
    <row r="11" spans="1:35" ht="16.5" thickBot="1">
      <c r="A11" s="27">
        <v>1</v>
      </c>
      <c r="B11" s="143" t="str">
        <f>'Joueurs et TirageV'!P7</f>
        <v>B3</v>
      </c>
      <c r="C11" s="129">
        <f>IF(ISTEXT(B11),C10,0)</f>
        <v>13</v>
      </c>
      <c r="D11" s="130">
        <f>IF(ISTEXT(B11),D10,0)</f>
        <v>3</v>
      </c>
      <c r="E11" s="144">
        <f>IF(ISTEXT(B11),E10,0)</f>
        <v>2</v>
      </c>
      <c r="F11" s="10"/>
      <c r="G11" s="158" t="str">
        <f>'Joueurs et TirageV'!S7</f>
        <v>B6</v>
      </c>
      <c r="H11" s="129">
        <f>IF(ISTEXT(G11),H10,0)</f>
        <v>6</v>
      </c>
      <c r="I11" s="130">
        <f>IF(ISTEXT(G11),I10,0)</f>
        <v>3</v>
      </c>
      <c r="J11" s="159">
        <f>IF(ISTEXT(G11),J10,0)</f>
        <v>5</v>
      </c>
      <c r="K11" s="10"/>
      <c r="L11" s="181">
        <f>'Joueurs et TirageV'!V7</f>
        <v>0</v>
      </c>
      <c r="M11" s="129">
        <f>IF(ISTEXT(L11),M10,0)</f>
        <v>0</v>
      </c>
      <c r="N11" s="130">
        <f>IF(ISTEXT(L11),N10,0)</f>
        <v>0</v>
      </c>
      <c r="O11" s="182">
        <f>IF(ISTEXT(L11),O10,0)</f>
        <v>0</v>
      </c>
      <c r="P11" s="9"/>
      <c r="Q11" s="202">
        <f>'Joueurs et TirageV'!Y7</f>
        <v>0</v>
      </c>
      <c r="R11" s="129">
        <f>IF(ISTEXT(Q11),R10,0)</f>
        <v>0</v>
      </c>
      <c r="S11" s="130">
        <f>IF(ISTEXT(Q11),S10,0)</f>
        <v>0</v>
      </c>
      <c r="T11" s="203">
        <f>IF(ISTEXT(Q11),T10,0)</f>
        <v>0</v>
      </c>
      <c r="U11" s="9"/>
      <c r="V11" s="158">
        <f>'Joueurs et TirageV'!AB7</f>
        <v>0</v>
      </c>
      <c r="W11" s="129">
        <f>IF(ISTEXT(V11),W10,0)</f>
        <v>0</v>
      </c>
      <c r="X11" s="130">
        <f>IF(ISTEXT(V11),X10,0)</f>
        <v>0</v>
      </c>
      <c r="Y11" s="159">
        <f>IF(ISTEXT(V11),Y10,0)</f>
        <v>0</v>
      </c>
      <c r="Z11" s="9"/>
      <c r="AA11" s="223">
        <f>'Joueurs et TirageV'!AE7</f>
        <v>0</v>
      </c>
      <c r="AB11" s="129">
        <f>IF(ISTEXT(AA11),AB10,0)</f>
        <v>0</v>
      </c>
      <c r="AC11" s="130">
        <f>IF(ISTEXT(AA11),AC10,0)</f>
        <v>0</v>
      </c>
      <c r="AD11" s="224">
        <f>IF(ISTEXT(AA11),AD10,0)</f>
        <v>0</v>
      </c>
    </row>
    <row r="12" spans="1:35">
      <c r="B12" s="143" t="str">
        <f>+'Joueurs et TirageV'!Q7</f>
        <v>C6</v>
      </c>
      <c r="C12" s="127">
        <f>IF(ISTEXT(B12),C10,0)</f>
        <v>13</v>
      </c>
      <c r="D12" s="128">
        <f>IF(ISTEXT(B12),D10,0)</f>
        <v>3</v>
      </c>
      <c r="E12" s="145">
        <f>IF(ISTEXT(B12),E10,0)</f>
        <v>2</v>
      </c>
      <c r="F12" s="10"/>
      <c r="G12" s="158" t="str">
        <f>+'Joueurs et TirageV'!T7</f>
        <v>C1</v>
      </c>
      <c r="H12" s="25">
        <f>IF(ISTEXT(G12),H10,0)</f>
        <v>6</v>
      </c>
      <c r="I12" s="26">
        <f>IF(ISTEXT(G12),I10,0)</f>
        <v>3</v>
      </c>
      <c r="J12" s="160">
        <f>IF(ISTEXT(G12),J10,0)</f>
        <v>5</v>
      </c>
      <c r="K12" s="10"/>
      <c r="L12" s="181">
        <f>+'Joueurs et TirageV'!W7</f>
        <v>0</v>
      </c>
      <c r="M12" s="11">
        <f>IF(ISTEXT(L12),M10,0)</f>
        <v>0</v>
      </c>
      <c r="N12" s="26">
        <f>IF(ISTEXT(L12),N10,0)</f>
        <v>0</v>
      </c>
      <c r="O12" s="183">
        <f>IF(ISTEXT(L12),O10,0)</f>
        <v>0</v>
      </c>
      <c r="P12" s="9"/>
      <c r="Q12" s="202">
        <f>+'Joueurs et TirageV'!Z7</f>
        <v>0</v>
      </c>
      <c r="R12" s="11">
        <f>IF(ISTEXT(Q12),R10,0)</f>
        <v>0</v>
      </c>
      <c r="S12" s="26">
        <f>IF(ISTEXT(Q12),S10,0)</f>
        <v>0</v>
      </c>
      <c r="T12" s="204">
        <f>IF(ISTEXT(Q12),T10,0)</f>
        <v>0</v>
      </c>
      <c r="U12" s="9"/>
      <c r="V12" s="158">
        <f>+'Joueurs et TirageV'!AC7</f>
        <v>0</v>
      </c>
      <c r="W12" s="11">
        <f>IF(ISTEXT(V12),W10,0)</f>
        <v>0</v>
      </c>
      <c r="X12" s="26">
        <f>IF(ISTEXT(V12),X10,0)</f>
        <v>0</v>
      </c>
      <c r="Y12" s="160">
        <f>IF(ISTEXT(V12),Y10,0)</f>
        <v>0</v>
      </c>
      <c r="Z12" s="9"/>
      <c r="AA12" s="223">
        <f>+'Joueurs et TirageV'!AF7</f>
        <v>0</v>
      </c>
      <c r="AB12" s="11">
        <f>IF(ISTEXT(AA12),AB10,0)</f>
        <v>0</v>
      </c>
      <c r="AC12" s="26">
        <f>IF(ISTEXT(AA12),AC10,0)</f>
        <v>0</v>
      </c>
      <c r="AD12" s="225">
        <f>IF(ISTEXT(AA12),AD10,0)</f>
        <v>0</v>
      </c>
      <c r="AI12" s="133"/>
    </row>
    <row r="13" spans="1:35" s="23" customFormat="1">
      <c r="A13" s="27"/>
      <c r="B13" s="146"/>
      <c r="C13" s="137" t="s">
        <v>8</v>
      </c>
      <c r="D13" s="138"/>
      <c r="E13" s="147"/>
      <c r="F13" s="19"/>
      <c r="G13" s="169"/>
      <c r="H13" s="170" t="s">
        <v>8</v>
      </c>
      <c r="I13" s="171"/>
      <c r="J13" s="172"/>
      <c r="K13" s="19"/>
      <c r="L13" s="190"/>
      <c r="M13" s="191" t="s">
        <v>8</v>
      </c>
      <c r="N13" s="192"/>
      <c r="O13" s="193"/>
      <c r="Q13" s="205"/>
      <c r="R13" s="196" t="s">
        <v>8</v>
      </c>
      <c r="S13" s="197"/>
      <c r="T13" s="206"/>
      <c r="V13" s="215"/>
      <c r="W13" s="194" t="s">
        <v>8</v>
      </c>
      <c r="X13" s="195"/>
      <c r="Y13" s="216"/>
      <c r="AA13" s="232"/>
      <c r="AB13" s="233" t="s">
        <v>8</v>
      </c>
      <c r="AC13" s="234"/>
      <c r="AD13" s="235"/>
    </row>
    <row r="14" spans="1:35">
      <c r="B14" s="143" t="str">
        <f>'Joueurs et TirageV'!O8</f>
        <v>A8</v>
      </c>
      <c r="C14" s="28">
        <v>11</v>
      </c>
      <c r="D14" s="26">
        <f>IF(C10+C14=0,0,IF(C10=C14,2,IF(C10&lt;C14,3,1)))</f>
        <v>1</v>
      </c>
      <c r="E14" s="148">
        <f>C14-C10</f>
        <v>-2</v>
      </c>
      <c r="F14" s="18"/>
      <c r="G14" s="158" t="str">
        <f>'Joueurs et TirageV'!R8</f>
        <v>A6</v>
      </c>
      <c r="H14" s="131">
        <v>1</v>
      </c>
      <c r="I14" s="26">
        <f>IF(H10+H14=0,0,IF(H10=H14,2,IF(H10&lt;H14,3,1)))</f>
        <v>1</v>
      </c>
      <c r="J14" s="163">
        <f>H14-H10</f>
        <v>-5</v>
      </c>
      <c r="K14" s="18"/>
      <c r="L14" s="181">
        <f>'Joueurs et TirageV'!U8</f>
        <v>0</v>
      </c>
      <c r="M14" s="29"/>
      <c r="N14" s="26">
        <f>IF(M10+M14=0,0,IF(M10=M14,2,IF(M10&lt;M14,3,1)))</f>
        <v>0</v>
      </c>
      <c r="O14" s="184">
        <f>M14-M10</f>
        <v>0</v>
      </c>
      <c r="Q14" s="202">
        <f>'Joueurs et TirageV'!X8</f>
        <v>0</v>
      </c>
      <c r="R14" s="30"/>
      <c r="S14" s="26">
        <f>IF(R10+R14=0,0,IF(R10=R14,2,IF(R10&lt;R14,3,1)))</f>
        <v>0</v>
      </c>
      <c r="T14" s="207">
        <f>R14-R10</f>
        <v>0</v>
      </c>
      <c r="V14" s="158">
        <f>'Joueurs et TirageV'!AA8</f>
        <v>0</v>
      </c>
      <c r="W14" s="31"/>
      <c r="X14" s="26">
        <f>IF(W10+W14=0,0,IF(W10=W14,2,IF(W10&lt;W14,3,1)))</f>
        <v>0</v>
      </c>
      <c r="Y14" s="163">
        <f>W14-W10</f>
        <v>0</v>
      </c>
      <c r="AA14" s="223">
        <f>'Joueurs et TirageV'!AD8</f>
        <v>0</v>
      </c>
      <c r="AB14" s="32"/>
      <c r="AC14" s="26">
        <f>IF(AB10+AB14=0,0,IF(AB10=AB14,2,IF(AB10&lt;AB14,3,1)))</f>
        <v>0</v>
      </c>
      <c r="AD14" s="226">
        <f>AB14-AB10</f>
        <v>0</v>
      </c>
    </row>
    <row r="15" spans="1:35" ht="16.5" thickBot="1">
      <c r="A15" s="27">
        <v>2</v>
      </c>
      <c r="B15" s="143" t="str">
        <f>'Joueurs et TirageV'!P8</f>
        <v>B8</v>
      </c>
      <c r="C15" s="47">
        <f>IF(ISTEXT(B15),C14,0)</f>
        <v>11</v>
      </c>
      <c r="D15" s="13">
        <f>IF(ISTEXT(B15),D14,0)</f>
        <v>1</v>
      </c>
      <c r="E15" s="149">
        <f>IF(ISTEXT(B15),E14,0)</f>
        <v>-2</v>
      </c>
      <c r="F15" s="10"/>
      <c r="G15" s="158" t="str">
        <f>'Joueurs et TirageV'!S8</f>
        <v>B7</v>
      </c>
      <c r="H15" s="47">
        <f>IF(ISTEXT(G15),H14,0)</f>
        <v>1</v>
      </c>
      <c r="I15" s="13">
        <f>IF(ISTEXT(G15),I14,0)</f>
        <v>1</v>
      </c>
      <c r="J15" s="164">
        <f>IF(ISTEXT(G15),J14,0)</f>
        <v>-5</v>
      </c>
      <c r="K15" s="10"/>
      <c r="L15" s="181">
        <f>'Joueurs et TirageV'!V8</f>
        <v>0</v>
      </c>
      <c r="M15" s="47">
        <f>IF(ISTEXT(L15),M14,0)</f>
        <v>0</v>
      </c>
      <c r="N15" s="13">
        <f>IF(ISTEXT(L15),N14,0)</f>
        <v>0</v>
      </c>
      <c r="O15" s="185">
        <f>IF(ISTEXT(L15),O14,0)</f>
        <v>0</v>
      </c>
      <c r="P15" s="9"/>
      <c r="Q15" s="202">
        <f>'Joueurs et TirageV'!Y8</f>
        <v>0</v>
      </c>
      <c r="R15" s="47">
        <f>IF(ISTEXT(Q15),R14,0)</f>
        <v>0</v>
      </c>
      <c r="S15" s="13">
        <f>IF(ISTEXT(Q15),S14,0)</f>
        <v>0</v>
      </c>
      <c r="T15" s="208">
        <f>IF(ISTEXT(Q15),T14,0)</f>
        <v>0</v>
      </c>
      <c r="U15" s="9"/>
      <c r="V15" s="158">
        <f>'Joueurs et TirageV'!AB8</f>
        <v>0</v>
      </c>
      <c r="W15" s="47">
        <f>IF(ISTEXT(V15),W14,0)</f>
        <v>0</v>
      </c>
      <c r="X15" s="13">
        <f>IF(ISTEXT(V15),X14,0)</f>
        <v>0</v>
      </c>
      <c r="Y15" s="164">
        <f>IF(ISTEXT(V15),Y14,0)</f>
        <v>0</v>
      </c>
      <c r="Z15" s="9"/>
      <c r="AA15" s="223">
        <f>'Joueurs et TirageV'!AE8</f>
        <v>0</v>
      </c>
      <c r="AB15" s="47">
        <f>IF(ISTEXT(AA15),AB14,0)</f>
        <v>0</v>
      </c>
      <c r="AC15" s="13">
        <f>IF(ISTEXT(AA15),AC14,0)</f>
        <v>0</v>
      </c>
      <c r="AD15" s="227">
        <f>IF(ISTEXT(AA15),AD14,0)</f>
        <v>0</v>
      </c>
    </row>
    <row r="16" spans="1:35" ht="16.5" thickBot="1">
      <c r="B16" s="150" t="str">
        <f>'Joueurs et TirageV'!Q8</f>
        <v>C1</v>
      </c>
      <c r="C16" s="151">
        <f>IF(ISTEXT(B16),C14,0)</f>
        <v>11</v>
      </c>
      <c r="D16" s="152">
        <f>IF(ISTEXT(B16),D14,0)</f>
        <v>1</v>
      </c>
      <c r="E16" s="153">
        <f>IF(ISTEXT(B16),E14,0)</f>
        <v>-2</v>
      </c>
      <c r="F16" s="10"/>
      <c r="G16" s="165" t="str">
        <f>+'Joueurs et TirageV'!T8</f>
        <v>C5</v>
      </c>
      <c r="H16" s="166">
        <f>IF(ISTEXT(G16),H14,0)</f>
        <v>1</v>
      </c>
      <c r="I16" s="167">
        <f>IF(ISTEXT(G16),I14,0)</f>
        <v>1</v>
      </c>
      <c r="J16" s="168">
        <f>IF(ISTEXT(G16),J14,0)</f>
        <v>-5</v>
      </c>
      <c r="K16" s="10"/>
      <c r="L16" s="186">
        <f>+'Joueurs et TirageV'!W8</f>
        <v>0</v>
      </c>
      <c r="M16" s="187">
        <f>IF(ISTEXT(L16),M14,0)</f>
        <v>0</v>
      </c>
      <c r="N16" s="188">
        <f>IF(ISTEXT(L16),N14,0)</f>
        <v>0</v>
      </c>
      <c r="O16" s="189">
        <f>IF(ISTEXT(L16),O14,0)</f>
        <v>0</v>
      </c>
      <c r="P16" s="9"/>
      <c r="Q16" s="209">
        <f>+'Joueurs et TirageV'!Z8</f>
        <v>0</v>
      </c>
      <c r="R16" s="210">
        <f>IF(ISTEXT(Q16),R14,0)</f>
        <v>0</v>
      </c>
      <c r="S16" s="211">
        <f>IF(ISTEXT(Q16),S14,0)</f>
        <v>0</v>
      </c>
      <c r="T16" s="212">
        <f>IF(ISTEXT(Q16),T14,0)</f>
        <v>0</v>
      </c>
      <c r="U16" s="9"/>
      <c r="V16" s="165">
        <f>+'Joueurs et TirageV'!AC8</f>
        <v>0</v>
      </c>
      <c r="W16" s="166">
        <f>IF(ISTEXT(V16),W14,0)</f>
        <v>0</v>
      </c>
      <c r="X16" s="167">
        <f>IF(ISTEXT(V16),X14,0)</f>
        <v>0</v>
      </c>
      <c r="Y16" s="168">
        <f>IF(ISTEXT(V16),Y14,0)</f>
        <v>0</v>
      </c>
      <c r="Z16" s="9"/>
      <c r="AA16" s="228">
        <f>+'Joueurs et TirageV'!AF8</f>
        <v>0</v>
      </c>
      <c r="AB16" s="229">
        <f>IF(ISTEXT(AA16),AB14,0)</f>
        <v>0</v>
      </c>
      <c r="AC16" s="230">
        <f>IF(ISTEXT(AA16),AC14,0)</f>
        <v>0</v>
      </c>
      <c r="AD16" s="231">
        <f>IF(ISTEXT(AA16),AD14,0)</f>
        <v>0</v>
      </c>
    </row>
    <row r="17" spans="1:30" ht="17.25" thickTop="1" thickBot="1">
      <c r="B17" s="14"/>
      <c r="D17" s="9"/>
      <c r="E17" s="9"/>
      <c r="G17" s="14"/>
      <c r="I17" s="9"/>
      <c r="J17" s="9"/>
      <c r="L17" s="14"/>
      <c r="N17" s="9"/>
      <c r="O17" s="9"/>
      <c r="Q17" s="14"/>
      <c r="S17" s="9"/>
      <c r="T17" s="9"/>
      <c r="V17" s="14"/>
      <c r="X17" s="9"/>
      <c r="Y17" s="9"/>
      <c r="AA17" s="14"/>
      <c r="AC17" s="9"/>
      <c r="AD17" s="9"/>
    </row>
    <row r="18" spans="1:30" ht="16.5" thickTop="1">
      <c r="B18" s="139" t="str">
        <f>'Joueurs et TirageV'!O9</f>
        <v>A2</v>
      </c>
      <c r="C18" s="140">
        <v>9</v>
      </c>
      <c r="D18" s="141">
        <f>IF(C18+C22=0,0,IF(C18=C22,2,IF(C18&gt;C22,3,1)))</f>
        <v>3</v>
      </c>
      <c r="E18" s="142">
        <f>C18-C22</f>
        <v>7</v>
      </c>
      <c r="F18" s="18"/>
      <c r="G18" s="154" t="str">
        <f>'Joueurs et TirageV'!R9</f>
        <v>A5</v>
      </c>
      <c r="H18" s="155">
        <v>6</v>
      </c>
      <c r="I18" s="156">
        <f>IF(H18+H22=0,0,IF(H18=H22,2,IF(H18&gt;H22,3,1)))</f>
        <v>3</v>
      </c>
      <c r="J18" s="157">
        <f>H18-H22</f>
        <v>5</v>
      </c>
      <c r="K18" s="18"/>
      <c r="L18" s="177">
        <f>'Joueurs et TirageV'!U9</f>
        <v>0</v>
      </c>
      <c r="M18" s="178"/>
      <c r="N18" s="179">
        <f>IF(M18+M22=0,0,IF(M18=M22,2,IF(M18&gt;M22,3,1)))</f>
        <v>0</v>
      </c>
      <c r="O18" s="180">
        <f>M18-M22</f>
        <v>0</v>
      </c>
      <c r="Q18" s="198">
        <f>'Joueurs et TirageV'!X9</f>
        <v>0</v>
      </c>
      <c r="R18" s="199"/>
      <c r="S18" s="200">
        <f>IF(R18+R22=0,0,IF(R18=R22,2,IF(R18&gt;R22,3,1)))</f>
        <v>0</v>
      </c>
      <c r="T18" s="201">
        <f>R18-R22</f>
        <v>0</v>
      </c>
      <c r="V18" s="154">
        <f>'Joueurs et TirageV'!AA9</f>
        <v>0</v>
      </c>
      <c r="W18" s="214"/>
      <c r="X18" s="156">
        <f>IF(W18+W22=0,0,IF(W18=W22,2,IF(W18&gt;W22,3,1)))</f>
        <v>0</v>
      </c>
      <c r="Y18" s="157">
        <f>W18-W22</f>
        <v>0</v>
      </c>
      <c r="AA18" s="236">
        <f>'Joueurs et TirageV'!AD9</f>
        <v>0</v>
      </c>
      <c r="AB18" s="220"/>
      <c r="AC18" s="221">
        <f>IF(AB18+AB22=0,0,IF(AB18=AB22,2,IF(AB18&gt;AB22,3,1)))</f>
        <v>0</v>
      </c>
      <c r="AD18" s="222">
        <f>AB18-AB22</f>
        <v>0</v>
      </c>
    </row>
    <row r="19" spans="1:30" ht="16.5" thickBot="1">
      <c r="A19" s="27">
        <v>3</v>
      </c>
      <c r="B19" s="143" t="str">
        <f>'Joueurs et TirageV'!P9</f>
        <v>B2</v>
      </c>
      <c r="C19" s="129">
        <f>IF(ISTEXT(B19),C18,0)</f>
        <v>9</v>
      </c>
      <c r="D19" s="130">
        <f>IF(ISTEXT(B19),D18,0)</f>
        <v>3</v>
      </c>
      <c r="E19" s="144">
        <f>IF(ISTEXT(B19),E18,0)</f>
        <v>7</v>
      </c>
      <c r="F19" s="10"/>
      <c r="G19" s="158" t="str">
        <f>'Joueurs et TirageV'!S9</f>
        <v>B1</v>
      </c>
      <c r="H19" s="129">
        <f>IF(ISTEXT(G19),H18,0)</f>
        <v>6</v>
      </c>
      <c r="I19" s="130">
        <f>IF(ISTEXT(G19),I18,0)</f>
        <v>3</v>
      </c>
      <c r="J19" s="159">
        <f>IF(ISTEXT(G19),J18,0)</f>
        <v>5</v>
      </c>
      <c r="K19" s="10"/>
      <c r="L19" s="181">
        <f>'Joueurs et TirageV'!V9</f>
        <v>0</v>
      </c>
      <c r="M19" s="129">
        <f>IF(ISTEXT(L19),M18,0)</f>
        <v>0</v>
      </c>
      <c r="N19" s="130">
        <f>IF(ISTEXT(L19),N18,0)</f>
        <v>0</v>
      </c>
      <c r="O19" s="182">
        <f>IF(ISTEXT(L19),O18,0)</f>
        <v>0</v>
      </c>
      <c r="P19" s="9"/>
      <c r="Q19" s="202">
        <f>'Joueurs et TirageV'!Y9</f>
        <v>0</v>
      </c>
      <c r="R19" s="129">
        <f>IF(ISTEXT(Q19),R18,0)</f>
        <v>0</v>
      </c>
      <c r="S19" s="130">
        <f>IF(ISTEXT(Q19),S18,0)</f>
        <v>0</v>
      </c>
      <c r="T19" s="203">
        <f>IF(ISTEXT(Q19),T18,0)</f>
        <v>0</v>
      </c>
      <c r="U19" s="9"/>
      <c r="V19" s="158">
        <f>'Joueurs et TirageV'!AB9</f>
        <v>0</v>
      </c>
      <c r="W19" s="129">
        <f>IF(ISTEXT(V19),W18,0)</f>
        <v>0</v>
      </c>
      <c r="X19" s="130">
        <f>IF(ISTEXT(V19),X18,0)</f>
        <v>0</v>
      </c>
      <c r="Y19" s="159">
        <f>IF(ISTEXT(V19),Y18,0)</f>
        <v>0</v>
      </c>
      <c r="Z19" s="9"/>
      <c r="AA19" s="223">
        <f>'Joueurs et TirageV'!AE9</f>
        <v>0</v>
      </c>
      <c r="AB19" s="129">
        <f>IF(ISTEXT(AA19),AB18,0)</f>
        <v>0</v>
      </c>
      <c r="AC19" s="130">
        <f>IF(ISTEXT(AA19),AC18,0)</f>
        <v>0</v>
      </c>
      <c r="AD19" s="224">
        <f>IF(ISTEXT(AA19),AD18,0)</f>
        <v>0</v>
      </c>
    </row>
    <row r="20" spans="1:30">
      <c r="B20" s="143" t="str">
        <f>+'Joueurs et TirageV'!Q9</f>
        <v>C4</v>
      </c>
      <c r="C20" s="127">
        <f>IF(ISTEXT(B20),C18,0)</f>
        <v>9</v>
      </c>
      <c r="D20" s="128">
        <f>IF(ISTEXT(B20),D18,0)</f>
        <v>3</v>
      </c>
      <c r="E20" s="145">
        <f>IF(ISTEXT(B20),E18,0)</f>
        <v>7</v>
      </c>
      <c r="F20" s="10"/>
      <c r="G20" s="158" t="str">
        <f>+'Joueurs et TirageV'!T9</f>
        <v>C3</v>
      </c>
      <c r="H20" s="25">
        <f>IF(ISTEXT(G20),H18,0)</f>
        <v>6</v>
      </c>
      <c r="I20" s="26">
        <f>IF(ISTEXT(G20),I18,0)</f>
        <v>3</v>
      </c>
      <c r="J20" s="160">
        <f>IF(ISTEXT(G20),J18,0)</f>
        <v>5</v>
      </c>
      <c r="K20" s="10"/>
      <c r="L20" s="181">
        <f>+'Joueurs et TirageV'!W9</f>
        <v>0</v>
      </c>
      <c r="M20" s="11">
        <f>IF(ISTEXT(L20),M18,0)</f>
        <v>0</v>
      </c>
      <c r="N20" s="26">
        <f>IF(ISTEXT(L20),N18,0)</f>
        <v>0</v>
      </c>
      <c r="O20" s="183">
        <f>IF(ISTEXT(L20),O18,0)</f>
        <v>0</v>
      </c>
      <c r="P20" s="9"/>
      <c r="Q20" s="202">
        <f>+'Joueurs et TirageV'!Z9</f>
        <v>0</v>
      </c>
      <c r="R20" s="11">
        <f>IF(ISTEXT(Q20),R18,0)</f>
        <v>0</v>
      </c>
      <c r="S20" s="26">
        <f>IF(ISTEXT(Q20),S18,0)</f>
        <v>0</v>
      </c>
      <c r="T20" s="204">
        <f>IF(ISTEXT(Q20),T18,0)</f>
        <v>0</v>
      </c>
      <c r="U20" s="9"/>
      <c r="V20" s="158">
        <f>+'Joueurs et TirageV'!AC9</f>
        <v>0</v>
      </c>
      <c r="W20" s="11">
        <f>IF(ISTEXT(V20),W18,0)</f>
        <v>0</v>
      </c>
      <c r="X20" s="26">
        <f>IF(ISTEXT(V20),X18,0)</f>
        <v>0</v>
      </c>
      <c r="Y20" s="160">
        <f>IF(ISTEXT(V20),Y18,0)</f>
        <v>0</v>
      </c>
      <c r="Z20" s="9"/>
      <c r="AA20" s="223">
        <f>+'Joueurs et TirageV'!AF9</f>
        <v>0</v>
      </c>
      <c r="AB20" s="11">
        <f>IF(ISTEXT(AA20),AB18,0)</f>
        <v>0</v>
      </c>
      <c r="AC20" s="26">
        <f>IF(ISTEXT(AA20),AC18,0)</f>
        <v>0</v>
      </c>
      <c r="AD20" s="225">
        <f>IF(ISTEXT(AA20),AD18,0)</f>
        <v>0</v>
      </c>
    </row>
    <row r="21" spans="1:30">
      <c r="B21" s="146"/>
      <c r="C21" s="137" t="s">
        <v>8</v>
      </c>
      <c r="D21" s="138"/>
      <c r="E21" s="147"/>
      <c r="F21" s="19"/>
      <c r="G21" s="169"/>
      <c r="H21" s="170" t="s">
        <v>8</v>
      </c>
      <c r="I21" s="171"/>
      <c r="J21" s="172"/>
      <c r="K21" s="19"/>
      <c r="L21" s="190"/>
      <c r="M21" s="191" t="s">
        <v>8</v>
      </c>
      <c r="N21" s="192"/>
      <c r="O21" s="193"/>
      <c r="P21" s="23"/>
      <c r="Q21" s="205"/>
      <c r="R21" s="196" t="s">
        <v>8</v>
      </c>
      <c r="S21" s="197"/>
      <c r="T21" s="206"/>
      <c r="U21" s="23"/>
      <c r="V21" s="215"/>
      <c r="W21" s="194" t="s">
        <v>8</v>
      </c>
      <c r="X21" s="195"/>
      <c r="Y21" s="216"/>
      <c r="Z21" s="23"/>
      <c r="AA21" s="232"/>
      <c r="AB21" s="233" t="s">
        <v>8</v>
      </c>
      <c r="AC21" s="234"/>
      <c r="AD21" s="235"/>
    </row>
    <row r="22" spans="1:30">
      <c r="B22" s="143" t="str">
        <f>'Joueurs et TirageV'!O10</f>
        <v>A3</v>
      </c>
      <c r="C22" s="28">
        <v>2</v>
      </c>
      <c r="D22" s="26">
        <f>IF(C18+C22=0,0,IF(C18=C22,2,IF(C18&lt;C22,3,1)))</f>
        <v>1</v>
      </c>
      <c r="E22" s="148">
        <f>C22-C18</f>
        <v>-7</v>
      </c>
      <c r="F22" s="18"/>
      <c r="G22" s="158" t="str">
        <f>'Joueurs et TirageV'!R10</f>
        <v>A8</v>
      </c>
      <c r="H22" s="131">
        <v>1</v>
      </c>
      <c r="I22" s="26">
        <f>IF(H18+H22=0,0,IF(H18=H22,2,IF(H18&lt;H22,3,1)))</f>
        <v>1</v>
      </c>
      <c r="J22" s="163">
        <f>H22-H18</f>
        <v>-5</v>
      </c>
      <c r="K22" s="18"/>
      <c r="L22" s="181">
        <f>'Joueurs et TirageV'!U10</f>
        <v>0</v>
      </c>
      <c r="M22" s="29"/>
      <c r="N22" s="26">
        <f>IF(M18+M22=0,0,IF(M18=M22,2,IF(M18&lt;M22,3,1)))</f>
        <v>0</v>
      </c>
      <c r="O22" s="184">
        <f>M22-M18</f>
        <v>0</v>
      </c>
      <c r="Q22" s="202">
        <f>'Joueurs et TirageV'!X10</f>
        <v>0</v>
      </c>
      <c r="R22" s="30"/>
      <c r="S22" s="26">
        <f>IF(R18+R22=0,0,IF(R18=R22,2,IF(R18&lt;R22,3,1)))</f>
        <v>0</v>
      </c>
      <c r="T22" s="207">
        <f>R22-R18</f>
        <v>0</v>
      </c>
      <c r="V22" s="158">
        <f>'Joueurs et TirageV'!AA10</f>
        <v>0</v>
      </c>
      <c r="W22" s="31"/>
      <c r="X22" s="26">
        <f>IF(W18+W22=0,0,IF(W18=W22,2,IF(W18&lt;W22,3,1)))</f>
        <v>0</v>
      </c>
      <c r="Y22" s="163">
        <f>W22-W18</f>
        <v>0</v>
      </c>
      <c r="AA22" s="223">
        <f>'Joueurs et TirageV'!AD10</f>
        <v>0</v>
      </c>
      <c r="AB22" s="32"/>
      <c r="AC22" s="26">
        <f>IF(AB18+AB22=0,0,IF(AB18=AB22,2,IF(AB18&lt;AB22,3,1)))</f>
        <v>0</v>
      </c>
      <c r="AD22" s="226">
        <f>AB22-AB18</f>
        <v>0</v>
      </c>
    </row>
    <row r="23" spans="1:30" ht="16.5" thickBot="1">
      <c r="A23" s="27">
        <v>4</v>
      </c>
      <c r="B23" s="143" t="str">
        <f>'Joueurs et TirageV'!P10</f>
        <v>B4</v>
      </c>
      <c r="C23" s="47">
        <f>IF(ISTEXT(B23),C22,0)</f>
        <v>2</v>
      </c>
      <c r="D23" s="13">
        <f>IF(ISTEXT(B23),D22,0)</f>
        <v>1</v>
      </c>
      <c r="E23" s="149">
        <f>IF(ISTEXT(B23),E22,0)</f>
        <v>-7</v>
      </c>
      <c r="F23" s="10"/>
      <c r="G23" s="158" t="str">
        <f>'Joueurs et TirageV'!S10</f>
        <v>B8</v>
      </c>
      <c r="H23" s="47">
        <f>IF(ISTEXT(G23),H22,0)</f>
        <v>1</v>
      </c>
      <c r="I23" s="13">
        <f>IF(ISTEXT(G23),I22,0)</f>
        <v>1</v>
      </c>
      <c r="J23" s="164">
        <f>IF(ISTEXT(G23),J22,0)</f>
        <v>-5</v>
      </c>
      <c r="K23" s="10"/>
      <c r="L23" s="181">
        <f>'Joueurs et TirageV'!V10</f>
        <v>0</v>
      </c>
      <c r="M23" s="47">
        <f>IF(ISTEXT(L23),M22,0)</f>
        <v>0</v>
      </c>
      <c r="N23" s="13">
        <f>IF(ISTEXT(L23),N22,0)</f>
        <v>0</v>
      </c>
      <c r="O23" s="185">
        <f>IF(ISTEXT(L23),O22,0)</f>
        <v>0</v>
      </c>
      <c r="P23" s="9"/>
      <c r="Q23" s="202">
        <f>'Joueurs et TirageV'!Y10</f>
        <v>0</v>
      </c>
      <c r="R23" s="47">
        <f>IF(ISTEXT(Q23),R22,0)</f>
        <v>0</v>
      </c>
      <c r="S23" s="13">
        <f>IF(ISTEXT(Q23),S22,0)</f>
        <v>0</v>
      </c>
      <c r="T23" s="208">
        <f>IF(ISTEXT(Q23),T22,0)</f>
        <v>0</v>
      </c>
      <c r="U23" s="9"/>
      <c r="V23" s="158">
        <f>'Joueurs et TirageV'!AB10</f>
        <v>0</v>
      </c>
      <c r="W23" s="47">
        <f>IF(ISTEXT(V23),W22,0)</f>
        <v>0</v>
      </c>
      <c r="X23" s="13">
        <f>IF(ISTEXT(V23),X22,0)</f>
        <v>0</v>
      </c>
      <c r="Y23" s="164">
        <f>IF(ISTEXT(V23),Y22,0)</f>
        <v>0</v>
      </c>
      <c r="Z23" s="9"/>
      <c r="AA23" s="223">
        <f>'Joueurs et TirageV'!AE10</f>
        <v>0</v>
      </c>
      <c r="AB23" s="47">
        <f>IF(ISTEXT(AA23),AB22,0)</f>
        <v>0</v>
      </c>
      <c r="AC23" s="13">
        <f>IF(ISTEXT(AA23),AC22,0)</f>
        <v>0</v>
      </c>
      <c r="AD23" s="227">
        <f>IF(ISTEXT(AA23),AD22,0)</f>
        <v>0</v>
      </c>
    </row>
    <row r="24" spans="1:30" ht="16.5" thickBot="1">
      <c r="B24" s="150" t="str">
        <f>+'Joueurs et TirageV'!Q10</f>
        <v>C5</v>
      </c>
      <c r="C24" s="151">
        <f>IF(ISTEXT(B24),C22,0)</f>
        <v>2</v>
      </c>
      <c r="D24" s="152">
        <f>IF(ISTEXT(B24),D22,0)</f>
        <v>1</v>
      </c>
      <c r="E24" s="153">
        <f>IF(ISTEXT(B24),E22,0)</f>
        <v>-7</v>
      </c>
      <c r="F24" s="10"/>
      <c r="G24" s="165" t="str">
        <f>+'Joueurs et TirageV'!T10</f>
        <v>C4</v>
      </c>
      <c r="H24" s="166">
        <f>IF(ISTEXT(G24),H22,0)</f>
        <v>1</v>
      </c>
      <c r="I24" s="167">
        <f>IF(ISTEXT(G24),I22,0)</f>
        <v>1</v>
      </c>
      <c r="J24" s="168">
        <f>IF(ISTEXT(G24),J22,0)</f>
        <v>-5</v>
      </c>
      <c r="K24" s="10"/>
      <c r="L24" s="186">
        <f>+'Joueurs et TirageV'!W10</f>
        <v>0</v>
      </c>
      <c r="M24" s="187">
        <f>IF(ISTEXT(L24),M22,0)</f>
        <v>0</v>
      </c>
      <c r="N24" s="188">
        <f>IF(ISTEXT(L24),N22,0)</f>
        <v>0</v>
      </c>
      <c r="O24" s="189">
        <f>IF(ISTEXT(L24),O22,0)</f>
        <v>0</v>
      </c>
      <c r="P24" s="9"/>
      <c r="Q24" s="209">
        <f>+'Joueurs et TirageV'!Z10</f>
        <v>0</v>
      </c>
      <c r="R24" s="210">
        <f>IF(ISTEXT(Q24),R22,0)</f>
        <v>0</v>
      </c>
      <c r="S24" s="211">
        <f>IF(ISTEXT(Q24),S22,0)</f>
        <v>0</v>
      </c>
      <c r="T24" s="212">
        <f>IF(ISTEXT(Q24),T22,0)</f>
        <v>0</v>
      </c>
      <c r="U24" s="9"/>
      <c r="V24" s="165">
        <f>+'Joueurs et TirageV'!AC10</f>
        <v>0</v>
      </c>
      <c r="W24" s="166">
        <f>IF(ISTEXT(V24),W22,0)</f>
        <v>0</v>
      </c>
      <c r="X24" s="167">
        <f>IF(ISTEXT(V24),X22,0)</f>
        <v>0</v>
      </c>
      <c r="Y24" s="168">
        <f>IF(ISTEXT(V24),Y22,0)</f>
        <v>0</v>
      </c>
      <c r="Z24" s="9"/>
      <c r="AA24" s="228">
        <f>+'Joueurs et TirageV'!AF10</f>
        <v>0</v>
      </c>
      <c r="AB24" s="229">
        <f>IF(ISTEXT(AA24),AB22,0)</f>
        <v>0</v>
      </c>
      <c r="AC24" s="230">
        <f>IF(ISTEXT(AA24),AC22,0)</f>
        <v>0</v>
      </c>
      <c r="AD24" s="231">
        <f>IF(ISTEXT(AA24),AD22,0)</f>
        <v>0</v>
      </c>
    </row>
    <row r="25" spans="1:30" ht="17.25" thickTop="1" thickBot="1">
      <c r="B25" s="14"/>
      <c r="D25" s="9"/>
      <c r="E25" s="9"/>
      <c r="G25" s="14"/>
      <c r="I25" s="9"/>
      <c r="J25" s="9"/>
      <c r="L25" s="14"/>
      <c r="N25" s="9"/>
      <c r="O25" s="9"/>
      <c r="Q25" s="14"/>
      <c r="S25" s="9"/>
      <c r="T25" s="9"/>
      <c r="V25" s="14"/>
      <c r="X25" s="9"/>
      <c r="Y25" s="9"/>
      <c r="AA25" s="14"/>
      <c r="AC25" s="9"/>
      <c r="AD25" s="9"/>
    </row>
    <row r="26" spans="1:30" ht="16.5" thickTop="1">
      <c r="B26" s="139" t="str">
        <f>'Joueurs et TirageV'!O11</f>
        <v>A1</v>
      </c>
      <c r="C26" s="140">
        <v>9</v>
      </c>
      <c r="D26" s="141">
        <f>IF(C26+C30=0,0,IF(C26=C30,2,IF(C26&gt;C30,3,1)))</f>
        <v>3</v>
      </c>
      <c r="E26" s="142">
        <f>C26-C30</f>
        <v>7</v>
      </c>
      <c r="F26" s="18"/>
      <c r="G26" s="154" t="str">
        <f>'Joueurs et TirageV'!R11</f>
        <v>A1</v>
      </c>
      <c r="H26" s="155">
        <v>6</v>
      </c>
      <c r="I26" s="156">
        <f>IF(H26+H30=0,0,IF(H26=H30,2,IF(H26&gt;H30,3,1)))</f>
        <v>3</v>
      </c>
      <c r="J26" s="157">
        <f>H26-H30</f>
        <v>4</v>
      </c>
      <c r="K26" s="18"/>
      <c r="L26" s="177">
        <f>'Joueurs et TirageV'!U11</f>
        <v>0</v>
      </c>
      <c r="M26" s="178"/>
      <c r="N26" s="179">
        <f>IF(M26+M30=0,0,IF(M26=M30,2,IF(M26&gt;M30,3,1)))</f>
        <v>0</v>
      </c>
      <c r="O26" s="180">
        <f>M26-M30</f>
        <v>0</v>
      </c>
      <c r="Q26" s="198">
        <f>'Joueurs et TirageV'!X11</f>
        <v>0</v>
      </c>
      <c r="R26" s="199"/>
      <c r="S26" s="200">
        <f>IF(R26+R30=0,0,IF(R26=R30,2,IF(R26&gt;R30,3,1)))</f>
        <v>0</v>
      </c>
      <c r="T26" s="201">
        <f>R26-R30</f>
        <v>0</v>
      </c>
      <c r="V26" s="154">
        <f>'Joueurs et TirageV'!AA11</f>
        <v>0</v>
      </c>
      <c r="W26" s="214"/>
      <c r="X26" s="156">
        <f>IF(W26+W30=0,0,IF(W26=W30,2,IF(W26&gt;W30,3,1)))</f>
        <v>0</v>
      </c>
      <c r="Y26" s="157">
        <f>W26-W30</f>
        <v>0</v>
      </c>
      <c r="AA26" s="236">
        <f>'Joueurs et TirageV'!AD11</f>
        <v>0</v>
      </c>
      <c r="AB26" s="220"/>
      <c r="AC26" s="221">
        <f>IF(AB26+AB30=0,0,IF(AB26=AB30,2,IF(AB26&gt;AB30,3,1)))</f>
        <v>0</v>
      </c>
      <c r="AD26" s="222">
        <f>AB26-AB30</f>
        <v>0</v>
      </c>
    </row>
    <row r="27" spans="1:30" ht="16.5" thickBot="1">
      <c r="A27" s="27">
        <v>5</v>
      </c>
      <c r="B27" s="143" t="str">
        <f>'Joueurs et TirageV'!P11</f>
        <v>B7</v>
      </c>
      <c r="C27" s="129">
        <f>IF(ISTEXT(B27),C26,0)</f>
        <v>9</v>
      </c>
      <c r="D27" s="130">
        <f>IF(ISTEXT(B27),D26,0)</f>
        <v>3</v>
      </c>
      <c r="E27" s="144">
        <f>IF(ISTEXT(B27),E26,0)</f>
        <v>7</v>
      </c>
      <c r="F27" s="10"/>
      <c r="G27" s="158" t="str">
        <f>'Joueurs et TirageV'!S11</f>
        <v>B2</v>
      </c>
      <c r="H27" s="129">
        <f>IF(ISTEXT(G27),H26,0)</f>
        <v>6</v>
      </c>
      <c r="I27" s="130">
        <f>IF(ISTEXT(G27),I26,0)</f>
        <v>3</v>
      </c>
      <c r="J27" s="159">
        <f>IF(ISTEXT(G27),J26,0)</f>
        <v>4</v>
      </c>
      <c r="K27" s="10"/>
      <c r="L27" s="181">
        <f>'Joueurs et TirageV'!V11</f>
        <v>0</v>
      </c>
      <c r="M27" s="129">
        <f>IF(ISTEXT(L27),M26,0)</f>
        <v>0</v>
      </c>
      <c r="N27" s="130">
        <f>IF(ISTEXT(L27),N26,0)</f>
        <v>0</v>
      </c>
      <c r="O27" s="182">
        <f>IF(ISTEXT(L27),O26,0)</f>
        <v>0</v>
      </c>
      <c r="P27" s="9"/>
      <c r="Q27" s="202">
        <f>'Joueurs et TirageV'!Y11</f>
        <v>0</v>
      </c>
      <c r="R27" s="129">
        <f>IF(ISTEXT(Q27),R26,0)</f>
        <v>0</v>
      </c>
      <c r="S27" s="130">
        <f>IF(ISTEXT(Q27),S26,0)</f>
        <v>0</v>
      </c>
      <c r="T27" s="203">
        <f>IF(ISTEXT(Q27),T26,0)</f>
        <v>0</v>
      </c>
      <c r="U27" s="9"/>
      <c r="V27" s="158">
        <f>'Joueurs et TirageV'!AB11</f>
        <v>0</v>
      </c>
      <c r="W27" s="129">
        <f>IF(ISTEXT(V27),W26,0)</f>
        <v>0</v>
      </c>
      <c r="X27" s="130">
        <f>IF(ISTEXT(V27),X26,0)</f>
        <v>0</v>
      </c>
      <c r="Y27" s="159">
        <f>IF(ISTEXT(V27),Y26,0)</f>
        <v>0</v>
      </c>
      <c r="Z27" s="9"/>
      <c r="AA27" s="223">
        <f>'Joueurs et TirageV'!AE11</f>
        <v>0</v>
      </c>
      <c r="AB27" s="129">
        <f>IF(ISTEXT(AA27),AB26,0)</f>
        <v>0</v>
      </c>
      <c r="AC27" s="130">
        <f>IF(ISTEXT(AA27),AC26,0)</f>
        <v>0</v>
      </c>
      <c r="AD27" s="224">
        <f>IF(ISTEXT(AA27),AD26,0)</f>
        <v>0</v>
      </c>
    </row>
    <row r="28" spans="1:30">
      <c r="B28" s="143" t="str">
        <f>+'Joueurs et TirageV'!Q11</f>
        <v>C3</v>
      </c>
      <c r="C28" s="127">
        <f>IF(ISTEXT(B28),C26,0)</f>
        <v>9</v>
      </c>
      <c r="D28" s="128">
        <f>IF(ISTEXT(B28),D26,0)</f>
        <v>3</v>
      </c>
      <c r="E28" s="145">
        <f>IF(ISTEXT(B28),E26,0)</f>
        <v>7</v>
      </c>
      <c r="F28" s="10"/>
      <c r="G28" s="158" t="str">
        <f>+'Joueurs et TirageV'!T11</f>
        <v>C2</v>
      </c>
      <c r="H28" s="25">
        <f>IF(ISTEXT(G28),H26,0)</f>
        <v>6</v>
      </c>
      <c r="I28" s="26">
        <f>IF(ISTEXT(G28),I26,0)</f>
        <v>3</v>
      </c>
      <c r="J28" s="160">
        <f>IF(ISTEXT(G28),J26,0)</f>
        <v>4</v>
      </c>
      <c r="K28" s="10"/>
      <c r="L28" s="181">
        <f>+'Joueurs et TirageV'!W11</f>
        <v>0</v>
      </c>
      <c r="M28" s="11">
        <f>IF(ISTEXT(L28),M26,0)</f>
        <v>0</v>
      </c>
      <c r="N28" s="26">
        <f>IF(ISTEXT(L28),N26,0)</f>
        <v>0</v>
      </c>
      <c r="O28" s="183">
        <f>IF(ISTEXT(L28),O26,0)</f>
        <v>0</v>
      </c>
      <c r="P28" s="9"/>
      <c r="Q28" s="202">
        <f>+'Joueurs et TirageV'!Z11</f>
        <v>0</v>
      </c>
      <c r="R28" s="11">
        <f>IF(ISTEXT(Q28),R26,0)</f>
        <v>0</v>
      </c>
      <c r="S28" s="26">
        <f>IF(ISTEXT(Q28),S26,0)</f>
        <v>0</v>
      </c>
      <c r="T28" s="204">
        <f>IF(ISTEXT(Q28),T26,0)</f>
        <v>0</v>
      </c>
      <c r="U28" s="9"/>
      <c r="V28" s="158">
        <f>+'Joueurs et TirageV'!AC11</f>
        <v>0</v>
      </c>
      <c r="W28" s="11">
        <f>IF(ISTEXT(V28),W26,0)</f>
        <v>0</v>
      </c>
      <c r="X28" s="26">
        <f>IF(ISTEXT(V28),X26,0)</f>
        <v>0</v>
      </c>
      <c r="Y28" s="160">
        <f>IF(ISTEXT(V28),Y26,0)</f>
        <v>0</v>
      </c>
      <c r="Z28" s="9"/>
      <c r="AA28" s="223">
        <f>+'Joueurs et TirageV'!AF11</f>
        <v>0</v>
      </c>
      <c r="AB28" s="11">
        <f>IF(ISTEXT(AA28),AB26,0)</f>
        <v>0</v>
      </c>
      <c r="AC28" s="26">
        <f>IF(ISTEXT(AA28),AC26,0)</f>
        <v>0</v>
      </c>
      <c r="AD28" s="225">
        <f>IF(ISTEXT(AA28),AD26,0)</f>
        <v>0</v>
      </c>
    </row>
    <row r="29" spans="1:30">
      <c r="B29" s="146"/>
      <c r="C29" s="137" t="s">
        <v>8</v>
      </c>
      <c r="D29" s="138"/>
      <c r="E29" s="147"/>
      <c r="F29" s="19"/>
      <c r="G29" s="169"/>
      <c r="H29" s="170" t="s">
        <v>8</v>
      </c>
      <c r="I29" s="171"/>
      <c r="J29" s="172"/>
      <c r="K29" s="19"/>
      <c r="L29" s="190"/>
      <c r="M29" s="191" t="s">
        <v>8</v>
      </c>
      <c r="N29" s="192"/>
      <c r="O29" s="193"/>
      <c r="P29" s="23"/>
      <c r="Q29" s="205"/>
      <c r="R29" s="196" t="s">
        <v>8</v>
      </c>
      <c r="S29" s="197"/>
      <c r="T29" s="206"/>
      <c r="U29" s="23"/>
      <c r="V29" s="215"/>
      <c r="W29" s="194" t="s">
        <v>8</v>
      </c>
      <c r="X29" s="195"/>
      <c r="Y29" s="216"/>
      <c r="Z29" s="23"/>
      <c r="AA29" s="232"/>
      <c r="AB29" s="233" t="s">
        <v>8</v>
      </c>
      <c r="AC29" s="234"/>
      <c r="AD29" s="235"/>
    </row>
    <row r="30" spans="1:30">
      <c r="B30" s="143" t="str">
        <f>'Joueurs et TirageV'!O12</f>
        <v>A5</v>
      </c>
      <c r="C30" s="28">
        <v>2</v>
      </c>
      <c r="D30" s="26">
        <f>IF(C26+C30=0,0,IF(C26=C30,2,IF(C26&lt;C30,3,1)))</f>
        <v>1</v>
      </c>
      <c r="E30" s="148">
        <f>C30-C26</f>
        <v>-7</v>
      </c>
      <c r="F30" s="18"/>
      <c r="G30" s="158" t="str">
        <f>'Joueurs et TirageV'!R12</f>
        <v>A2</v>
      </c>
      <c r="H30" s="131">
        <v>2</v>
      </c>
      <c r="I30" s="26">
        <f>IF(H26+H30=0,0,IF(H26=H30,2,IF(H26&lt;H30,3,1)))</f>
        <v>1</v>
      </c>
      <c r="J30" s="163">
        <f>H30-H26</f>
        <v>-4</v>
      </c>
      <c r="K30" s="18"/>
      <c r="L30" s="181">
        <f>'Joueurs et TirageV'!U12</f>
        <v>0</v>
      </c>
      <c r="M30" s="29"/>
      <c r="N30" s="26">
        <f>IF(M26+M30=0,0,IF(M26=M30,2,IF(M26&lt;M30,3,1)))</f>
        <v>0</v>
      </c>
      <c r="O30" s="184">
        <f>M30-M26</f>
        <v>0</v>
      </c>
      <c r="Q30" s="202">
        <f>'Joueurs et TirageV'!X12</f>
        <v>0</v>
      </c>
      <c r="R30" s="30"/>
      <c r="S30" s="26">
        <f>IF(R26+R30=0,0,IF(R26=R30,2,IF(R26&lt;R30,3,1)))</f>
        <v>0</v>
      </c>
      <c r="T30" s="207">
        <f>R30-R26</f>
        <v>0</v>
      </c>
      <c r="V30" s="158">
        <f>'Joueurs et TirageV'!AA12</f>
        <v>0</v>
      </c>
      <c r="W30" s="31"/>
      <c r="X30" s="26">
        <f>IF(W26+W30=0,0,IF(W26=W30,2,IF(W26&lt;W30,3,1)))</f>
        <v>0</v>
      </c>
      <c r="Y30" s="163">
        <f>W30-W26</f>
        <v>0</v>
      </c>
      <c r="AA30" s="223">
        <f>'Joueurs et TirageV'!AD12</f>
        <v>0</v>
      </c>
      <c r="AB30" s="32"/>
      <c r="AC30" s="26">
        <f>IF(AB26+AB30=0,0,IF(AB26=AB30,2,IF(AB26&lt;AB30,3,1)))</f>
        <v>0</v>
      </c>
      <c r="AD30" s="226">
        <f>AB30-AB26</f>
        <v>0</v>
      </c>
    </row>
    <row r="31" spans="1:30" ht="16.5" thickBot="1">
      <c r="A31" s="27">
        <v>6</v>
      </c>
      <c r="B31" s="143" t="str">
        <f>'Joueurs et TirageV'!P12</f>
        <v>B1</v>
      </c>
      <c r="C31" s="47">
        <f>IF(ISTEXT(B31),C30,0)</f>
        <v>2</v>
      </c>
      <c r="D31" s="13">
        <f>IF(ISTEXT(B31),D30,0)</f>
        <v>1</v>
      </c>
      <c r="E31" s="149">
        <f>IF(ISTEXT(B31),E30,0)</f>
        <v>-7</v>
      </c>
      <c r="F31" s="10"/>
      <c r="G31" s="158" t="str">
        <f>'Joueurs et TirageV'!S12</f>
        <v>B4</v>
      </c>
      <c r="H31" s="47">
        <f>IF(ISTEXT(G31),H30,0)</f>
        <v>2</v>
      </c>
      <c r="I31" s="13">
        <f>IF(ISTEXT(G31),I30,0)</f>
        <v>1</v>
      </c>
      <c r="J31" s="164">
        <f>IF(ISTEXT(G31),J30,0)</f>
        <v>-4</v>
      </c>
      <c r="K31" s="10"/>
      <c r="L31" s="181">
        <f>'Joueurs et TirageV'!V12</f>
        <v>0</v>
      </c>
      <c r="M31" s="47">
        <f>IF(ISTEXT(L31),M30,0)</f>
        <v>0</v>
      </c>
      <c r="N31" s="13">
        <f>IF(ISTEXT(L31),N30,0)</f>
        <v>0</v>
      </c>
      <c r="O31" s="185">
        <f>IF(ISTEXT(L31),O30,0)</f>
        <v>0</v>
      </c>
      <c r="P31" s="9"/>
      <c r="Q31" s="202">
        <f>'Joueurs et TirageV'!Y12</f>
        <v>0</v>
      </c>
      <c r="R31" s="47">
        <f>IF(ISTEXT(Q31),R30,0)</f>
        <v>0</v>
      </c>
      <c r="S31" s="13">
        <f>IF(ISTEXT(Q31),S30,0)</f>
        <v>0</v>
      </c>
      <c r="T31" s="208">
        <f>IF(ISTEXT(Q31),T30,0)</f>
        <v>0</v>
      </c>
      <c r="U31" s="9"/>
      <c r="V31" s="158">
        <f>'Joueurs et TirageV'!AB12</f>
        <v>0</v>
      </c>
      <c r="W31" s="47">
        <f>IF(ISTEXT(V31),W30,0)</f>
        <v>0</v>
      </c>
      <c r="X31" s="13">
        <f>IF(ISTEXT(V31),X30,0)</f>
        <v>0</v>
      </c>
      <c r="Y31" s="164">
        <f>IF(ISTEXT(V31),Y30,0)</f>
        <v>0</v>
      </c>
      <c r="Z31" s="9"/>
      <c r="AA31" s="223">
        <f>'Joueurs et TirageV'!AE12</f>
        <v>0</v>
      </c>
      <c r="AB31" s="47">
        <f>IF(ISTEXT(AA31),AB30,0)</f>
        <v>0</v>
      </c>
      <c r="AC31" s="13">
        <f>IF(ISTEXT(AA31),AC30,0)</f>
        <v>0</v>
      </c>
      <c r="AD31" s="227">
        <f>IF(ISTEXT(AA31),AD30,0)</f>
        <v>0</v>
      </c>
    </row>
    <row r="32" spans="1:30" ht="16.5" thickBot="1">
      <c r="B32" s="150" t="str">
        <f>+'Joueurs et TirageV'!Q12</f>
        <v>C2</v>
      </c>
      <c r="C32" s="151">
        <f>IF(ISTEXT(B32),C30,0)</f>
        <v>2</v>
      </c>
      <c r="D32" s="152">
        <f>IF(ISTEXT(B32),D30,0)</f>
        <v>1</v>
      </c>
      <c r="E32" s="153">
        <f>IF(ISTEXT(B32),E30,0)</f>
        <v>-7</v>
      </c>
      <c r="F32" s="10"/>
      <c r="G32" s="165" t="str">
        <f>+'Joueurs et TirageV'!T12</f>
        <v>C6</v>
      </c>
      <c r="H32" s="166">
        <f>IF(ISTEXT(G32),H30,0)</f>
        <v>2</v>
      </c>
      <c r="I32" s="167">
        <f>IF(ISTEXT(G32),I30,0)</f>
        <v>1</v>
      </c>
      <c r="J32" s="168">
        <f>IF(ISTEXT(G32),J30,0)</f>
        <v>-4</v>
      </c>
      <c r="K32" s="10"/>
      <c r="L32" s="186">
        <f>+'Joueurs et TirageV'!W12</f>
        <v>0</v>
      </c>
      <c r="M32" s="187">
        <f>IF(ISTEXT(L32),M30,0)</f>
        <v>0</v>
      </c>
      <c r="N32" s="188">
        <f>IF(ISTEXT(L32),N30,0)</f>
        <v>0</v>
      </c>
      <c r="O32" s="189">
        <f>IF(ISTEXT(L32),O30,0)</f>
        <v>0</v>
      </c>
      <c r="P32" s="9"/>
      <c r="Q32" s="209">
        <f>+'Joueurs et TirageV'!Z12</f>
        <v>0</v>
      </c>
      <c r="R32" s="210">
        <f>IF(ISTEXT(Q32),R30,0)</f>
        <v>0</v>
      </c>
      <c r="S32" s="211">
        <f>IF(ISTEXT(Q32),S30,0)</f>
        <v>0</v>
      </c>
      <c r="T32" s="212">
        <f>IF(ISTEXT(Q32),T30,0)</f>
        <v>0</v>
      </c>
      <c r="U32" s="9"/>
      <c r="V32" s="165">
        <f>+'Joueurs et TirageV'!AC12</f>
        <v>0</v>
      </c>
      <c r="W32" s="166">
        <f>IF(ISTEXT(V32),W30,0)</f>
        <v>0</v>
      </c>
      <c r="X32" s="167">
        <f>IF(ISTEXT(V32),X30,0)</f>
        <v>0</v>
      </c>
      <c r="Y32" s="168">
        <f>IF(ISTEXT(V32),Y30,0)</f>
        <v>0</v>
      </c>
      <c r="Z32" s="9"/>
      <c r="AA32" s="228">
        <f>+'Joueurs et TirageV'!AF12</f>
        <v>0</v>
      </c>
      <c r="AB32" s="229">
        <f>IF(ISTEXT(AA32),AB30,0)</f>
        <v>0</v>
      </c>
      <c r="AC32" s="230">
        <f>IF(ISTEXT(AA32),AC30,0)</f>
        <v>0</v>
      </c>
      <c r="AD32" s="231">
        <f>IF(ISTEXT(AA32),AD30,0)</f>
        <v>0</v>
      </c>
    </row>
    <row r="33" spans="1:30" ht="17.25" thickTop="1" thickBot="1">
      <c r="B33" s="12"/>
      <c r="C33" s="18"/>
      <c r="D33" s="12"/>
      <c r="E33" s="10"/>
      <c r="F33" s="18"/>
      <c r="G33" s="12"/>
      <c r="H33" s="18"/>
      <c r="I33" s="12"/>
      <c r="J33" s="10"/>
      <c r="K33" s="18"/>
      <c r="L33" s="12"/>
      <c r="M33" s="18"/>
      <c r="N33" s="12"/>
      <c r="O33" s="10"/>
      <c r="Q33" s="12"/>
      <c r="R33" s="18"/>
      <c r="S33" s="12"/>
      <c r="T33" s="10"/>
      <c r="V33" s="12"/>
      <c r="W33" s="18"/>
      <c r="X33" s="12"/>
      <c r="Y33" s="10"/>
      <c r="AA33" s="12"/>
      <c r="AB33" s="18"/>
      <c r="AC33" s="12"/>
      <c r="AD33" s="10"/>
    </row>
    <row r="34" spans="1:30" ht="16.5" thickTop="1">
      <c r="B34" s="139" t="str">
        <f>'Joueurs et TirageV'!O13</f>
        <v>A4</v>
      </c>
      <c r="C34" s="140">
        <v>9</v>
      </c>
      <c r="D34" s="141">
        <f>IF(C34+C38=0,0,IF(C34=C38,2,IF(C34&gt;C38,3,1)))</f>
        <v>3</v>
      </c>
      <c r="E34" s="142">
        <f>C34-C38</f>
        <v>7</v>
      </c>
      <c r="F34" s="18"/>
      <c r="G34" s="154" t="str">
        <f>'Joueurs et TirageV'!R13</f>
        <v>A7</v>
      </c>
      <c r="H34" s="155">
        <v>6</v>
      </c>
      <c r="I34" s="156">
        <f>IF(H34+H38=0,0,IF(H34=H38,2,IF(H34&gt;H38,3,1)))</f>
        <v>3</v>
      </c>
      <c r="J34" s="157">
        <f>H34-H38</f>
        <v>5</v>
      </c>
      <c r="K34" s="18"/>
      <c r="L34" s="177">
        <f>'Joueurs et TirageV'!U13</f>
        <v>0</v>
      </c>
      <c r="M34" s="178"/>
      <c r="N34" s="179">
        <f>IF(M34+M38=0,0,IF(M34=M38,2,IF(M34&gt;M38,3,1)))</f>
        <v>0</v>
      </c>
      <c r="O34" s="180">
        <f>M34-M38</f>
        <v>0</v>
      </c>
      <c r="Q34" s="198">
        <f>'Joueurs et TirageV'!X13</f>
        <v>0</v>
      </c>
      <c r="R34" s="199"/>
      <c r="S34" s="200">
        <f>IF(R34+R38=0,0,IF(R34=R38,2,IF(R34&gt;R38,3,1)))</f>
        <v>0</v>
      </c>
      <c r="T34" s="201">
        <f>R34-R38</f>
        <v>0</v>
      </c>
      <c r="V34" s="154">
        <f>'Joueurs et TirageV'!AA13</f>
        <v>0</v>
      </c>
      <c r="W34" s="214"/>
      <c r="X34" s="156">
        <f>IF(W34+W38=0,0,IF(W34=W38,2,IF(W34&gt;W38,3,1)))</f>
        <v>0</v>
      </c>
      <c r="Y34" s="157">
        <f>W34-W38</f>
        <v>0</v>
      </c>
      <c r="AA34" s="236">
        <f>'Joueurs et TirageV'!AD13</f>
        <v>0</v>
      </c>
      <c r="AB34" s="220"/>
      <c r="AC34" s="221">
        <f>IF(AB34+AB38=0,0,IF(AB34=AB38,2,IF(AB34&gt;AB38,3,1)))</f>
        <v>0</v>
      </c>
      <c r="AD34" s="222">
        <f>AB34-AB38</f>
        <v>0</v>
      </c>
    </row>
    <row r="35" spans="1:30" ht="16.5" thickBot="1">
      <c r="A35" s="27">
        <v>7</v>
      </c>
      <c r="B35" s="143" t="str">
        <f>'Joueurs et TirageV'!P13</f>
        <v>B6</v>
      </c>
      <c r="C35" s="129">
        <f>IF(ISTEXT(B35),C34,0)</f>
        <v>9</v>
      </c>
      <c r="D35" s="130">
        <f>IF(ISTEXT(B35),D34,0)</f>
        <v>3</v>
      </c>
      <c r="E35" s="144">
        <f>IF(ISTEXT(B35),E34,0)</f>
        <v>7</v>
      </c>
      <c r="F35" s="10"/>
      <c r="G35" s="158" t="str">
        <f>'Joueurs et TirageV'!S13</f>
        <v>B3</v>
      </c>
      <c r="H35" s="129">
        <f>IF(ISTEXT(G35),H34,0)</f>
        <v>6</v>
      </c>
      <c r="I35" s="130">
        <f>IF(ISTEXT(G35),I34,0)</f>
        <v>3</v>
      </c>
      <c r="J35" s="159">
        <f>IF(ISTEXT(G35),J34,0)</f>
        <v>5</v>
      </c>
      <c r="K35" s="10"/>
      <c r="L35" s="181">
        <f>'Joueurs et TirageV'!V13</f>
        <v>0</v>
      </c>
      <c r="M35" s="129">
        <f>IF(ISTEXT(L35),M34,0)</f>
        <v>0</v>
      </c>
      <c r="N35" s="130">
        <f>IF(ISTEXT(L35),N34,0)</f>
        <v>0</v>
      </c>
      <c r="O35" s="182">
        <f>IF(ISTEXT(L35),O34,0)</f>
        <v>0</v>
      </c>
      <c r="P35" s="9"/>
      <c r="Q35" s="202">
        <f>'Joueurs et TirageV'!Y13</f>
        <v>0</v>
      </c>
      <c r="R35" s="129">
        <f>IF(ISTEXT(Q35),R34,0)</f>
        <v>0</v>
      </c>
      <c r="S35" s="130">
        <f>IF(ISTEXT(Q35),S34,0)</f>
        <v>0</v>
      </c>
      <c r="T35" s="203">
        <f>IF(ISTEXT(Q35),T34,0)</f>
        <v>0</v>
      </c>
      <c r="U35" s="9"/>
      <c r="V35" s="158">
        <f>'Joueurs et TirageV'!AB13</f>
        <v>0</v>
      </c>
      <c r="W35" s="129">
        <f>IF(ISTEXT(V35),W34,0)</f>
        <v>0</v>
      </c>
      <c r="X35" s="130">
        <f>IF(ISTEXT(V35),X34,0)</f>
        <v>0</v>
      </c>
      <c r="Y35" s="159">
        <f>IF(ISTEXT(V35),Y34,0)</f>
        <v>0</v>
      </c>
      <c r="Z35" s="9"/>
      <c r="AA35" s="223">
        <f>'Joueurs et TirageV'!AE13</f>
        <v>0</v>
      </c>
      <c r="AB35" s="129">
        <f>IF(ISTEXT(AA35),AB34,0)</f>
        <v>0</v>
      </c>
      <c r="AC35" s="130">
        <f>IF(ISTEXT(AA35),AC34,0)</f>
        <v>0</v>
      </c>
      <c r="AD35" s="224">
        <f>IF(ISTEXT(AA35),AD34,0)</f>
        <v>0</v>
      </c>
    </row>
    <row r="36" spans="1:30">
      <c r="B36" s="143" t="str">
        <f>+'Joueurs et TirageV'!Q13</f>
        <v xml:space="preserve"> </v>
      </c>
      <c r="C36" s="127">
        <f>IF(ISTEXT(B36),C34,0)</f>
        <v>9</v>
      </c>
      <c r="D36" s="128">
        <f>IF(ISTEXT(B36),D34,0)</f>
        <v>3</v>
      </c>
      <c r="E36" s="145">
        <f>IF(ISTEXT(B36),E34,0)</f>
        <v>7</v>
      </c>
      <c r="F36" s="10"/>
      <c r="G36" s="158" t="str">
        <f>+'Joueurs et TirageV'!T13</f>
        <v xml:space="preserve"> </v>
      </c>
      <c r="H36" s="25">
        <f>IF(ISTEXT(G36),H34,0)</f>
        <v>6</v>
      </c>
      <c r="I36" s="26">
        <f>IF(ISTEXT(G36),I34,0)</f>
        <v>3</v>
      </c>
      <c r="J36" s="160">
        <f>IF(ISTEXT(G36),J34,0)</f>
        <v>5</v>
      </c>
      <c r="K36" s="10"/>
      <c r="L36" s="181">
        <f>+'Joueurs et TirageV'!W13</f>
        <v>0</v>
      </c>
      <c r="M36" s="11">
        <f>IF(ISTEXT(L36),M34,0)</f>
        <v>0</v>
      </c>
      <c r="N36" s="26">
        <f>IF(ISTEXT(L36),N34,0)</f>
        <v>0</v>
      </c>
      <c r="O36" s="183">
        <f>IF(ISTEXT(L36),O34,0)</f>
        <v>0</v>
      </c>
      <c r="P36" s="9"/>
      <c r="Q36" s="202">
        <f>+'Joueurs et TirageV'!Z13</f>
        <v>0</v>
      </c>
      <c r="R36" s="11">
        <f>IF(ISTEXT(Q36),R34,0)</f>
        <v>0</v>
      </c>
      <c r="S36" s="26">
        <f>IF(ISTEXT(Q36),S34,0)</f>
        <v>0</v>
      </c>
      <c r="T36" s="204">
        <f>IF(ISTEXT(Q36),T34,0)</f>
        <v>0</v>
      </c>
      <c r="U36" s="9"/>
      <c r="V36" s="158">
        <f>+'Joueurs et TirageV'!AC13</f>
        <v>0</v>
      </c>
      <c r="W36" s="11">
        <f>IF(ISTEXT(V36),W34,0)</f>
        <v>0</v>
      </c>
      <c r="X36" s="26">
        <f>IF(ISTEXT(V36),X34,0)</f>
        <v>0</v>
      </c>
      <c r="Y36" s="160">
        <f>IF(ISTEXT(V36),Y34,0)</f>
        <v>0</v>
      </c>
      <c r="Z36" s="9"/>
      <c r="AA36" s="223">
        <f>+'Joueurs et TirageV'!AF13</f>
        <v>0</v>
      </c>
      <c r="AB36" s="11">
        <f>IF(ISTEXT(AA36),AB34,0)</f>
        <v>0</v>
      </c>
      <c r="AC36" s="26">
        <f>IF(ISTEXT(AA36),AC34,0)</f>
        <v>0</v>
      </c>
      <c r="AD36" s="225">
        <f>IF(ISTEXT(AA36),AD34,0)</f>
        <v>0</v>
      </c>
    </row>
    <row r="37" spans="1:30">
      <c r="B37" s="146"/>
      <c r="C37" s="137" t="s">
        <v>8</v>
      </c>
      <c r="D37" s="138"/>
      <c r="E37" s="147"/>
      <c r="F37" s="19"/>
      <c r="G37" s="169"/>
      <c r="H37" s="170" t="s">
        <v>8</v>
      </c>
      <c r="I37" s="171"/>
      <c r="J37" s="172"/>
      <c r="K37" s="19"/>
      <c r="L37" s="190"/>
      <c r="M37" s="191" t="s">
        <v>8</v>
      </c>
      <c r="N37" s="192"/>
      <c r="O37" s="193"/>
      <c r="P37" s="23"/>
      <c r="Q37" s="205"/>
      <c r="R37" s="196" t="s">
        <v>8</v>
      </c>
      <c r="S37" s="197"/>
      <c r="T37" s="206"/>
      <c r="U37" s="23"/>
      <c r="V37" s="215"/>
      <c r="W37" s="194" t="s">
        <v>8</v>
      </c>
      <c r="X37" s="195"/>
      <c r="Y37" s="216"/>
      <c r="Z37" s="23"/>
      <c r="AA37" s="232"/>
      <c r="AB37" s="233" t="s">
        <v>8</v>
      </c>
      <c r="AC37" s="234"/>
      <c r="AD37" s="235"/>
    </row>
    <row r="38" spans="1:30">
      <c r="B38" s="143" t="str">
        <f>'Joueurs et TirageV'!O14</f>
        <v>A6</v>
      </c>
      <c r="C38" s="28">
        <v>2</v>
      </c>
      <c r="D38" s="26">
        <f>IF(C34+C38=0,0,IF(C34=C38,2,IF(C34&lt;C38,3,1)))</f>
        <v>1</v>
      </c>
      <c r="E38" s="148">
        <f>C38-C34</f>
        <v>-7</v>
      </c>
      <c r="F38" s="18"/>
      <c r="G38" s="158" t="str">
        <f>'Joueurs et TirageV'!R14</f>
        <v>A4</v>
      </c>
      <c r="H38" s="131">
        <v>1</v>
      </c>
      <c r="I38" s="26">
        <f>IF(H34+H38=0,0,IF(H34=H38,2,IF(H34&lt;H38,3,1)))</f>
        <v>1</v>
      </c>
      <c r="J38" s="163">
        <f>H38-H34</f>
        <v>-5</v>
      </c>
      <c r="K38" s="18"/>
      <c r="L38" s="181">
        <f>'Joueurs et TirageV'!U14</f>
        <v>0</v>
      </c>
      <c r="M38" s="29"/>
      <c r="N38" s="26">
        <f>IF(M34+M38=0,0,IF(M34=M38,2,IF(M34&lt;M38,3,1)))</f>
        <v>0</v>
      </c>
      <c r="O38" s="184">
        <f>M38-M34</f>
        <v>0</v>
      </c>
      <c r="Q38" s="202">
        <f>'Joueurs et TirageV'!X14</f>
        <v>0</v>
      </c>
      <c r="R38" s="30"/>
      <c r="S38" s="26">
        <f>IF(R34+R38=0,0,IF(R34=R38,2,IF(R34&lt;R38,3,1)))</f>
        <v>0</v>
      </c>
      <c r="T38" s="207">
        <f>R38-R34</f>
        <v>0</v>
      </c>
      <c r="V38" s="158">
        <f>'Joueurs et TirageV'!AA14</f>
        <v>0</v>
      </c>
      <c r="W38" s="31"/>
      <c r="X38" s="26">
        <f>IF(W34+W38=0,0,IF(W34=W38,2,IF(W34&lt;W38,3,1)))</f>
        <v>0</v>
      </c>
      <c r="Y38" s="163">
        <f>W38-W34</f>
        <v>0</v>
      </c>
      <c r="AA38" s="223">
        <f>'Joueurs et TirageV'!AD14</f>
        <v>0</v>
      </c>
      <c r="AB38" s="32"/>
      <c r="AC38" s="26">
        <f>IF(AB34+AB38=0,0,IF(AB34=AB38,2,IF(AB34&lt;AB38,3,1)))</f>
        <v>0</v>
      </c>
      <c r="AD38" s="226">
        <f>AB38-AB34</f>
        <v>0</v>
      </c>
    </row>
    <row r="39" spans="1:30" ht="16.5" thickBot="1">
      <c r="A39" s="27">
        <v>8</v>
      </c>
      <c r="B39" s="143" t="str">
        <f>'Joueurs et TirageV'!P14</f>
        <v>B5</v>
      </c>
      <c r="C39" s="47">
        <f>IF(ISTEXT(B39),C38,0)</f>
        <v>2</v>
      </c>
      <c r="D39" s="13">
        <f>IF(ISTEXT(B39),D38,0)</f>
        <v>1</v>
      </c>
      <c r="E39" s="149">
        <f>IF(ISTEXT(B39),E38,0)</f>
        <v>-7</v>
      </c>
      <c r="F39" s="10"/>
      <c r="G39" s="158" t="str">
        <f>'Joueurs et TirageV'!S14</f>
        <v>B5</v>
      </c>
      <c r="H39" s="47">
        <f>IF(ISTEXT(G39),H38,0)</f>
        <v>1</v>
      </c>
      <c r="I39" s="13">
        <f>IF(ISTEXT(G39),I38,0)</f>
        <v>1</v>
      </c>
      <c r="J39" s="164">
        <f>IF(ISTEXT(G39),J38,0)</f>
        <v>-5</v>
      </c>
      <c r="K39" s="10"/>
      <c r="L39" s="181">
        <f>'Joueurs et TirageV'!V14</f>
        <v>0</v>
      </c>
      <c r="M39" s="47">
        <f>IF(ISTEXT(L39),M38,0)</f>
        <v>0</v>
      </c>
      <c r="N39" s="13">
        <f>IF(ISTEXT(L39),N38,0)</f>
        <v>0</v>
      </c>
      <c r="O39" s="185">
        <f>IF(ISTEXT(L39),O38,0)</f>
        <v>0</v>
      </c>
      <c r="P39" s="9"/>
      <c r="Q39" s="202">
        <f>'Joueurs et TirageV'!Y14</f>
        <v>0</v>
      </c>
      <c r="R39" s="47">
        <f>IF(ISTEXT(Q39),R38,0)</f>
        <v>0</v>
      </c>
      <c r="S39" s="13">
        <f>IF(ISTEXT(Q39),S38,0)</f>
        <v>0</v>
      </c>
      <c r="T39" s="208">
        <f>IF(ISTEXT(Q39),T38,0)</f>
        <v>0</v>
      </c>
      <c r="U39" s="9"/>
      <c r="V39" s="158">
        <f>'Joueurs et TirageV'!AB14</f>
        <v>0</v>
      </c>
      <c r="W39" s="47">
        <f>IF(ISTEXT(V39),W38,0)</f>
        <v>0</v>
      </c>
      <c r="X39" s="13">
        <f>IF(ISTEXT(V39),X38,0)</f>
        <v>0</v>
      </c>
      <c r="Y39" s="164">
        <f>IF(ISTEXT(V39),Y38,0)</f>
        <v>0</v>
      </c>
      <c r="Z39" s="9"/>
      <c r="AA39" s="223">
        <f>'Joueurs et TirageV'!AE14</f>
        <v>0</v>
      </c>
      <c r="AB39" s="47">
        <f>IF(ISTEXT(AA39),AB38,0)</f>
        <v>0</v>
      </c>
      <c r="AC39" s="13">
        <f>IF(ISTEXT(AA39),AC38,0)</f>
        <v>0</v>
      </c>
      <c r="AD39" s="227">
        <f>IF(ISTEXT(AA39),AD38,0)</f>
        <v>0</v>
      </c>
    </row>
    <row r="40" spans="1:30" ht="16.5" thickBot="1">
      <c r="B40" s="150" t="str">
        <f>+'Joueurs et TirageV'!Q14</f>
        <v xml:space="preserve"> </v>
      </c>
      <c r="C40" s="151">
        <f>IF(ISTEXT(B40),C38,0)</f>
        <v>2</v>
      </c>
      <c r="D40" s="152">
        <f>IF(ISTEXT(B40),D38,0)</f>
        <v>1</v>
      </c>
      <c r="E40" s="153">
        <f>IF(ISTEXT(B40),E38,0)</f>
        <v>-7</v>
      </c>
      <c r="F40" s="10"/>
      <c r="G40" s="165" t="str">
        <f>+'Joueurs et TirageV'!T14</f>
        <v xml:space="preserve"> </v>
      </c>
      <c r="H40" s="166">
        <f>IF(ISTEXT(G40),H38,0)</f>
        <v>1</v>
      </c>
      <c r="I40" s="167">
        <f>IF(ISTEXT(G40),I38,0)</f>
        <v>1</v>
      </c>
      <c r="J40" s="168">
        <f>IF(ISTEXT(G40),J38,0)</f>
        <v>-5</v>
      </c>
      <c r="K40" s="10"/>
      <c r="L40" s="186">
        <f>+'Joueurs et TirageV'!W14</f>
        <v>0</v>
      </c>
      <c r="M40" s="187">
        <f>IF(ISTEXT(L40),M38,0)</f>
        <v>0</v>
      </c>
      <c r="N40" s="188">
        <f>IF(ISTEXT(L40),N38,0)</f>
        <v>0</v>
      </c>
      <c r="O40" s="189">
        <f>IF(ISTEXT(L40),O38,0)</f>
        <v>0</v>
      </c>
      <c r="P40" s="9"/>
      <c r="Q40" s="209">
        <f>+'Joueurs et TirageV'!Z14</f>
        <v>0</v>
      </c>
      <c r="R40" s="210">
        <f>IF(ISTEXT(Q40),R38,0)</f>
        <v>0</v>
      </c>
      <c r="S40" s="211">
        <f>IF(ISTEXT(Q40),S38,0)</f>
        <v>0</v>
      </c>
      <c r="T40" s="212">
        <f>IF(ISTEXT(Q40),T38,0)</f>
        <v>0</v>
      </c>
      <c r="U40" s="9"/>
      <c r="V40" s="165">
        <f>+'Joueurs et TirageV'!AC14</f>
        <v>0</v>
      </c>
      <c r="W40" s="166">
        <f>IF(ISTEXT(V40),W38,0)</f>
        <v>0</v>
      </c>
      <c r="X40" s="167">
        <f>IF(ISTEXT(V40),X38,0)</f>
        <v>0</v>
      </c>
      <c r="Y40" s="168">
        <f>IF(ISTEXT(V40),Y38,0)</f>
        <v>0</v>
      </c>
      <c r="Z40" s="9"/>
      <c r="AA40" s="228">
        <f>+'Joueurs et TirageV'!AF14</f>
        <v>0</v>
      </c>
      <c r="AB40" s="229">
        <f>IF(ISTEXT(AA40),AB38,0)</f>
        <v>0</v>
      </c>
      <c r="AC40" s="230">
        <f>IF(ISTEXT(AA40),AC38,0)</f>
        <v>0</v>
      </c>
      <c r="AD40" s="231">
        <f>IF(ISTEXT(AA40),AD38,0)</f>
        <v>0</v>
      </c>
    </row>
    <row r="41" spans="1:30" ht="17.25" thickTop="1" thickBot="1">
      <c r="B41" s="12"/>
      <c r="C41" s="18"/>
      <c r="D41" s="12"/>
      <c r="E41" s="10"/>
      <c r="F41" s="18"/>
      <c r="G41" s="12"/>
      <c r="H41" s="18"/>
      <c r="I41" s="12"/>
      <c r="J41" s="10"/>
      <c r="K41" s="18"/>
      <c r="L41" s="12"/>
      <c r="M41" s="18"/>
      <c r="N41" s="12"/>
      <c r="O41" s="10"/>
      <c r="Q41" s="12"/>
      <c r="R41" s="18"/>
      <c r="S41" s="12"/>
      <c r="T41" s="10"/>
      <c r="V41" s="12"/>
      <c r="W41" s="18"/>
      <c r="X41" s="12"/>
      <c r="Y41" s="10"/>
      <c r="AA41" s="12"/>
      <c r="AB41" s="18"/>
      <c r="AC41" s="12"/>
      <c r="AD41" s="10"/>
    </row>
    <row r="42" spans="1:30" ht="16.5" thickTop="1">
      <c r="B42" s="139">
        <f>'Joueurs et TirageV'!O15</f>
        <v>0</v>
      </c>
      <c r="C42" s="140"/>
      <c r="D42" s="141" t="str">
        <f>IF(C42+C46=0,"0",IF(C42=C46,2,IF(C42&gt;C46,3,1)))</f>
        <v>0</v>
      </c>
      <c r="E42" s="142">
        <f>C42-C46</f>
        <v>0</v>
      </c>
      <c r="F42" s="18"/>
      <c r="G42" s="154">
        <f>'Joueurs et TirageV'!R15</f>
        <v>0</v>
      </c>
      <c r="H42" s="155"/>
      <c r="I42" s="156">
        <f>IF(H42+H46=0,0,IF(H42=H46,2,IF(H42&gt;H46,3,1)))</f>
        <v>0</v>
      </c>
      <c r="J42" s="157">
        <f>H42-H46</f>
        <v>0</v>
      </c>
      <c r="K42" s="18"/>
      <c r="L42" s="177">
        <f>'Joueurs et TirageV'!U15</f>
        <v>0</v>
      </c>
      <c r="M42" s="178"/>
      <c r="N42" s="179">
        <f>IF(M42+M46=0,0,IF(M42=M46,2,IF(M42&gt;M46,3,1)))</f>
        <v>0</v>
      </c>
      <c r="O42" s="180">
        <f>M42-M46</f>
        <v>0</v>
      </c>
      <c r="Q42" s="198">
        <f>'Joueurs et TirageV'!X15</f>
        <v>0</v>
      </c>
      <c r="R42" s="199"/>
      <c r="S42" s="200">
        <f>IF(R42+R46=0,0,IF(R42=R46,2,IF(R42&gt;R46,3,1)))</f>
        <v>0</v>
      </c>
      <c r="T42" s="201">
        <f>R42-R46</f>
        <v>0</v>
      </c>
      <c r="V42" s="154">
        <f>'Joueurs et TirageV'!AA15</f>
        <v>0</v>
      </c>
      <c r="W42" s="214"/>
      <c r="X42" s="156">
        <f>IF(W42+W46=0,0,IF(W42=W46,2,IF(W42&gt;W46,3,1)))</f>
        <v>0</v>
      </c>
      <c r="Y42" s="157">
        <f>W42-W46</f>
        <v>0</v>
      </c>
      <c r="AA42" s="236">
        <f>'Joueurs et TirageV'!AD15</f>
        <v>0</v>
      </c>
      <c r="AB42" s="220"/>
      <c r="AC42" s="221">
        <f>IF(AB42+AB46=0,0,IF(AB42=AB46,2,IF(AB42&gt;AB46,3,1)))</f>
        <v>0</v>
      </c>
      <c r="AD42" s="222">
        <f>AB42-AB46</f>
        <v>0</v>
      </c>
    </row>
    <row r="43" spans="1:30" ht="16.5" thickBot="1">
      <c r="A43" s="27">
        <v>9</v>
      </c>
      <c r="B43" s="143">
        <f>'Joueurs et TirageV'!P15</f>
        <v>0</v>
      </c>
      <c r="C43" s="129">
        <f>IF(ISTEXT(B43),C42,0)</f>
        <v>0</v>
      </c>
      <c r="D43" s="130" t="str">
        <f>IF(ISTEXT(B43),D42,"0")</f>
        <v>0</v>
      </c>
      <c r="E43" s="144">
        <f>IF(ISTEXT(B43),E42,0)</f>
        <v>0</v>
      </c>
      <c r="F43" s="10"/>
      <c r="G43" s="158">
        <f>'Joueurs et TirageV'!S15</f>
        <v>0</v>
      </c>
      <c r="H43" s="129">
        <f>IF(ISTEXT(G43),H42,0)</f>
        <v>0</v>
      </c>
      <c r="I43" s="130">
        <f>IF(ISTEXT(G43),I42,0)</f>
        <v>0</v>
      </c>
      <c r="J43" s="159">
        <f>IF(ISTEXT(G43),J42,0)</f>
        <v>0</v>
      </c>
      <c r="K43" s="10"/>
      <c r="L43" s="181">
        <f>'Joueurs et TirageV'!V15</f>
        <v>0</v>
      </c>
      <c r="M43" s="129">
        <f>IF(ISTEXT(L43),M42,0)</f>
        <v>0</v>
      </c>
      <c r="N43" s="130">
        <f>IF(ISTEXT(L43),N42,0)</f>
        <v>0</v>
      </c>
      <c r="O43" s="182">
        <f>IF(ISTEXT(L43),O42,0)</f>
        <v>0</v>
      </c>
      <c r="P43" s="9"/>
      <c r="Q43" s="202">
        <f>'Joueurs et TirageV'!Y15</f>
        <v>0</v>
      </c>
      <c r="R43" s="129">
        <f>IF(ISTEXT(Q43),R42,0)</f>
        <v>0</v>
      </c>
      <c r="S43" s="130">
        <f>IF(ISTEXT(Q43),S42,0)</f>
        <v>0</v>
      </c>
      <c r="T43" s="203">
        <f>IF(ISTEXT(Q43),T42,0)</f>
        <v>0</v>
      </c>
      <c r="U43" s="9"/>
      <c r="V43" s="158">
        <f>'Joueurs et TirageV'!AB15</f>
        <v>0</v>
      </c>
      <c r="W43" s="129">
        <f>IF(ISTEXT(V43),W42,0)</f>
        <v>0</v>
      </c>
      <c r="X43" s="130">
        <f>IF(ISTEXT(V43),X42,0)</f>
        <v>0</v>
      </c>
      <c r="Y43" s="159">
        <f>IF(ISTEXT(V43),Y42,0)</f>
        <v>0</v>
      </c>
      <c r="Z43" s="9"/>
      <c r="AA43" s="223">
        <f>'Joueurs et TirageV'!AE15</f>
        <v>0</v>
      </c>
      <c r="AB43" s="129">
        <f>IF(ISTEXT(AA43),AB42,0)</f>
        <v>0</v>
      </c>
      <c r="AC43" s="130">
        <f>IF(ISTEXT(AA43),AC42,0)</f>
        <v>0</v>
      </c>
      <c r="AD43" s="224">
        <f>IF(ISTEXT(AA43),AD42,0)</f>
        <v>0</v>
      </c>
    </row>
    <row r="44" spans="1:30">
      <c r="B44" s="143">
        <f>+'Joueurs et TirageV'!Q15</f>
        <v>0</v>
      </c>
      <c r="C44" s="127">
        <f>IF(ISTEXT(B44),C42,0)</f>
        <v>0</v>
      </c>
      <c r="D44" s="128" t="str">
        <f>IF(ISTEXT(B44),D42,"0")</f>
        <v>0</v>
      </c>
      <c r="E44" s="145">
        <f>IF(ISTEXT(B44),E42,0)</f>
        <v>0</v>
      </c>
      <c r="F44" s="10"/>
      <c r="G44" s="158">
        <f>+'Joueurs et TirageV'!T15</f>
        <v>0</v>
      </c>
      <c r="H44" s="25">
        <f>IF(ISTEXT(G44),H42,0)</f>
        <v>0</v>
      </c>
      <c r="I44" s="26">
        <f>IF(ISTEXT(G44),I42,0)</f>
        <v>0</v>
      </c>
      <c r="J44" s="160">
        <f>IF(ISTEXT(G44),J42,0)</f>
        <v>0</v>
      </c>
      <c r="K44" s="10"/>
      <c r="L44" s="181">
        <f>+'Joueurs et TirageV'!W15</f>
        <v>0</v>
      </c>
      <c r="M44" s="11">
        <f>IF(ISTEXT(L44),M42,0)</f>
        <v>0</v>
      </c>
      <c r="N44" s="26">
        <f>IF(ISTEXT(L44),N42,0)</f>
        <v>0</v>
      </c>
      <c r="O44" s="183">
        <f>IF(ISTEXT(L44),O42,0)</f>
        <v>0</v>
      </c>
      <c r="P44" s="9"/>
      <c r="Q44" s="202">
        <f>+'Joueurs et TirageV'!Z15</f>
        <v>0</v>
      </c>
      <c r="R44" s="11">
        <f>IF(ISTEXT(Q44),R42,0)</f>
        <v>0</v>
      </c>
      <c r="S44" s="26">
        <f>IF(ISTEXT(Q44),S42,0)</f>
        <v>0</v>
      </c>
      <c r="T44" s="204">
        <f>IF(ISTEXT(Q44),T42,0)</f>
        <v>0</v>
      </c>
      <c r="U44" s="9"/>
      <c r="V44" s="158">
        <f>+'Joueurs et TirageV'!AC15</f>
        <v>0</v>
      </c>
      <c r="W44" s="11">
        <f>IF(ISTEXT(V44),W42,0)</f>
        <v>0</v>
      </c>
      <c r="X44" s="26">
        <f>IF(ISTEXT(V44),X42,0)</f>
        <v>0</v>
      </c>
      <c r="Y44" s="160">
        <f>IF(ISTEXT(V44),Y42,0)</f>
        <v>0</v>
      </c>
      <c r="Z44" s="9"/>
      <c r="AA44" s="223">
        <f>+'Joueurs et TirageV'!AF15</f>
        <v>0</v>
      </c>
      <c r="AB44" s="11">
        <f>IF(ISTEXT(AA44),AB42,0)</f>
        <v>0</v>
      </c>
      <c r="AC44" s="26">
        <f>IF(ISTEXT(AA44),AC42,0)</f>
        <v>0</v>
      </c>
      <c r="AD44" s="225">
        <f>IF(ISTEXT(AA44),AD42,0)</f>
        <v>0</v>
      </c>
    </row>
    <row r="45" spans="1:30">
      <c r="B45" s="146"/>
      <c r="C45" s="137" t="s">
        <v>8</v>
      </c>
      <c r="D45" s="138"/>
      <c r="E45" s="147"/>
      <c r="F45" s="19"/>
      <c r="G45" s="169"/>
      <c r="H45" s="170" t="s">
        <v>8</v>
      </c>
      <c r="I45" s="171"/>
      <c r="J45" s="172"/>
      <c r="K45" s="19"/>
      <c r="L45" s="190"/>
      <c r="M45" s="191" t="s">
        <v>8</v>
      </c>
      <c r="N45" s="192"/>
      <c r="O45" s="193"/>
      <c r="P45" s="23"/>
      <c r="Q45" s="205"/>
      <c r="R45" s="196" t="s">
        <v>8</v>
      </c>
      <c r="S45" s="197"/>
      <c r="T45" s="206"/>
      <c r="U45" s="23"/>
      <c r="V45" s="215"/>
      <c r="W45" s="194" t="s">
        <v>8</v>
      </c>
      <c r="X45" s="195"/>
      <c r="Y45" s="216"/>
      <c r="Z45" s="23"/>
      <c r="AA45" s="237"/>
      <c r="AB45" s="24" t="s">
        <v>8</v>
      </c>
      <c r="AC45" s="15"/>
      <c r="AD45" s="238"/>
    </row>
    <row r="46" spans="1:30">
      <c r="B46" s="143">
        <f>'Joueurs et TirageV'!O16</f>
        <v>0</v>
      </c>
      <c r="C46" s="28"/>
      <c r="D46" s="26">
        <f>IF(C42+C46=0,0,IF(C42=C46,2,IF(C42&lt;C46,3,1)))</f>
        <v>0</v>
      </c>
      <c r="E46" s="148">
        <f>C46-C42</f>
        <v>0</v>
      </c>
      <c r="F46" s="18"/>
      <c r="G46" s="158">
        <f>'Joueurs et TirageV'!R16</f>
        <v>0</v>
      </c>
      <c r="H46" s="131"/>
      <c r="I46" s="26">
        <f>IF(H42+H46=0,0,IF(H42=H46,2,IF(H42&lt;H46,3,1)))</f>
        <v>0</v>
      </c>
      <c r="J46" s="163">
        <f>H46-H42</f>
        <v>0</v>
      </c>
      <c r="K46" s="18"/>
      <c r="L46" s="181">
        <f>'Joueurs et TirageV'!U16</f>
        <v>0</v>
      </c>
      <c r="M46" s="29"/>
      <c r="N46" s="26">
        <f>IF(M42+M46=0,0,IF(M42=M46,2,IF(M42&lt;M46,3,1)))</f>
        <v>0</v>
      </c>
      <c r="O46" s="184">
        <f>M46-M42</f>
        <v>0</v>
      </c>
      <c r="Q46" s="202">
        <f>'Joueurs et TirageV'!X16</f>
        <v>0</v>
      </c>
      <c r="R46" s="30"/>
      <c r="S46" s="26">
        <f>IF(R42+R46=0,0,IF(R42=R46,2,IF(R42&lt;R46,3,1)))</f>
        <v>0</v>
      </c>
      <c r="T46" s="207">
        <f>R46-R42</f>
        <v>0</v>
      </c>
      <c r="V46" s="158">
        <f>'Joueurs et TirageV'!AA16</f>
        <v>0</v>
      </c>
      <c r="W46" s="31"/>
      <c r="X46" s="26">
        <f>IF(W42+W46=0,0,IF(W42=W46,2,IF(W42&lt;W46,3,1)))</f>
        <v>0</v>
      </c>
      <c r="Y46" s="163">
        <f>W46-W42</f>
        <v>0</v>
      </c>
      <c r="AA46" s="223">
        <f>'Joueurs et TirageV'!AD16</f>
        <v>0</v>
      </c>
      <c r="AB46" s="32"/>
      <c r="AC46" s="26">
        <f>IF(AB42+AB46=0,0,IF(AB42=AB46,2,IF(AB42&lt;AB46,3,1)))</f>
        <v>0</v>
      </c>
      <c r="AD46" s="226">
        <f>AB46-AB42</f>
        <v>0</v>
      </c>
    </row>
    <row r="47" spans="1:30" ht="16.5" thickBot="1">
      <c r="A47" s="27">
        <v>10</v>
      </c>
      <c r="B47" s="143">
        <f>'Joueurs et TirageV'!P16</f>
        <v>0</v>
      </c>
      <c r="C47" s="47">
        <f>IF(ISTEXT(B47),C46,0)</f>
        <v>0</v>
      </c>
      <c r="D47" s="13">
        <f>IF(ISTEXT(B47),D46,0)</f>
        <v>0</v>
      </c>
      <c r="E47" s="149">
        <f>IF(ISTEXT(B47),E46,0)</f>
        <v>0</v>
      </c>
      <c r="F47" s="10"/>
      <c r="G47" s="158">
        <f>'Joueurs et TirageV'!S16</f>
        <v>0</v>
      </c>
      <c r="H47" s="47">
        <f>IF(ISTEXT(G47),H46,0)</f>
        <v>0</v>
      </c>
      <c r="I47" s="13">
        <f>IF(ISTEXT(G47),I46,0)</f>
        <v>0</v>
      </c>
      <c r="J47" s="164">
        <f>IF(ISTEXT(G47),J46,0)</f>
        <v>0</v>
      </c>
      <c r="K47" s="10"/>
      <c r="L47" s="181">
        <f>'Joueurs et TirageV'!V16</f>
        <v>0</v>
      </c>
      <c r="M47" s="47">
        <f>IF(ISTEXT(L47),M46,0)</f>
        <v>0</v>
      </c>
      <c r="N47" s="13">
        <f>IF(ISTEXT(L47),N46,0)</f>
        <v>0</v>
      </c>
      <c r="O47" s="185">
        <f>IF(ISTEXT(L47),O46,0)</f>
        <v>0</v>
      </c>
      <c r="P47" s="9"/>
      <c r="Q47" s="202">
        <f>'Joueurs et TirageV'!Y16</f>
        <v>0</v>
      </c>
      <c r="R47" s="47">
        <f>IF(ISTEXT(Q47),R46,0)</f>
        <v>0</v>
      </c>
      <c r="S47" s="13">
        <f>IF(ISTEXT(Q47),S46,0)</f>
        <v>0</v>
      </c>
      <c r="T47" s="208">
        <f>IF(ISTEXT(Q47),T46,0)</f>
        <v>0</v>
      </c>
      <c r="U47" s="9"/>
      <c r="V47" s="158">
        <f>'Joueurs et TirageV'!AB16</f>
        <v>0</v>
      </c>
      <c r="W47" s="47">
        <f>IF(ISTEXT(V47),W46,0)</f>
        <v>0</v>
      </c>
      <c r="X47" s="13">
        <f>IF(ISTEXT(V47),X46,0)</f>
        <v>0</v>
      </c>
      <c r="Y47" s="164">
        <f>IF(ISTEXT(V47),Y46,0)</f>
        <v>0</v>
      </c>
      <c r="Z47" s="9"/>
      <c r="AA47" s="223">
        <f>'Joueurs et TirageV'!AE16</f>
        <v>0</v>
      </c>
      <c r="AB47" s="47">
        <f>IF(ISTEXT(AA47),AB46,0)</f>
        <v>0</v>
      </c>
      <c r="AC47" s="13">
        <f>IF(ISTEXT(AA47),AC46,0)</f>
        <v>0</v>
      </c>
      <c r="AD47" s="227">
        <f>IF(ISTEXT(AA47),AD46,0)</f>
        <v>0</v>
      </c>
    </row>
    <row r="48" spans="1:30" ht="16.5" thickBot="1">
      <c r="B48" s="150">
        <f>+'Joueurs et TirageV'!Q16</f>
        <v>0</v>
      </c>
      <c r="C48" s="151">
        <f>IF(ISTEXT(B48),C46,0)</f>
        <v>0</v>
      </c>
      <c r="D48" s="152">
        <f>IF(ISTEXT(B48),D46,0)</f>
        <v>0</v>
      </c>
      <c r="E48" s="153">
        <f>IF(ISTEXT(B48),E46,0)</f>
        <v>0</v>
      </c>
      <c r="F48" s="10"/>
      <c r="G48" s="165">
        <f>+'Joueurs et TirageV'!T16</f>
        <v>0</v>
      </c>
      <c r="H48" s="166">
        <f>IF(ISTEXT(G48),H46,0)</f>
        <v>0</v>
      </c>
      <c r="I48" s="167">
        <f>IF(ISTEXT(G48),I46,0)</f>
        <v>0</v>
      </c>
      <c r="J48" s="168">
        <f>IF(ISTEXT(G48),J46,0)</f>
        <v>0</v>
      </c>
      <c r="K48" s="10"/>
      <c r="L48" s="186">
        <f>+'Joueurs et TirageV'!W16</f>
        <v>0</v>
      </c>
      <c r="M48" s="187">
        <f>IF(ISTEXT(L48),M46,0)</f>
        <v>0</v>
      </c>
      <c r="N48" s="188">
        <f>IF(ISTEXT(L48),N46,0)</f>
        <v>0</v>
      </c>
      <c r="O48" s="189">
        <f>IF(ISTEXT(L48),O46,0)</f>
        <v>0</v>
      </c>
      <c r="P48" s="9"/>
      <c r="Q48" s="209">
        <f>+'Joueurs et TirageV'!Z16</f>
        <v>0</v>
      </c>
      <c r="R48" s="210">
        <f>IF(ISTEXT(Q48),R46,0)</f>
        <v>0</v>
      </c>
      <c r="S48" s="211">
        <f>IF(ISTEXT(Q48),S46,0)</f>
        <v>0</v>
      </c>
      <c r="T48" s="212">
        <f>IF(ISTEXT(Q48),T46,0)</f>
        <v>0</v>
      </c>
      <c r="U48" s="9"/>
      <c r="V48" s="165">
        <f>+'Joueurs et TirageV'!AC16</f>
        <v>0</v>
      </c>
      <c r="W48" s="166">
        <f>IF(ISTEXT(V48),W46,0)</f>
        <v>0</v>
      </c>
      <c r="X48" s="167">
        <f>IF(ISTEXT(V48),X46,0)</f>
        <v>0</v>
      </c>
      <c r="Y48" s="168">
        <f>IF(ISTEXT(V48),Y46,0)</f>
        <v>0</v>
      </c>
      <c r="Z48" s="9"/>
      <c r="AA48" s="228">
        <f>+'Joueurs et TirageV'!AF16</f>
        <v>0</v>
      </c>
      <c r="AB48" s="229">
        <f>IF(ISTEXT(AA48),AB46,0)</f>
        <v>0</v>
      </c>
      <c r="AC48" s="230">
        <f>IF(ISTEXT(AA48),AC46,0)</f>
        <v>0</v>
      </c>
      <c r="AD48" s="231">
        <f>IF(ISTEXT(AA48),AD46,0)</f>
        <v>0</v>
      </c>
    </row>
    <row r="49" spans="1:30" ht="17.25" thickTop="1" thickBot="1">
      <c r="B49" s="12"/>
      <c r="C49" s="18"/>
      <c r="D49" s="12"/>
      <c r="E49" s="10"/>
      <c r="F49" s="18"/>
      <c r="G49" s="12"/>
      <c r="H49" s="18"/>
      <c r="I49" s="12"/>
      <c r="J49" s="10"/>
      <c r="K49" s="18"/>
      <c r="L49" s="12"/>
      <c r="M49" s="18"/>
      <c r="N49" s="12"/>
      <c r="O49" s="10"/>
      <c r="Q49" s="12"/>
      <c r="R49" s="18"/>
      <c r="S49" s="12"/>
      <c r="T49" s="10"/>
      <c r="V49" s="12"/>
      <c r="W49" s="18"/>
      <c r="X49" s="12"/>
      <c r="Y49" s="10"/>
      <c r="AA49" s="12"/>
      <c r="AB49" s="18"/>
      <c r="AC49" s="12"/>
      <c r="AD49" s="10"/>
    </row>
    <row r="50" spans="1:30" ht="16.5" thickTop="1">
      <c r="B50" s="139">
        <f>'Joueurs et TirageV'!O17</f>
        <v>0</v>
      </c>
      <c r="C50" s="140"/>
      <c r="D50" s="141">
        <f>IF(C50+C54=0,0,IF(C50=C54,2,IF(C50&gt;C54,3,1)))</f>
        <v>0</v>
      </c>
      <c r="E50" s="142">
        <f>C50-C54</f>
        <v>0</v>
      </c>
      <c r="F50" s="18"/>
      <c r="G50" s="154">
        <f>'Joueurs et TirageV'!R17</f>
        <v>0</v>
      </c>
      <c r="H50" s="155"/>
      <c r="I50" s="156">
        <f>IF(H50+H54=0,0,IF(H50=H54,2,IF(H50&gt;H54,3,1)))</f>
        <v>0</v>
      </c>
      <c r="J50" s="157">
        <f>H50-H54</f>
        <v>0</v>
      </c>
      <c r="K50" s="18"/>
      <c r="L50" s="177">
        <f>'Joueurs et TirageV'!U17</f>
        <v>0</v>
      </c>
      <c r="M50" s="178"/>
      <c r="N50" s="179">
        <f>IF(M50+M54=0,0,IF(M50=M54,2,IF(M50&gt;M54,3,1)))</f>
        <v>0</v>
      </c>
      <c r="O50" s="180">
        <f>M50-M54</f>
        <v>0</v>
      </c>
      <c r="Q50" s="198">
        <f>'Joueurs et TirageV'!X17</f>
        <v>0</v>
      </c>
      <c r="R50" s="199"/>
      <c r="S50" s="200">
        <f>IF(R50+R54=0,0,IF(R50=R54,2,IF(R50&gt;R54,3,1)))</f>
        <v>0</v>
      </c>
      <c r="T50" s="201">
        <f>R50-R54</f>
        <v>0</v>
      </c>
      <c r="V50" s="154">
        <f>'Joueurs et TirageV'!AA17</f>
        <v>0</v>
      </c>
      <c r="W50" s="214"/>
      <c r="X50" s="156">
        <f>IF(W50+W54=0,0,IF(W50=W54,2,IF(W50&gt;W54,3,1)))</f>
        <v>0</v>
      </c>
      <c r="Y50" s="157">
        <f>W50-W54</f>
        <v>0</v>
      </c>
      <c r="AA50" s="236">
        <f>'Joueurs et TirageV'!AD17</f>
        <v>0</v>
      </c>
      <c r="AB50" s="220"/>
      <c r="AC50" s="221">
        <f>IF(AB50+AB54=0,0,IF(AB50=AB54,2,IF(AB50&gt;AB54,3,1)))</f>
        <v>0</v>
      </c>
      <c r="AD50" s="222">
        <f>AB50-AB54</f>
        <v>0</v>
      </c>
    </row>
    <row r="51" spans="1:30" ht="16.5" thickBot="1">
      <c r="A51" s="27">
        <v>11</v>
      </c>
      <c r="B51" s="143">
        <f>'Joueurs et TirageV'!P17</f>
        <v>0</v>
      </c>
      <c r="C51" s="129">
        <f>IF(ISTEXT(B51),C50,0)</f>
        <v>0</v>
      </c>
      <c r="D51" s="130">
        <f>IF(ISTEXT(B51),D50,0)</f>
        <v>0</v>
      </c>
      <c r="E51" s="144">
        <f>IF(ISTEXT(B51),E50,0)</f>
        <v>0</v>
      </c>
      <c r="F51" s="10"/>
      <c r="G51" s="158">
        <f>'Joueurs et TirageV'!S17</f>
        <v>0</v>
      </c>
      <c r="H51" s="129">
        <f>IF(ISTEXT(G51),H50,0)</f>
        <v>0</v>
      </c>
      <c r="I51" s="130">
        <f>IF(ISTEXT(G51),I50,0)</f>
        <v>0</v>
      </c>
      <c r="J51" s="159">
        <f>IF(ISTEXT(G51),J50,0)</f>
        <v>0</v>
      </c>
      <c r="K51" s="10"/>
      <c r="L51" s="181">
        <f>'Joueurs et TirageV'!V17</f>
        <v>0</v>
      </c>
      <c r="M51" s="129">
        <f>IF(ISTEXT(L51),M50,0)</f>
        <v>0</v>
      </c>
      <c r="N51" s="130">
        <f>IF(ISTEXT(L51),N50,0)</f>
        <v>0</v>
      </c>
      <c r="O51" s="182">
        <f>IF(ISTEXT(L51),O50,0)</f>
        <v>0</v>
      </c>
      <c r="P51" s="9"/>
      <c r="Q51" s="202">
        <f>'Joueurs et TirageV'!Y17</f>
        <v>0</v>
      </c>
      <c r="R51" s="129">
        <f>IF(ISTEXT(Q51),R50,0)</f>
        <v>0</v>
      </c>
      <c r="S51" s="130">
        <f>IF(ISTEXT(Q51),S50,0)</f>
        <v>0</v>
      </c>
      <c r="T51" s="203">
        <f>IF(ISTEXT(Q51),T50,0)</f>
        <v>0</v>
      </c>
      <c r="U51" s="9"/>
      <c r="V51" s="158">
        <f>'Joueurs et TirageV'!AB17</f>
        <v>0</v>
      </c>
      <c r="W51" s="129">
        <f>IF(ISTEXT(V51),W50,0)</f>
        <v>0</v>
      </c>
      <c r="X51" s="130">
        <f>IF(ISTEXT(V51),X50,0)</f>
        <v>0</v>
      </c>
      <c r="Y51" s="159">
        <f>IF(ISTEXT(V51),Y50,0)</f>
        <v>0</v>
      </c>
      <c r="Z51" s="9"/>
      <c r="AA51" s="223">
        <f>'Joueurs et TirageV'!AE17</f>
        <v>0</v>
      </c>
      <c r="AB51" s="129">
        <f>IF(ISTEXT(AA51),AB50,0)</f>
        <v>0</v>
      </c>
      <c r="AC51" s="130">
        <f>IF(ISTEXT(AA51),AC50,0)</f>
        <v>0</v>
      </c>
      <c r="AD51" s="224">
        <f>IF(ISTEXT(AA51),AD50,0)</f>
        <v>0</v>
      </c>
    </row>
    <row r="52" spans="1:30">
      <c r="B52" s="143">
        <f>+'Joueurs et TirageV'!Q17</f>
        <v>0</v>
      </c>
      <c r="C52" s="127">
        <f>IF(ISTEXT(B52),C50,0)</f>
        <v>0</v>
      </c>
      <c r="D52" s="128">
        <f>IF(ISTEXT(B52),D50,0)</f>
        <v>0</v>
      </c>
      <c r="E52" s="145">
        <f>IF(ISTEXT(B52),E50,0)</f>
        <v>0</v>
      </c>
      <c r="F52" s="10"/>
      <c r="G52" s="158">
        <f>+'Joueurs et TirageV'!T17</f>
        <v>0</v>
      </c>
      <c r="H52" s="25">
        <f>IF(ISTEXT(G52),H50,0)</f>
        <v>0</v>
      </c>
      <c r="I52" s="26">
        <f>IF(ISTEXT(G52),I50,0)</f>
        <v>0</v>
      </c>
      <c r="J52" s="160">
        <f>IF(ISTEXT(G52),J50,0)</f>
        <v>0</v>
      </c>
      <c r="K52" s="10"/>
      <c r="L52" s="181">
        <f>+'Joueurs et TirageV'!W17</f>
        <v>0</v>
      </c>
      <c r="M52" s="11">
        <f>IF(ISTEXT(L52),M50,0)</f>
        <v>0</v>
      </c>
      <c r="N52" s="26">
        <f>IF(ISTEXT(L52),N50,0)</f>
        <v>0</v>
      </c>
      <c r="O52" s="183">
        <f>IF(ISTEXT(L52),O50,0)</f>
        <v>0</v>
      </c>
      <c r="P52" s="9"/>
      <c r="Q52" s="202">
        <f>+'Joueurs et TirageV'!Z17</f>
        <v>0</v>
      </c>
      <c r="R52" s="11">
        <f>IF(ISTEXT(Q52),R50,0)</f>
        <v>0</v>
      </c>
      <c r="S52" s="26">
        <f>IF(ISTEXT(Q52),S50,0)</f>
        <v>0</v>
      </c>
      <c r="T52" s="204">
        <f>IF(ISTEXT(Q52),T50,0)</f>
        <v>0</v>
      </c>
      <c r="U52" s="9"/>
      <c r="V52" s="158">
        <f>+'Joueurs et TirageV'!AC17</f>
        <v>0</v>
      </c>
      <c r="W52" s="11">
        <f>IF(ISTEXT(V52),W50,0)</f>
        <v>0</v>
      </c>
      <c r="X52" s="26">
        <f>IF(ISTEXT(V52),X50,0)</f>
        <v>0</v>
      </c>
      <c r="Y52" s="160">
        <f>IF(ISTEXT(V52),Y50,0)</f>
        <v>0</v>
      </c>
      <c r="Z52" s="9"/>
      <c r="AA52" s="223">
        <f>+'Joueurs et TirageV'!AF17</f>
        <v>0</v>
      </c>
      <c r="AB52" s="11">
        <f>IF(ISTEXT(AA52),AB50,0)</f>
        <v>0</v>
      </c>
      <c r="AC52" s="26">
        <f>IF(ISTEXT(AA52),AC50,0)</f>
        <v>0</v>
      </c>
      <c r="AD52" s="225">
        <f>IF(ISTEXT(AA52),AD50,0)</f>
        <v>0</v>
      </c>
    </row>
    <row r="53" spans="1:30">
      <c r="B53" s="146"/>
      <c r="C53" s="137" t="s">
        <v>8</v>
      </c>
      <c r="D53" s="138"/>
      <c r="E53" s="147"/>
      <c r="F53" s="19"/>
      <c r="G53" s="169"/>
      <c r="H53" s="170" t="s">
        <v>8</v>
      </c>
      <c r="I53" s="171"/>
      <c r="J53" s="172"/>
      <c r="K53" s="19"/>
      <c r="L53" s="190"/>
      <c r="M53" s="191" t="s">
        <v>8</v>
      </c>
      <c r="N53" s="192"/>
      <c r="O53" s="193"/>
      <c r="P53" s="23"/>
      <c r="Q53" s="205"/>
      <c r="R53" s="196" t="s">
        <v>8</v>
      </c>
      <c r="S53" s="197"/>
      <c r="T53" s="206"/>
      <c r="U53" s="23"/>
      <c r="V53" s="215"/>
      <c r="W53" s="194" t="s">
        <v>8</v>
      </c>
      <c r="X53" s="195"/>
      <c r="Y53" s="216"/>
      <c r="Z53" s="23"/>
      <c r="AA53" s="232"/>
      <c r="AB53" s="233" t="s">
        <v>8</v>
      </c>
      <c r="AC53" s="234"/>
      <c r="AD53" s="235"/>
    </row>
    <row r="54" spans="1:30">
      <c r="B54" s="143">
        <f>'Joueurs et TirageV'!O18</f>
        <v>0</v>
      </c>
      <c r="C54" s="28"/>
      <c r="D54" s="26">
        <f>IF(C50+C54=0,0,IF(C50=C54,2,IF(C50&lt;C54,3,1)))</f>
        <v>0</v>
      </c>
      <c r="E54" s="148">
        <f>C54-C50</f>
        <v>0</v>
      </c>
      <c r="F54" s="18"/>
      <c r="G54" s="158">
        <f>'Joueurs et TirageV'!R18</f>
        <v>0</v>
      </c>
      <c r="H54" s="131"/>
      <c r="I54" s="26">
        <f>IF(H50+H54=0,0,IF(H50=H54,2,IF(H50&lt;H54,3,1)))</f>
        <v>0</v>
      </c>
      <c r="J54" s="163">
        <f>H54-H50</f>
        <v>0</v>
      </c>
      <c r="K54" s="18"/>
      <c r="L54" s="181">
        <f>'Joueurs et TirageV'!U18</f>
        <v>0</v>
      </c>
      <c r="M54" s="29"/>
      <c r="N54" s="26">
        <f>IF(M50+M54=0,0,IF(M50=M54,2,IF(M50&lt;M54,3,1)))</f>
        <v>0</v>
      </c>
      <c r="O54" s="184">
        <f>M54-M50</f>
        <v>0</v>
      </c>
      <c r="Q54" s="202">
        <f>'Joueurs et TirageV'!X18</f>
        <v>0</v>
      </c>
      <c r="R54" s="30"/>
      <c r="S54" s="26">
        <f>IF(R50+R54=0,0,IF(R50=R54,2,IF(R50&lt;R54,3,1)))</f>
        <v>0</v>
      </c>
      <c r="T54" s="207">
        <f>R54-R50</f>
        <v>0</v>
      </c>
      <c r="V54" s="158">
        <f>'Joueurs et TirageV'!AA18</f>
        <v>0</v>
      </c>
      <c r="W54" s="31"/>
      <c r="X54" s="26">
        <f>IF(W50+W54=0,0,IF(W50=W54,2,IF(W50&lt;W54,3,1)))</f>
        <v>0</v>
      </c>
      <c r="Y54" s="163">
        <f>W54-W50</f>
        <v>0</v>
      </c>
      <c r="AA54" s="223">
        <f>'Joueurs et TirageV'!AD18</f>
        <v>0</v>
      </c>
      <c r="AB54" s="32"/>
      <c r="AC54" s="26">
        <f>IF(AB50+AB54=0,0,IF(AB50=AB54,2,IF(AB50&lt;AB54,3,1)))</f>
        <v>0</v>
      </c>
      <c r="AD54" s="226">
        <f>AB54-AB50</f>
        <v>0</v>
      </c>
    </row>
    <row r="55" spans="1:30" ht="16.5" thickBot="1">
      <c r="A55" s="27">
        <v>12</v>
      </c>
      <c r="B55" s="143">
        <f>'Joueurs et TirageV'!P18</f>
        <v>0</v>
      </c>
      <c r="C55" s="47">
        <f>IF(ISTEXT(B55),C54,0)</f>
        <v>0</v>
      </c>
      <c r="D55" s="13">
        <f>IF(ISTEXT(B55),D54,0)</f>
        <v>0</v>
      </c>
      <c r="E55" s="149">
        <f>IF(ISTEXT(B55),E54,0)</f>
        <v>0</v>
      </c>
      <c r="F55" s="10"/>
      <c r="G55" s="158">
        <f>'Joueurs et TirageV'!S18</f>
        <v>0</v>
      </c>
      <c r="H55" s="47">
        <f>IF(ISTEXT(G55),H54,0)</f>
        <v>0</v>
      </c>
      <c r="I55" s="13">
        <f>IF(ISTEXT(G55),I54,0)</f>
        <v>0</v>
      </c>
      <c r="J55" s="164">
        <f>IF(ISTEXT(G55),J54,0)</f>
        <v>0</v>
      </c>
      <c r="K55" s="10"/>
      <c r="L55" s="181">
        <f>'Joueurs et TirageV'!V18</f>
        <v>0</v>
      </c>
      <c r="M55" s="47">
        <f>IF(ISTEXT(L55),M54,0)</f>
        <v>0</v>
      </c>
      <c r="N55" s="13">
        <f>IF(ISTEXT(L55),N54,0)</f>
        <v>0</v>
      </c>
      <c r="O55" s="185">
        <f>IF(ISTEXT(L55),O54,0)</f>
        <v>0</v>
      </c>
      <c r="P55" s="9"/>
      <c r="Q55" s="202">
        <f>'Joueurs et TirageV'!Y18</f>
        <v>0</v>
      </c>
      <c r="R55" s="47">
        <f>IF(ISTEXT(Q55),R54,0)</f>
        <v>0</v>
      </c>
      <c r="S55" s="13">
        <f>IF(ISTEXT(Q55),S54,0)</f>
        <v>0</v>
      </c>
      <c r="T55" s="208">
        <f>IF(ISTEXT(Q55),T54,0)</f>
        <v>0</v>
      </c>
      <c r="U55" s="9"/>
      <c r="V55" s="217">
        <f>'Joueurs et TirageV'!AB18</f>
        <v>0</v>
      </c>
      <c r="W55" s="47">
        <f>IF(ISTEXT(V55),W54,0)</f>
        <v>0</v>
      </c>
      <c r="X55" s="13">
        <f>IF(ISTEXT(V55),X54,0)</f>
        <v>0</v>
      </c>
      <c r="Y55" s="164">
        <f>IF(ISTEXT(V55),Y54,0)</f>
        <v>0</v>
      </c>
      <c r="Z55" s="9"/>
      <c r="AA55" s="223">
        <f>'Joueurs et TirageV'!AE18</f>
        <v>0</v>
      </c>
      <c r="AB55" s="47">
        <f>IF(ISTEXT(AA55),AB54,0)</f>
        <v>0</v>
      </c>
      <c r="AC55" s="13">
        <f>IF(ISTEXT(AA55),AC54,0)</f>
        <v>0</v>
      </c>
      <c r="AD55" s="227">
        <f>IF(ISTEXT(AA55),AD54,0)</f>
        <v>0</v>
      </c>
    </row>
    <row r="56" spans="1:30" ht="16.5" thickBot="1">
      <c r="B56" s="150">
        <f>+'Joueurs et TirageV'!Q18</f>
        <v>0</v>
      </c>
      <c r="C56" s="151">
        <f>IF(ISTEXT(B56),C54,0)</f>
        <v>0</v>
      </c>
      <c r="D56" s="152">
        <f>IF(ISTEXT(B56),D54,0)</f>
        <v>0</v>
      </c>
      <c r="E56" s="153">
        <f>IF(ISTEXT(B56),E54,0)</f>
        <v>0</v>
      </c>
      <c r="F56" s="10"/>
      <c r="G56" s="165">
        <f>+'Joueurs et TirageV'!T18</f>
        <v>0</v>
      </c>
      <c r="H56" s="166">
        <f>IF(ISTEXT(G56),H54,0)</f>
        <v>0</v>
      </c>
      <c r="I56" s="167">
        <f>IF(ISTEXT(G56),I54,0)</f>
        <v>0</v>
      </c>
      <c r="J56" s="168">
        <f>IF(ISTEXT(G56),J54,0)</f>
        <v>0</v>
      </c>
      <c r="K56" s="10"/>
      <c r="L56" s="186">
        <f>+'Joueurs et TirageV'!W18</f>
        <v>0</v>
      </c>
      <c r="M56" s="187">
        <f>IF(ISTEXT(L56),M54,0)</f>
        <v>0</v>
      </c>
      <c r="N56" s="188">
        <f>IF(ISTEXT(L56),N54,0)</f>
        <v>0</v>
      </c>
      <c r="O56" s="189">
        <f>IF(ISTEXT(L56),O54,0)</f>
        <v>0</v>
      </c>
      <c r="P56" s="9"/>
      <c r="Q56" s="209">
        <f>+'Joueurs et TirageV'!Z18</f>
        <v>0</v>
      </c>
      <c r="R56" s="210">
        <f>IF(ISTEXT(Q56),R54,0)</f>
        <v>0</v>
      </c>
      <c r="S56" s="211">
        <f>IF(ISTEXT(Q56),S54,0)</f>
        <v>0</v>
      </c>
      <c r="T56" s="212">
        <f>IF(ISTEXT(Q56),T54,0)</f>
        <v>0</v>
      </c>
      <c r="U56" s="9"/>
      <c r="V56" s="218">
        <f>+'Joueurs et TirageV'!AC18</f>
        <v>0</v>
      </c>
      <c r="W56" s="166">
        <f>IF(ISTEXT(V56),W54,0)</f>
        <v>0</v>
      </c>
      <c r="X56" s="167">
        <f>IF(ISTEXT(V56),X54,0)</f>
        <v>0</v>
      </c>
      <c r="Y56" s="168">
        <f>IF(ISTEXT(V56),Y54,0)</f>
        <v>0</v>
      </c>
      <c r="Z56" s="9"/>
      <c r="AA56" s="228">
        <f>+'Joueurs et TirageV'!AF18</f>
        <v>0</v>
      </c>
      <c r="AB56" s="229">
        <f>IF(ISTEXT(AA56),AB54,0)</f>
        <v>0</v>
      </c>
      <c r="AC56" s="230">
        <f>IF(ISTEXT(AA56),AC54,0)</f>
        <v>0</v>
      </c>
      <c r="AD56" s="231">
        <f>IF(ISTEXT(AA56),AD54,0)</f>
        <v>0</v>
      </c>
    </row>
    <row r="57" spans="1:30" ht="17.25" thickTop="1" thickBot="1">
      <c r="B57" s="14"/>
      <c r="D57" s="9"/>
      <c r="E57" s="9"/>
      <c r="F57" s="18"/>
      <c r="G57" s="12"/>
      <c r="H57" s="18"/>
      <c r="I57" s="9"/>
      <c r="J57" s="9"/>
      <c r="K57" s="18"/>
      <c r="L57" s="14"/>
      <c r="N57" s="9"/>
      <c r="O57" s="9"/>
      <c r="Q57" s="14"/>
      <c r="S57" s="9"/>
      <c r="T57" s="9"/>
      <c r="V57" s="9"/>
      <c r="X57" s="9"/>
      <c r="Y57" s="9"/>
      <c r="AA57" s="14"/>
      <c r="AC57" s="9"/>
      <c r="AD57" s="9"/>
    </row>
    <row r="58" spans="1:30" ht="16.5" thickTop="1">
      <c r="B58" s="139">
        <f>'Joueurs et TirageV'!O19</f>
        <v>0</v>
      </c>
      <c r="C58" s="140"/>
      <c r="D58" s="141">
        <f>IF(C58+C62=0,0,IF(C58=C62,2,IF(C58&gt;C62,3,1)))</f>
        <v>0</v>
      </c>
      <c r="E58" s="142">
        <f>C58-C62</f>
        <v>0</v>
      </c>
      <c r="F58" s="18"/>
      <c r="G58" s="154">
        <f>'Joueurs et TirageV'!R19</f>
        <v>0</v>
      </c>
      <c r="H58" s="155"/>
      <c r="I58" s="156">
        <f>IF(H58+H62=0,0,IF(H58=H62,2,IF(H58&gt;H62,3,1)))</f>
        <v>0</v>
      </c>
      <c r="J58" s="157">
        <f>H58-H62</f>
        <v>0</v>
      </c>
      <c r="K58" s="18"/>
      <c r="L58" s="177">
        <f>'Joueurs et TirageV'!U19</f>
        <v>0</v>
      </c>
      <c r="M58" s="178"/>
      <c r="N58" s="179">
        <f>IF(M58+M62=0,0,IF(M58=M62,2,IF(M58&gt;M62,3,1)))</f>
        <v>0</v>
      </c>
      <c r="O58" s="180">
        <f>M58-M62</f>
        <v>0</v>
      </c>
      <c r="Q58" s="198">
        <f>'Joueurs et TirageV'!X19</f>
        <v>0</v>
      </c>
      <c r="R58" s="199"/>
      <c r="S58" s="200">
        <f>IF(R58+R62=0,0,IF(R58=R62,2,IF(R58&gt;R62,3,1)))</f>
        <v>0</v>
      </c>
      <c r="T58" s="201">
        <f>R58-R62</f>
        <v>0</v>
      </c>
      <c r="V58" s="213">
        <f>'Joueurs et TirageV'!AA19</f>
        <v>0</v>
      </c>
      <c r="W58" s="214"/>
      <c r="X58" s="156">
        <f>IF(W58+W62=0,0,IF(W58=W62,2,IF(W58&gt;W62,3,1)))</f>
        <v>0</v>
      </c>
      <c r="Y58" s="157">
        <f>W58-W62</f>
        <v>0</v>
      </c>
      <c r="AA58" s="236">
        <f>'Joueurs et TirageV'!AD19</f>
        <v>0</v>
      </c>
      <c r="AB58" s="220"/>
      <c r="AC58" s="221">
        <f>IF(AB58+AB62=0,0,IF(AB58=AB62,2,IF(AB58&gt;AB62,3,1)))</f>
        <v>0</v>
      </c>
      <c r="AD58" s="222">
        <f>AB58-AB62</f>
        <v>0</v>
      </c>
    </row>
    <row r="59" spans="1:30" ht="16.5" thickBot="1">
      <c r="A59" s="27">
        <v>13</v>
      </c>
      <c r="B59" s="143">
        <f>'Joueurs et TirageV'!P19</f>
        <v>0</v>
      </c>
      <c r="C59" s="129">
        <f>IF(ISTEXT(B59),C58,0)</f>
        <v>0</v>
      </c>
      <c r="D59" s="130">
        <f>IF(ISTEXT(B59),D58,0)</f>
        <v>0</v>
      </c>
      <c r="E59" s="144">
        <f>IF(ISTEXT(B59),E58,0)</f>
        <v>0</v>
      </c>
      <c r="F59" s="10"/>
      <c r="G59" s="158">
        <f>'Joueurs et TirageV'!S19</f>
        <v>0</v>
      </c>
      <c r="H59" s="129">
        <f>IF(ISTEXT(G59),H58,0)</f>
        <v>0</v>
      </c>
      <c r="I59" s="130">
        <f>IF(ISTEXT(G59),I58,0)</f>
        <v>0</v>
      </c>
      <c r="J59" s="159">
        <f>IF(ISTEXT(G59),J58,0)</f>
        <v>0</v>
      </c>
      <c r="K59" s="10"/>
      <c r="L59" s="181">
        <f>'Joueurs et TirageV'!V19</f>
        <v>0</v>
      </c>
      <c r="M59" s="129">
        <f>IF(ISTEXT(L59),M58,0)</f>
        <v>0</v>
      </c>
      <c r="N59" s="130">
        <f>IF(ISTEXT(L59),N58,0)</f>
        <v>0</v>
      </c>
      <c r="O59" s="182">
        <f>IF(ISTEXT(L59),O58,0)</f>
        <v>0</v>
      </c>
      <c r="P59" s="9"/>
      <c r="Q59" s="202">
        <f>'Joueurs et TirageV'!Y19</f>
        <v>0</v>
      </c>
      <c r="R59" s="129">
        <f>IF(ISTEXT(Q59),R58,0)</f>
        <v>0</v>
      </c>
      <c r="S59" s="130">
        <f>IF(ISTEXT(Q59),S58,0)</f>
        <v>0</v>
      </c>
      <c r="T59" s="203">
        <f>IF(ISTEXT(Q59),T58,0)</f>
        <v>0</v>
      </c>
      <c r="U59" s="9"/>
      <c r="V59" s="217">
        <f>'Joueurs et TirageV'!AB19</f>
        <v>0</v>
      </c>
      <c r="W59" s="129">
        <f>IF(ISTEXT(V59),W58,0)</f>
        <v>0</v>
      </c>
      <c r="X59" s="130">
        <f>IF(ISTEXT(V59),X58,0)</f>
        <v>0</v>
      </c>
      <c r="Y59" s="159">
        <f>IF(ISTEXT(V59),Y58,0)</f>
        <v>0</v>
      </c>
      <c r="Z59" s="9"/>
      <c r="AA59" s="223">
        <f>'Joueurs et TirageV'!AE19</f>
        <v>0</v>
      </c>
      <c r="AB59" s="129">
        <f>IF(ISTEXT(AA59),AB58,0)</f>
        <v>0</v>
      </c>
      <c r="AC59" s="130">
        <f>IF(ISTEXT(AA59),AC58,0)</f>
        <v>0</v>
      </c>
      <c r="AD59" s="224">
        <f>IF(ISTEXT(AA59),AD58,0)</f>
        <v>0</v>
      </c>
    </row>
    <row r="60" spans="1:30">
      <c r="B60" s="143">
        <f>+'Joueurs et TirageV'!Q19</f>
        <v>0</v>
      </c>
      <c r="C60" s="127">
        <f>IF(ISTEXT(B60),C58,0)</f>
        <v>0</v>
      </c>
      <c r="D60" s="128">
        <f>IF(ISTEXT(B60),D58,0)</f>
        <v>0</v>
      </c>
      <c r="E60" s="145">
        <f>IF(ISTEXT(B60),E58,0)</f>
        <v>0</v>
      </c>
      <c r="F60" s="10"/>
      <c r="G60" s="158">
        <f>+'Joueurs et TirageV'!T19</f>
        <v>0</v>
      </c>
      <c r="H60" s="25">
        <f>IF(ISTEXT(G60),H58,0)</f>
        <v>0</v>
      </c>
      <c r="I60" s="26">
        <f>IF(ISTEXT(G60),I58,0)</f>
        <v>0</v>
      </c>
      <c r="J60" s="160">
        <f>IF(ISTEXT(G60),J58,0)</f>
        <v>0</v>
      </c>
      <c r="K60" s="10"/>
      <c r="L60" s="181">
        <f>+'Joueurs et TirageV'!W19</f>
        <v>0</v>
      </c>
      <c r="M60" s="11">
        <f>IF(ISTEXT(L60),M58,0)</f>
        <v>0</v>
      </c>
      <c r="N60" s="26">
        <f>IF(ISTEXT(L60),N58,0)</f>
        <v>0</v>
      </c>
      <c r="O60" s="183">
        <f>IF(ISTEXT(L60),O58,0)</f>
        <v>0</v>
      </c>
      <c r="P60" s="9"/>
      <c r="Q60" s="202">
        <f>+'Joueurs et TirageV'!Z19</f>
        <v>0</v>
      </c>
      <c r="R60" s="11">
        <f>IF(ISTEXT(Q60),R58,0)</f>
        <v>0</v>
      </c>
      <c r="S60" s="26">
        <f>IF(ISTEXT(Q60),S58,0)</f>
        <v>0</v>
      </c>
      <c r="T60" s="204">
        <f>IF(ISTEXT(Q60),T58,0)</f>
        <v>0</v>
      </c>
      <c r="U60" s="9"/>
      <c r="V60" s="217">
        <f>+'Joueurs et TirageV'!AC19</f>
        <v>0</v>
      </c>
      <c r="W60" s="11">
        <f>IF(ISTEXT(V60),W58,0)</f>
        <v>0</v>
      </c>
      <c r="X60" s="26">
        <f>IF(ISTEXT(V60),X58,0)</f>
        <v>0</v>
      </c>
      <c r="Y60" s="160">
        <f>IF(ISTEXT(V60),Y58,0)</f>
        <v>0</v>
      </c>
      <c r="Z60" s="9"/>
      <c r="AA60" s="223">
        <f>+'Joueurs et TirageV'!AF19</f>
        <v>0</v>
      </c>
      <c r="AB60" s="11">
        <f>IF(ISTEXT(AA60),AB58,0)</f>
        <v>0</v>
      </c>
      <c r="AC60" s="26">
        <f>IF(ISTEXT(AA60),AC58,0)</f>
        <v>0</v>
      </c>
      <c r="AD60" s="225">
        <f>IF(ISTEXT(AA60),AD58,0)</f>
        <v>0</v>
      </c>
    </row>
    <row r="61" spans="1:30">
      <c r="B61" s="146"/>
      <c r="C61" s="137" t="s">
        <v>8</v>
      </c>
      <c r="D61" s="138"/>
      <c r="E61" s="147"/>
      <c r="F61" s="19"/>
      <c r="G61" s="169"/>
      <c r="H61" s="170" t="s">
        <v>8</v>
      </c>
      <c r="I61" s="171"/>
      <c r="J61" s="172"/>
      <c r="K61" s="19"/>
      <c r="L61" s="190"/>
      <c r="M61" s="191" t="s">
        <v>8</v>
      </c>
      <c r="N61" s="192"/>
      <c r="O61" s="193"/>
      <c r="P61" s="23"/>
      <c r="Q61" s="205"/>
      <c r="R61" s="196" t="s">
        <v>8</v>
      </c>
      <c r="S61" s="197"/>
      <c r="T61" s="206"/>
      <c r="U61" s="23"/>
      <c r="V61" s="215"/>
      <c r="W61" s="194" t="s">
        <v>8</v>
      </c>
      <c r="X61" s="195"/>
      <c r="Y61" s="216"/>
      <c r="Z61" s="23"/>
      <c r="AA61" s="232"/>
      <c r="AB61" s="233" t="s">
        <v>8</v>
      </c>
      <c r="AC61" s="234"/>
      <c r="AD61" s="235"/>
    </row>
    <row r="62" spans="1:30">
      <c r="B62" s="143">
        <f>'Joueurs et TirageV'!O20</f>
        <v>0</v>
      </c>
      <c r="C62" s="28"/>
      <c r="D62" s="26">
        <f>IF(C58+C62=0,0,IF(C58=C62,2,IF(C58&lt;C62,3,1)))</f>
        <v>0</v>
      </c>
      <c r="E62" s="148">
        <f>C62-C58</f>
        <v>0</v>
      </c>
      <c r="F62" s="18"/>
      <c r="G62" s="158">
        <f>'Joueurs et TirageV'!R20</f>
        <v>0</v>
      </c>
      <c r="H62" s="131"/>
      <c r="I62" s="26">
        <f>IF(H58+H62=0,0,IF(H58=H62,2,IF(H58&lt;H62,3,1)))</f>
        <v>0</v>
      </c>
      <c r="J62" s="163">
        <f>H62-H58</f>
        <v>0</v>
      </c>
      <c r="K62" s="18"/>
      <c r="L62" s="181">
        <f>'Joueurs et TirageV'!U20</f>
        <v>0</v>
      </c>
      <c r="M62" s="29"/>
      <c r="N62" s="26">
        <f>IF(M58+M62=0,0,IF(M58=M62,2,IF(M58&lt;M62,3,1)))</f>
        <v>0</v>
      </c>
      <c r="O62" s="184">
        <f>M62-M58</f>
        <v>0</v>
      </c>
      <c r="Q62" s="202">
        <f>'Joueurs et TirageV'!X20</f>
        <v>0</v>
      </c>
      <c r="R62" s="30"/>
      <c r="S62" s="26">
        <f>IF(R58+R62=0,0,IF(R58=R62,2,IF(R58&lt;R62,3,1)))</f>
        <v>0</v>
      </c>
      <c r="T62" s="207">
        <f>R62-R58</f>
        <v>0</v>
      </c>
      <c r="V62" s="217">
        <f>'Joueurs et TirageV'!AA20</f>
        <v>0</v>
      </c>
      <c r="W62" s="31"/>
      <c r="X62" s="26">
        <f>IF(W58+W62=0,0,IF(W58=W62,2,IF(W58&lt;W62,3,1)))</f>
        <v>0</v>
      </c>
      <c r="Y62" s="163">
        <f>W62-W58</f>
        <v>0</v>
      </c>
      <c r="AA62" s="223">
        <f>'Joueurs et TirageV'!AD20</f>
        <v>0</v>
      </c>
      <c r="AB62" s="32"/>
      <c r="AC62" s="26">
        <f>IF(AB58+AB62=0,0,IF(AB58=AB62,2,IF(AB58&lt;AB62,3,1)))</f>
        <v>0</v>
      </c>
      <c r="AD62" s="226">
        <f>AB62-AB58</f>
        <v>0</v>
      </c>
    </row>
    <row r="63" spans="1:30" ht="16.5" thickBot="1">
      <c r="A63" s="27">
        <v>14</v>
      </c>
      <c r="B63" s="143">
        <f>'Joueurs et TirageV'!P20</f>
        <v>0</v>
      </c>
      <c r="C63" s="47">
        <f>IF(ISTEXT(B63),C62,0)</f>
        <v>0</v>
      </c>
      <c r="D63" s="13">
        <f>IF(ISTEXT(B63),D62,0)</f>
        <v>0</v>
      </c>
      <c r="E63" s="149">
        <f>IF(ISTEXT(B63),E62,0)</f>
        <v>0</v>
      </c>
      <c r="F63" s="10"/>
      <c r="G63" s="158">
        <f>'Joueurs et TirageV'!S20</f>
        <v>0</v>
      </c>
      <c r="H63" s="47">
        <f>IF(ISTEXT(G63),H62,0)</f>
        <v>0</v>
      </c>
      <c r="I63" s="13">
        <f>IF(ISTEXT(G63),I62,0)</f>
        <v>0</v>
      </c>
      <c r="J63" s="164">
        <f>IF(ISTEXT(G63),J62,0)</f>
        <v>0</v>
      </c>
      <c r="K63" s="10"/>
      <c r="L63" s="181">
        <f>'Joueurs et TirageV'!V20</f>
        <v>0</v>
      </c>
      <c r="M63" s="47">
        <f>IF(ISTEXT(L63),M62,0)</f>
        <v>0</v>
      </c>
      <c r="N63" s="13">
        <f>IF(ISTEXT(L63),N62,0)</f>
        <v>0</v>
      </c>
      <c r="O63" s="185">
        <f>IF(ISTEXT(L63),O62,0)</f>
        <v>0</v>
      </c>
      <c r="P63" s="9"/>
      <c r="Q63" s="202">
        <f>'Joueurs et TirageV'!Y20</f>
        <v>0</v>
      </c>
      <c r="R63" s="47">
        <f>IF(ISTEXT(Q63),R62,0)</f>
        <v>0</v>
      </c>
      <c r="S63" s="13">
        <f>IF(ISTEXT(Q63),S62,0)</f>
        <v>0</v>
      </c>
      <c r="T63" s="208">
        <f>IF(ISTEXT(Q63),T62,0)</f>
        <v>0</v>
      </c>
      <c r="U63" s="9"/>
      <c r="V63" s="217">
        <f>'Joueurs et TirageV'!AB20</f>
        <v>0</v>
      </c>
      <c r="W63" s="47">
        <f>IF(ISTEXT(V63),W62,0)</f>
        <v>0</v>
      </c>
      <c r="X63" s="13">
        <f>IF(ISTEXT(V63),X62,0)</f>
        <v>0</v>
      </c>
      <c r="Y63" s="164">
        <f>IF(ISTEXT(V63),Y62,0)</f>
        <v>0</v>
      </c>
      <c r="Z63" s="9"/>
      <c r="AA63" s="223">
        <f>'Joueurs et TirageV'!AE20</f>
        <v>0</v>
      </c>
      <c r="AB63" s="47">
        <f>IF(ISTEXT(AA63),AB62,0)</f>
        <v>0</v>
      </c>
      <c r="AC63" s="13">
        <f>IF(ISTEXT(AA63),AC62,0)</f>
        <v>0</v>
      </c>
      <c r="AD63" s="227">
        <f>IF(ISTEXT(AA63),AD62,0)</f>
        <v>0</v>
      </c>
    </row>
    <row r="64" spans="1:30" ht="16.5" thickBot="1">
      <c r="B64" s="150">
        <f>+'Joueurs et TirageV'!Q20</f>
        <v>0</v>
      </c>
      <c r="C64" s="151">
        <f>IF(ISTEXT(B64),C62,0)</f>
        <v>0</v>
      </c>
      <c r="D64" s="152">
        <f>IF(ISTEXT(B64),D62,0)</f>
        <v>0</v>
      </c>
      <c r="E64" s="153">
        <f>IF(ISTEXT(B64),E62,0)</f>
        <v>0</v>
      </c>
      <c r="F64" s="10"/>
      <c r="G64" s="165">
        <f>+'Joueurs et TirageV'!T20</f>
        <v>0</v>
      </c>
      <c r="H64" s="166">
        <f>IF(ISTEXT(G64),H62,0)</f>
        <v>0</v>
      </c>
      <c r="I64" s="167">
        <f>IF(ISTEXT(G64),I62,0)</f>
        <v>0</v>
      </c>
      <c r="J64" s="168">
        <f>IF(ISTEXT(G64),J62,0)</f>
        <v>0</v>
      </c>
      <c r="K64" s="10"/>
      <c r="L64" s="186">
        <f>+'Joueurs et TirageV'!W20</f>
        <v>0</v>
      </c>
      <c r="M64" s="187">
        <f>IF(ISTEXT(L64),M62,0)</f>
        <v>0</v>
      </c>
      <c r="N64" s="188">
        <f>IF(ISTEXT(L64),N62,0)</f>
        <v>0</v>
      </c>
      <c r="O64" s="189">
        <f>IF(ISTEXT(L64),O62,0)</f>
        <v>0</v>
      </c>
      <c r="P64" s="9"/>
      <c r="Q64" s="209">
        <f>+'Joueurs et TirageV'!Z20</f>
        <v>0</v>
      </c>
      <c r="R64" s="210">
        <f>IF(ISTEXT(Q64),R62,0)</f>
        <v>0</v>
      </c>
      <c r="S64" s="211">
        <f>IF(ISTEXT(Q64),S62,0)</f>
        <v>0</v>
      </c>
      <c r="T64" s="212">
        <f>IF(ISTEXT(Q64),T62,0)</f>
        <v>0</v>
      </c>
      <c r="U64" s="9"/>
      <c r="V64" s="218">
        <f>+'Joueurs et TirageV'!AC20</f>
        <v>0</v>
      </c>
      <c r="W64" s="166">
        <f>IF(ISTEXT(V64),W62,0)</f>
        <v>0</v>
      </c>
      <c r="X64" s="167">
        <f>IF(ISTEXT(V64),X62,0)</f>
        <v>0</v>
      </c>
      <c r="Y64" s="168">
        <f>IF(ISTEXT(V64),Y62,0)</f>
        <v>0</v>
      </c>
      <c r="Z64" s="9"/>
      <c r="AA64" s="228">
        <f>+'Joueurs et TirageV'!AF20</f>
        <v>0</v>
      </c>
      <c r="AB64" s="229">
        <f>IF(ISTEXT(AA64),AB62,0)</f>
        <v>0</v>
      </c>
      <c r="AC64" s="230">
        <f>IF(ISTEXT(AA64),AC62,0)</f>
        <v>0</v>
      </c>
      <c r="AD64" s="231">
        <f>IF(ISTEXT(AA64),AD62,0)</f>
        <v>0</v>
      </c>
    </row>
    <row r="65" spans="1:30" ht="17.25" thickTop="1" thickBot="1">
      <c r="B65" s="12"/>
      <c r="C65" s="18"/>
      <c r="D65" s="12"/>
      <c r="E65" s="10"/>
      <c r="F65" s="18"/>
      <c r="G65" s="12"/>
      <c r="H65" s="18"/>
      <c r="I65" s="12"/>
      <c r="J65" s="10"/>
      <c r="K65" s="18"/>
      <c r="L65" s="12"/>
      <c r="M65" s="18"/>
      <c r="N65" s="12"/>
      <c r="O65" s="10"/>
      <c r="Q65" s="12"/>
      <c r="R65" s="18"/>
      <c r="S65" s="12"/>
      <c r="T65" s="10"/>
      <c r="V65" s="10"/>
      <c r="W65" s="18"/>
      <c r="X65" s="12"/>
      <c r="Y65" s="10"/>
      <c r="AA65" s="12"/>
      <c r="AB65" s="18"/>
      <c r="AC65" s="12"/>
      <c r="AD65" s="10"/>
    </row>
    <row r="66" spans="1:30" ht="16.5" thickTop="1">
      <c r="B66" s="139">
        <f>'Joueurs et TirageV'!O21</f>
        <v>0</v>
      </c>
      <c r="C66" s="140"/>
      <c r="D66" s="141">
        <f>IF(C66+C70=0,0,IF(C66=C70,2,IF(C66&gt;C70,3,1)))</f>
        <v>0</v>
      </c>
      <c r="E66" s="142">
        <f>C66-C70</f>
        <v>0</v>
      </c>
      <c r="F66" s="18"/>
      <c r="G66" s="154">
        <f>'Joueurs et TirageV'!R21</f>
        <v>0</v>
      </c>
      <c r="H66" s="155"/>
      <c r="I66" s="156">
        <f>IF(H66+H70=0,0,IF(H66=H70,2,IF(H66&gt;H70,3,1)))</f>
        <v>0</v>
      </c>
      <c r="J66" s="157">
        <f>H66-H70</f>
        <v>0</v>
      </c>
      <c r="K66" s="18"/>
      <c r="L66" s="177">
        <f>'Joueurs et TirageV'!U21</f>
        <v>0</v>
      </c>
      <c r="M66" s="178"/>
      <c r="N66" s="179">
        <f>IF(M66+M70=0,0,IF(M66=M70,2,IF(M66&gt;M70,3,1)))</f>
        <v>0</v>
      </c>
      <c r="O66" s="180">
        <f>M66-M70</f>
        <v>0</v>
      </c>
      <c r="Q66" s="198">
        <f>'Joueurs et TirageV'!X21</f>
        <v>0</v>
      </c>
      <c r="R66" s="199"/>
      <c r="S66" s="200">
        <f>IF(R66+R70=0,0,IF(R66=R70,2,IF(R66&gt;R70,3,1)))</f>
        <v>0</v>
      </c>
      <c r="T66" s="201">
        <f>R66-R70</f>
        <v>0</v>
      </c>
      <c r="V66" s="213">
        <f>'Joueurs et TirageV'!AA21</f>
        <v>0</v>
      </c>
      <c r="W66" s="214"/>
      <c r="X66" s="156">
        <f>IF(W66+W70=0,0,IF(W66=W70,2,IF(W66&gt;W70,3,1)))</f>
        <v>0</v>
      </c>
      <c r="Y66" s="157">
        <f>W66-W70</f>
        <v>0</v>
      </c>
      <c r="AA66" s="236">
        <f>'Joueurs et TirageV'!AD21</f>
        <v>0</v>
      </c>
      <c r="AB66" s="220"/>
      <c r="AC66" s="221">
        <f>IF(AB66+AB70=0,0,IF(AB66=AB70,2,IF(AB66&gt;AB70,3,1)))</f>
        <v>0</v>
      </c>
      <c r="AD66" s="222">
        <f>AB66-AB70</f>
        <v>0</v>
      </c>
    </row>
    <row r="67" spans="1:30" ht="16.5" thickBot="1">
      <c r="A67" s="27">
        <v>15</v>
      </c>
      <c r="B67" s="143">
        <f>'Joueurs et TirageV'!P21</f>
        <v>0</v>
      </c>
      <c r="C67" s="129">
        <f>IF(ISTEXT(B67),C66,0)</f>
        <v>0</v>
      </c>
      <c r="D67" s="130">
        <f>IF(ISTEXT(B67),D66,0)</f>
        <v>0</v>
      </c>
      <c r="E67" s="144">
        <f>IF(ISTEXT(B67),E66,0)</f>
        <v>0</v>
      </c>
      <c r="F67" s="10"/>
      <c r="G67" s="158">
        <f>'Joueurs et TirageV'!S21</f>
        <v>0</v>
      </c>
      <c r="H67" s="129">
        <f>IF(ISTEXT(G67),H66,0)</f>
        <v>0</v>
      </c>
      <c r="I67" s="130">
        <f>IF(ISTEXT(G67),I66,0)</f>
        <v>0</v>
      </c>
      <c r="J67" s="159">
        <f>IF(ISTEXT(G67),J66,0)</f>
        <v>0</v>
      </c>
      <c r="K67" s="10"/>
      <c r="L67" s="181">
        <f>'Joueurs et TirageV'!V21</f>
        <v>0</v>
      </c>
      <c r="M67" s="129">
        <f>IF(ISTEXT(L67),M66,0)</f>
        <v>0</v>
      </c>
      <c r="N67" s="130">
        <f>IF(ISTEXT(L67),N66,0)</f>
        <v>0</v>
      </c>
      <c r="O67" s="182">
        <f>IF(ISTEXT(L67),O66,0)</f>
        <v>0</v>
      </c>
      <c r="P67" s="9"/>
      <c r="Q67" s="202">
        <f>'Joueurs et TirageV'!Y21</f>
        <v>0</v>
      </c>
      <c r="R67" s="129">
        <f>IF(ISTEXT(Q67),R66,0)</f>
        <v>0</v>
      </c>
      <c r="S67" s="130">
        <f>IF(ISTEXT(Q67),S66,0)</f>
        <v>0</v>
      </c>
      <c r="T67" s="203">
        <f>IF(ISTEXT(Q67),T66,0)</f>
        <v>0</v>
      </c>
      <c r="U67" s="9"/>
      <c r="V67" s="217">
        <f>'Joueurs et TirageV'!AB21</f>
        <v>0</v>
      </c>
      <c r="W67" s="129">
        <f>IF(ISTEXT(V67),W66,0)</f>
        <v>0</v>
      </c>
      <c r="X67" s="130">
        <f>IF(ISTEXT(V67),X66,0)</f>
        <v>0</v>
      </c>
      <c r="Y67" s="159">
        <f>IF(ISTEXT(V67),Y66,0)</f>
        <v>0</v>
      </c>
      <c r="Z67" s="9"/>
      <c r="AA67" s="239">
        <f>'Joueurs et TirageV'!AE21</f>
        <v>0</v>
      </c>
      <c r="AB67" s="129">
        <f>IF(ISTEXT(AA67),AB66,0)</f>
        <v>0</v>
      </c>
      <c r="AC67" s="130">
        <f>IF(ISTEXT(AA67),AC66,0)</f>
        <v>0</v>
      </c>
      <c r="AD67" s="224">
        <f>IF(ISTEXT(AA67),AD66,0)</f>
        <v>0</v>
      </c>
    </row>
    <row r="68" spans="1:30">
      <c r="B68" s="143">
        <f>+'Joueurs et TirageV'!Q21</f>
        <v>0</v>
      </c>
      <c r="C68" s="127">
        <f>IF(ISTEXT(B68),C66,0)</f>
        <v>0</v>
      </c>
      <c r="D68" s="128">
        <f>IF(ISTEXT(B68),D66,0)</f>
        <v>0</v>
      </c>
      <c r="E68" s="145">
        <f>IF(ISTEXT(B68),E66,0)</f>
        <v>0</v>
      </c>
      <c r="F68" s="10"/>
      <c r="G68" s="158">
        <f>+'Joueurs et TirageV'!T21</f>
        <v>0</v>
      </c>
      <c r="H68" s="25">
        <f>IF(ISTEXT(G68),H66,0)</f>
        <v>0</v>
      </c>
      <c r="I68" s="26">
        <f>IF(ISTEXT(G68),I66,0)</f>
        <v>0</v>
      </c>
      <c r="J68" s="160">
        <f>IF(ISTEXT(G68),J66,0)</f>
        <v>0</v>
      </c>
      <c r="K68" s="10"/>
      <c r="L68" s="181">
        <f>+'Joueurs et TirageV'!W21</f>
        <v>0</v>
      </c>
      <c r="M68" s="11">
        <f>IF(ISTEXT(L68),M66,0)</f>
        <v>0</v>
      </c>
      <c r="N68" s="26">
        <f>IF(ISTEXT(L68),N66,0)</f>
        <v>0</v>
      </c>
      <c r="O68" s="183">
        <f>IF(ISTEXT(L68),O66,0)</f>
        <v>0</v>
      </c>
      <c r="P68" s="9"/>
      <c r="Q68" s="202">
        <f>+'Joueurs et TirageV'!Z21</f>
        <v>0</v>
      </c>
      <c r="R68" s="11">
        <f>IF(ISTEXT(Q68),R66,0)</f>
        <v>0</v>
      </c>
      <c r="S68" s="26">
        <f>IF(ISTEXT(Q68),S66,0)</f>
        <v>0</v>
      </c>
      <c r="T68" s="204">
        <f>IF(ISTEXT(Q68),T66,0)</f>
        <v>0</v>
      </c>
      <c r="U68" s="9"/>
      <c r="V68" s="217">
        <f>+'Joueurs et TirageV'!AC21</f>
        <v>0</v>
      </c>
      <c r="W68" s="11">
        <f>IF(ISTEXT(V68),W66,0)</f>
        <v>0</v>
      </c>
      <c r="X68" s="26">
        <f>IF(ISTEXT(V68),X66,0)</f>
        <v>0</v>
      </c>
      <c r="Y68" s="160">
        <f>IF(ISTEXT(V68),Y66,0)</f>
        <v>0</v>
      </c>
      <c r="Z68" s="9"/>
      <c r="AA68" s="239">
        <f>+'Joueurs et TirageV'!AF21</f>
        <v>0</v>
      </c>
      <c r="AB68" s="11">
        <f>IF(ISTEXT(AA68),AB66,0)</f>
        <v>0</v>
      </c>
      <c r="AC68" s="26">
        <f>IF(ISTEXT(AA68),AC66,0)</f>
        <v>0</v>
      </c>
      <c r="AD68" s="225">
        <f>IF(ISTEXT(AA68),AD66,0)</f>
        <v>0</v>
      </c>
    </row>
    <row r="69" spans="1:30">
      <c r="B69" s="146"/>
      <c r="C69" s="137" t="s">
        <v>8</v>
      </c>
      <c r="D69" s="138"/>
      <c r="E69" s="147"/>
      <c r="F69" s="19"/>
      <c r="G69" s="169"/>
      <c r="H69" s="170" t="s">
        <v>8</v>
      </c>
      <c r="I69" s="171"/>
      <c r="J69" s="172"/>
      <c r="K69" s="19"/>
      <c r="L69" s="190"/>
      <c r="M69" s="191" t="s">
        <v>8</v>
      </c>
      <c r="N69" s="192"/>
      <c r="O69" s="193"/>
      <c r="P69" s="23"/>
      <c r="Q69" s="205"/>
      <c r="R69" s="196" t="s">
        <v>8</v>
      </c>
      <c r="S69" s="197"/>
      <c r="T69" s="206"/>
      <c r="U69" s="23"/>
      <c r="V69" s="215"/>
      <c r="W69" s="194" t="s">
        <v>8</v>
      </c>
      <c r="X69" s="195"/>
      <c r="Y69" s="216"/>
      <c r="Z69" s="23"/>
      <c r="AA69" s="232"/>
      <c r="AB69" s="233" t="s">
        <v>8</v>
      </c>
      <c r="AC69" s="234"/>
      <c r="AD69" s="235"/>
    </row>
    <row r="70" spans="1:30">
      <c r="B70" s="143">
        <f>'Joueurs et TirageV'!O22</f>
        <v>0</v>
      </c>
      <c r="C70" s="28"/>
      <c r="D70" s="26">
        <f>IF(C66+C70=0,0,IF(C66=C70,2,IF(C66&lt;C70,3,1)))</f>
        <v>0</v>
      </c>
      <c r="E70" s="148">
        <f>C70-C66</f>
        <v>0</v>
      </c>
      <c r="F70" s="18"/>
      <c r="G70" s="158">
        <f>'Joueurs et TirageV'!R22</f>
        <v>0</v>
      </c>
      <c r="H70" s="131"/>
      <c r="I70" s="26">
        <f>IF(H66+H70=0,0,IF(H66=H70,2,IF(H66&lt;H70,3,1)))</f>
        <v>0</v>
      </c>
      <c r="J70" s="163">
        <f>H70-H66</f>
        <v>0</v>
      </c>
      <c r="K70" s="18"/>
      <c r="L70" s="181">
        <f>'Joueurs et TirageV'!U22</f>
        <v>0</v>
      </c>
      <c r="M70" s="29"/>
      <c r="N70" s="26">
        <f>IF(M66+M70=0,0,IF(M66=M70,2,IF(M66&lt;M70,3,1)))</f>
        <v>0</v>
      </c>
      <c r="O70" s="184">
        <f>M70-M66</f>
        <v>0</v>
      </c>
      <c r="Q70" s="202">
        <f>'Joueurs et TirageV'!X22</f>
        <v>0</v>
      </c>
      <c r="R70" s="30"/>
      <c r="S70" s="26">
        <f>IF(R66+R70=0,0,IF(R66=R70,2,IF(R66&lt;R70,3,1)))</f>
        <v>0</v>
      </c>
      <c r="T70" s="207">
        <f>R70-R66</f>
        <v>0</v>
      </c>
      <c r="V70" s="217">
        <f>'Joueurs et TirageV'!AA22</f>
        <v>0</v>
      </c>
      <c r="W70" s="31"/>
      <c r="X70" s="26">
        <f>IF(W66+W70=0,0,IF(W66=W70,2,IF(W66&lt;W70,3,1)))</f>
        <v>0</v>
      </c>
      <c r="Y70" s="163">
        <f>W70-W66</f>
        <v>0</v>
      </c>
      <c r="AA70" s="239">
        <f>'Joueurs et TirageV'!AD22</f>
        <v>0</v>
      </c>
      <c r="AB70" s="32"/>
      <c r="AC70" s="26">
        <f>IF(AB66+AB70=0,0,IF(AB66=AB70,2,IF(AB66&lt;AB70,3,1)))</f>
        <v>0</v>
      </c>
      <c r="AD70" s="226">
        <f>AB70-AB66</f>
        <v>0</v>
      </c>
    </row>
    <row r="71" spans="1:30" ht="16.5" thickBot="1">
      <c r="A71" s="27">
        <v>16</v>
      </c>
      <c r="B71" s="143">
        <f>'Joueurs et TirageV'!P22</f>
        <v>0</v>
      </c>
      <c r="C71" s="47">
        <f>IF(ISTEXT(B71),C70,0)</f>
        <v>0</v>
      </c>
      <c r="D71" s="13">
        <f>IF(ISTEXT(B71),D70,0)</f>
        <v>0</v>
      </c>
      <c r="E71" s="149">
        <f>IF(ISTEXT(B71),E70,0)</f>
        <v>0</v>
      </c>
      <c r="F71" s="10"/>
      <c r="G71" s="158">
        <f>'Joueurs et TirageV'!S22</f>
        <v>0</v>
      </c>
      <c r="H71" s="47">
        <f>IF(ISTEXT(G71),H70,0)</f>
        <v>0</v>
      </c>
      <c r="I71" s="13">
        <f>IF(ISTEXT(G71),I70,0)</f>
        <v>0</v>
      </c>
      <c r="J71" s="164">
        <f>IF(ISTEXT(G71),J70,0)</f>
        <v>0</v>
      </c>
      <c r="K71" s="10"/>
      <c r="L71" s="181">
        <f>'Joueurs et TirageV'!V22</f>
        <v>0</v>
      </c>
      <c r="M71" s="47">
        <f>IF(ISTEXT(L71),M70,0)</f>
        <v>0</v>
      </c>
      <c r="N71" s="13">
        <f>IF(ISTEXT(L71),N70,0)</f>
        <v>0</v>
      </c>
      <c r="O71" s="185">
        <f>IF(ISTEXT(L71),O70,0)</f>
        <v>0</v>
      </c>
      <c r="P71" s="9"/>
      <c r="Q71" s="202">
        <f>'Joueurs et TirageV'!Y22</f>
        <v>0</v>
      </c>
      <c r="R71" s="47">
        <f>IF(ISTEXT(Q71),R70,0)</f>
        <v>0</v>
      </c>
      <c r="S71" s="13">
        <f>IF(ISTEXT(Q71),S70,0)</f>
        <v>0</v>
      </c>
      <c r="T71" s="208">
        <f>IF(ISTEXT(Q71),T70,0)</f>
        <v>0</v>
      </c>
      <c r="U71" s="9"/>
      <c r="V71" s="217">
        <f>'Joueurs et TirageV'!AB22</f>
        <v>0</v>
      </c>
      <c r="W71" s="47">
        <f>IF(ISTEXT(V71),W70,0)</f>
        <v>0</v>
      </c>
      <c r="X71" s="13">
        <f>IF(ISTEXT(V71),X70,0)</f>
        <v>0</v>
      </c>
      <c r="Y71" s="164">
        <f>IF(ISTEXT(V71),Y70,0)</f>
        <v>0</v>
      </c>
      <c r="Z71" s="9"/>
      <c r="AA71" s="239">
        <f>'Joueurs et TirageV'!AE22</f>
        <v>0</v>
      </c>
      <c r="AB71" s="47">
        <f>IF(ISTEXT(AA71),AB70,0)</f>
        <v>0</v>
      </c>
      <c r="AC71" s="13">
        <f>IF(ISTEXT(AA71),AC70,0)</f>
        <v>0</v>
      </c>
      <c r="AD71" s="227">
        <f>IF(ISTEXT(AA71),AD70,0)</f>
        <v>0</v>
      </c>
    </row>
    <row r="72" spans="1:30" ht="16.5" thickBot="1">
      <c r="B72" s="150">
        <f>+'Joueurs et TirageV'!Q22</f>
        <v>0</v>
      </c>
      <c r="C72" s="151">
        <f>IF(ISTEXT(B72),C70,0)</f>
        <v>0</v>
      </c>
      <c r="D72" s="152">
        <f>IF(ISTEXT(B72),D70,0)</f>
        <v>0</v>
      </c>
      <c r="E72" s="153">
        <f>IF(ISTEXT(B72),E70,0)</f>
        <v>0</v>
      </c>
      <c r="F72" s="10"/>
      <c r="G72" s="165">
        <f>+'Joueurs et TirageV'!T22</f>
        <v>0</v>
      </c>
      <c r="H72" s="166">
        <f>IF(ISTEXT(G72),H70,0)</f>
        <v>0</v>
      </c>
      <c r="I72" s="167">
        <f>IF(ISTEXT(G72),I70,0)</f>
        <v>0</v>
      </c>
      <c r="J72" s="168">
        <f>IF(ISTEXT(G72),J70,0)</f>
        <v>0</v>
      </c>
      <c r="K72" s="10"/>
      <c r="L72" s="186">
        <f>+'Joueurs et TirageV'!W22</f>
        <v>0</v>
      </c>
      <c r="M72" s="187">
        <f>IF(ISTEXT(L72),M70,0)</f>
        <v>0</v>
      </c>
      <c r="N72" s="188">
        <f>IF(ISTEXT(L72),N70,0)</f>
        <v>0</v>
      </c>
      <c r="O72" s="189">
        <f>IF(ISTEXT(L72),O70,0)</f>
        <v>0</v>
      </c>
      <c r="P72" s="9"/>
      <c r="Q72" s="209">
        <f>+'Joueurs et TirageV'!Z22</f>
        <v>0</v>
      </c>
      <c r="R72" s="210">
        <f>IF(ISTEXT(Q72),R70,0)</f>
        <v>0</v>
      </c>
      <c r="S72" s="211">
        <f>IF(ISTEXT(Q72),S70,0)</f>
        <v>0</v>
      </c>
      <c r="T72" s="212">
        <f>IF(ISTEXT(Q72),T70,0)</f>
        <v>0</v>
      </c>
      <c r="U72" s="9"/>
      <c r="V72" s="218">
        <f>+'Joueurs et TirageV'!AC22</f>
        <v>0</v>
      </c>
      <c r="W72" s="166">
        <f>IF(ISTEXT(V72),W70,0)</f>
        <v>0</v>
      </c>
      <c r="X72" s="167">
        <f>IF(ISTEXT(V72),X70,0)</f>
        <v>0</v>
      </c>
      <c r="Y72" s="168">
        <f>IF(ISTEXT(V72),Y70,0)</f>
        <v>0</v>
      </c>
      <c r="Z72" s="9"/>
      <c r="AA72" s="240">
        <f>+'Joueurs et TirageV'!AF22</f>
        <v>0</v>
      </c>
      <c r="AB72" s="229">
        <f>IF(ISTEXT(AA72),AB70,0)</f>
        <v>0</v>
      </c>
      <c r="AC72" s="230">
        <f>IF(ISTEXT(AA72),AC70,0)</f>
        <v>0</v>
      </c>
      <c r="AD72" s="231">
        <f>IF(ISTEXT(AA72),AD70,0)</f>
        <v>0</v>
      </c>
    </row>
    <row r="73" spans="1:30" ht="17.25" thickTop="1" thickBot="1">
      <c r="B73" s="14"/>
      <c r="D73" s="9"/>
      <c r="E73" s="9"/>
      <c r="G73" s="14"/>
      <c r="I73" s="9"/>
      <c r="J73" s="9"/>
      <c r="L73" s="14"/>
      <c r="N73" s="9"/>
      <c r="O73" s="9"/>
      <c r="Q73" s="14"/>
      <c r="S73" s="9"/>
      <c r="T73" s="9"/>
      <c r="V73" s="9"/>
      <c r="X73" s="9"/>
      <c r="Y73" s="9"/>
      <c r="AA73" s="9"/>
      <c r="AC73" s="9"/>
      <c r="AD73" s="9"/>
    </row>
    <row r="74" spans="1:30" ht="16.5" thickTop="1">
      <c r="B74" s="139">
        <f>'Joueurs et TirageV'!O23</f>
        <v>0</v>
      </c>
      <c r="C74" s="140"/>
      <c r="D74" s="141">
        <f>IF(C74+C78=0,0,IF(C74=C78,2,IF(C74&gt;C78,3,1)))</f>
        <v>0</v>
      </c>
      <c r="E74" s="142">
        <f>C74-C78</f>
        <v>0</v>
      </c>
      <c r="F74" s="18"/>
      <c r="G74" s="154">
        <f>'Joueurs et TirageV'!R23</f>
        <v>0</v>
      </c>
      <c r="H74" s="155"/>
      <c r="I74" s="156">
        <f>IF(H74+H78=0,0,IF(H74=H78,2,IF(H74&gt;H78,3,1)))</f>
        <v>0</v>
      </c>
      <c r="J74" s="157">
        <f>H74-H78</f>
        <v>0</v>
      </c>
      <c r="K74" s="18"/>
      <c r="L74" s="177">
        <f>'Joueurs et TirageV'!U23</f>
        <v>0</v>
      </c>
      <c r="M74" s="178"/>
      <c r="N74" s="179">
        <f>IF(M74+M78=0,0,IF(M74=M78,2,IF(M74&gt;M78,3,1)))</f>
        <v>0</v>
      </c>
      <c r="O74" s="180">
        <f>M74-M78</f>
        <v>0</v>
      </c>
      <c r="Q74" s="198">
        <f>'Joueurs et TirageV'!X23</f>
        <v>0</v>
      </c>
      <c r="R74" s="199"/>
      <c r="S74" s="200">
        <f>IF(R74+R78=0,0,IF(R74=R78,2,IF(R74&gt;R78,3,1)))</f>
        <v>0</v>
      </c>
      <c r="T74" s="201">
        <f>R74-R78</f>
        <v>0</v>
      </c>
      <c r="V74" s="213">
        <f>'Joueurs et TirageV'!AA23</f>
        <v>0</v>
      </c>
      <c r="W74" s="214"/>
      <c r="X74" s="156">
        <f>IF(W74+W78=0,0,IF(W74=W78,2,IF(W74&gt;W78,3,1)))</f>
        <v>0</v>
      </c>
      <c r="Y74" s="157">
        <f>W74-W78</f>
        <v>0</v>
      </c>
      <c r="AA74" s="219">
        <f>'Joueurs et TirageV'!AD23</f>
        <v>0</v>
      </c>
      <c r="AB74" s="220"/>
      <c r="AC74" s="221">
        <f>IF(AB74+AB78=0,0,IF(AB74=AB78,2,IF(AB74&gt;AB78,3,1)))</f>
        <v>0</v>
      </c>
      <c r="AD74" s="222">
        <f>AB74-AB78</f>
        <v>0</v>
      </c>
    </row>
    <row r="75" spans="1:30" ht="16.5" thickBot="1">
      <c r="A75" s="27">
        <v>17</v>
      </c>
      <c r="B75" s="143">
        <f>'Joueurs et TirageV'!P23</f>
        <v>0</v>
      </c>
      <c r="C75" s="129">
        <f>IF(ISTEXT(B75),C74,0)</f>
        <v>0</v>
      </c>
      <c r="D75" s="130">
        <f>IF(ISTEXT(B75),D74,0)</f>
        <v>0</v>
      </c>
      <c r="E75" s="144">
        <f>IF(ISTEXT(B75),E74,0)</f>
        <v>0</v>
      </c>
      <c r="F75" s="10"/>
      <c r="G75" s="158">
        <f>'Joueurs et TirageV'!S23</f>
        <v>0</v>
      </c>
      <c r="H75" s="129">
        <f>IF(ISTEXT(G75),H74,0)</f>
        <v>0</v>
      </c>
      <c r="I75" s="130">
        <f>IF(ISTEXT(G75),I74,0)</f>
        <v>0</v>
      </c>
      <c r="J75" s="159">
        <f>IF(ISTEXT(G75),J74,0)</f>
        <v>0</v>
      </c>
      <c r="K75" s="10"/>
      <c r="L75" s="181">
        <f>'Joueurs et TirageV'!V23</f>
        <v>0</v>
      </c>
      <c r="M75" s="129">
        <f>IF(ISTEXT(L75),M74,0)</f>
        <v>0</v>
      </c>
      <c r="N75" s="130">
        <f>IF(ISTEXT(L75),N74,0)</f>
        <v>0</v>
      </c>
      <c r="O75" s="182">
        <f>IF(ISTEXT(L75),O74,0)</f>
        <v>0</v>
      </c>
      <c r="P75" s="9"/>
      <c r="Q75" s="202">
        <f>'Joueurs et TirageV'!Y23</f>
        <v>0</v>
      </c>
      <c r="R75" s="129">
        <f>IF(ISTEXT(Q75),R74,0)</f>
        <v>0</v>
      </c>
      <c r="S75" s="130">
        <f>IF(ISTEXT(Q75),S74,0)</f>
        <v>0</v>
      </c>
      <c r="T75" s="203">
        <f>IF(ISTEXT(Q75),T74,0)</f>
        <v>0</v>
      </c>
      <c r="U75" s="9"/>
      <c r="V75" s="217">
        <f>'Joueurs et TirageV'!AB23</f>
        <v>0</v>
      </c>
      <c r="W75" s="129">
        <f>IF(ISTEXT(V75),W74,0)</f>
        <v>0</v>
      </c>
      <c r="X75" s="130">
        <f>IF(ISTEXT(V75),X74,0)</f>
        <v>0</v>
      </c>
      <c r="Y75" s="159">
        <f>IF(ISTEXT(V75),Y74,0)</f>
        <v>0</v>
      </c>
      <c r="Z75" s="9"/>
      <c r="AA75" s="239">
        <f>'Joueurs et TirageV'!AE23</f>
        <v>0</v>
      </c>
      <c r="AB75" s="129">
        <f>IF(ISTEXT(AA75),AB74,0)</f>
        <v>0</v>
      </c>
      <c r="AC75" s="130">
        <f>IF(ISTEXT(AA75),AC74,0)</f>
        <v>0</v>
      </c>
      <c r="AD75" s="224">
        <f>IF(ISTEXT(AA75),AD74,0)</f>
        <v>0</v>
      </c>
    </row>
    <row r="76" spans="1:30">
      <c r="B76" s="143">
        <f>+'Joueurs et TirageV'!Q23</f>
        <v>0</v>
      </c>
      <c r="C76" s="127">
        <f>IF(ISTEXT(B76),C74,0)</f>
        <v>0</v>
      </c>
      <c r="D76" s="128">
        <f>IF(ISTEXT(B76),D74,0)</f>
        <v>0</v>
      </c>
      <c r="E76" s="145">
        <f>IF(ISTEXT(B76),E74,0)</f>
        <v>0</v>
      </c>
      <c r="F76" s="10"/>
      <c r="G76" s="158">
        <f>+'Joueurs et TirageV'!T23</f>
        <v>0</v>
      </c>
      <c r="H76" s="25">
        <f>IF(ISTEXT(G76),H74,0)</f>
        <v>0</v>
      </c>
      <c r="I76" s="26">
        <f>IF(ISTEXT(G76),I74,0)</f>
        <v>0</v>
      </c>
      <c r="J76" s="160">
        <f>IF(ISTEXT(G76),J74,0)</f>
        <v>0</v>
      </c>
      <c r="K76" s="10"/>
      <c r="L76" s="181">
        <f>+'Joueurs et TirageV'!W23</f>
        <v>0</v>
      </c>
      <c r="M76" s="11">
        <f>IF(ISTEXT(L76),M74,0)</f>
        <v>0</v>
      </c>
      <c r="N76" s="26">
        <f>IF(ISTEXT(L76),N74,0)</f>
        <v>0</v>
      </c>
      <c r="O76" s="183">
        <f>IF(ISTEXT(L76),O74,0)</f>
        <v>0</v>
      </c>
      <c r="P76" s="9"/>
      <c r="Q76" s="202">
        <f>+'Joueurs et TirageV'!Z23</f>
        <v>0</v>
      </c>
      <c r="R76" s="11">
        <f>IF(ISTEXT(Q76),R74,0)</f>
        <v>0</v>
      </c>
      <c r="S76" s="26">
        <f>IF(ISTEXT(Q76),S74,0)</f>
        <v>0</v>
      </c>
      <c r="T76" s="204">
        <f>IF(ISTEXT(Q76),T74,0)</f>
        <v>0</v>
      </c>
      <c r="U76" s="9"/>
      <c r="V76" s="217">
        <f>+'Joueurs et TirageV'!AC23</f>
        <v>0</v>
      </c>
      <c r="W76" s="11">
        <f>IF(ISTEXT(V76),W74,0)</f>
        <v>0</v>
      </c>
      <c r="X76" s="26">
        <f>IF(ISTEXT(V76),X74,0)</f>
        <v>0</v>
      </c>
      <c r="Y76" s="160">
        <f>IF(ISTEXT(V76),Y74,0)</f>
        <v>0</v>
      </c>
      <c r="Z76" s="9"/>
      <c r="AA76" s="239">
        <f>+'Joueurs et TirageV'!AF23</f>
        <v>0</v>
      </c>
      <c r="AB76" s="11">
        <f>IF(ISTEXT(AA76),AB74,0)</f>
        <v>0</v>
      </c>
      <c r="AC76" s="26">
        <f>IF(ISTEXT(AA76),AC74,0)</f>
        <v>0</v>
      </c>
      <c r="AD76" s="225">
        <f>IF(ISTEXT(AA76),AD74,0)</f>
        <v>0</v>
      </c>
    </row>
    <row r="77" spans="1:30">
      <c r="B77" s="146"/>
      <c r="C77" s="137" t="s">
        <v>8</v>
      </c>
      <c r="D77" s="138"/>
      <c r="E77" s="147"/>
      <c r="F77" s="19"/>
      <c r="G77" s="169"/>
      <c r="H77" s="170" t="s">
        <v>8</v>
      </c>
      <c r="I77" s="171"/>
      <c r="J77" s="172"/>
      <c r="K77" s="19"/>
      <c r="L77" s="190"/>
      <c r="M77" s="191" t="s">
        <v>8</v>
      </c>
      <c r="N77" s="192"/>
      <c r="O77" s="193"/>
      <c r="P77" s="23"/>
      <c r="Q77" s="205"/>
      <c r="R77" s="196" t="s">
        <v>8</v>
      </c>
      <c r="S77" s="197"/>
      <c r="T77" s="206"/>
      <c r="U77" s="23"/>
      <c r="V77" s="215"/>
      <c r="W77" s="194" t="s">
        <v>8</v>
      </c>
      <c r="X77" s="195"/>
      <c r="Y77" s="216"/>
      <c r="Z77" s="23"/>
      <c r="AA77" s="232"/>
      <c r="AB77" s="233" t="s">
        <v>8</v>
      </c>
      <c r="AC77" s="234"/>
      <c r="AD77" s="235"/>
    </row>
    <row r="78" spans="1:30">
      <c r="B78" s="143">
        <f>'Joueurs et TirageV'!O24</f>
        <v>0</v>
      </c>
      <c r="C78" s="28"/>
      <c r="D78" s="26">
        <f>IF(C74+C78=0,0,IF(C74=C78,2,IF(C74&lt;C78,3,1)))</f>
        <v>0</v>
      </c>
      <c r="E78" s="148">
        <f>C78-C74</f>
        <v>0</v>
      </c>
      <c r="F78" s="18"/>
      <c r="G78" s="158">
        <f>'Joueurs et TirageV'!R24</f>
        <v>0</v>
      </c>
      <c r="H78" s="131"/>
      <c r="I78" s="26">
        <f>IF(H74+H78=0,0,IF(H74=H78,2,IF(H74&lt;H78,3,1)))</f>
        <v>0</v>
      </c>
      <c r="J78" s="163">
        <f>H78-H74</f>
        <v>0</v>
      </c>
      <c r="K78" s="18"/>
      <c r="L78" s="181">
        <f>'Joueurs et TirageV'!U24</f>
        <v>0</v>
      </c>
      <c r="M78" s="29"/>
      <c r="N78" s="26">
        <f>IF(M74+M78=0,0,IF(M74=M78,2,IF(M74&lt;M78,3,1)))</f>
        <v>0</v>
      </c>
      <c r="O78" s="184">
        <f>M78-M74</f>
        <v>0</v>
      </c>
      <c r="Q78" s="202">
        <f>'Joueurs et TirageV'!X24</f>
        <v>0</v>
      </c>
      <c r="R78" s="30"/>
      <c r="S78" s="26">
        <f>IF(R74+R78=0,0,IF(R74=R78,2,IF(R74&lt;R78,3,1)))</f>
        <v>0</v>
      </c>
      <c r="T78" s="207">
        <f>R78-R74</f>
        <v>0</v>
      </c>
      <c r="V78" s="217">
        <f>'Joueurs et TirageV'!AA24</f>
        <v>0</v>
      </c>
      <c r="W78" s="31"/>
      <c r="X78" s="26">
        <f>IF(W74+W78=0,0,IF(W74=W78,2,IF(W74&lt;W78,3,1)))</f>
        <v>0</v>
      </c>
      <c r="Y78" s="163">
        <f>W78-W74</f>
        <v>0</v>
      </c>
      <c r="AA78" s="239">
        <f>'Joueurs et TirageV'!AD24</f>
        <v>0</v>
      </c>
      <c r="AB78" s="32"/>
      <c r="AC78" s="26">
        <f>IF(AB74+AB78=0,0,IF(AB74=AB78,2,IF(AB74&lt;AB78,3,1)))</f>
        <v>0</v>
      </c>
      <c r="AD78" s="226">
        <f>AB78-AB74</f>
        <v>0</v>
      </c>
    </row>
    <row r="79" spans="1:30" ht="16.5" thickBot="1">
      <c r="A79" s="27">
        <v>18</v>
      </c>
      <c r="B79" s="143">
        <f>'Joueurs et TirageV'!P24</f>
        <v>0</v>
      </c>
      <c r="C79" s="47">
        <f>IF(ISTEXT(B79),C78,0)</f>
        <v>0</v>
      </c>
      <c r="D79" s="13">
        <f>IF(ISTEXT(B79),D78,0)</f>
        <v>0</v>
      </c>
      <c r="E79" s="149">
        <f>IF(ISTEXT(B79),E78,0)</f>
        <v>0</v>
      </c>
      <c r="F79" s="10"/>
      <c r="G79" s="158">
        <f>'Joueurs et TirageV'!S24</f>
        <v>0</v>
      </c>
      <c r="H79" s="47">
        <f>IF(ISTEXT(G79),H78,0)</f>
        <v>0</v>
      </c>
      <c r="I79" s="13">
        <f>IF(ISTEXT(G79),I78,0)</f>
        <v>0</v>
      </c>
      <c r="J79" s="164">
        <f>IF(ISTEXT(G79),J78,0)</f>
        <v>0</v>
      </c>
      <c r="K79" s="10"/>
      <c r="L79" s="181">
        <f>'Joueurs et TirageV'!V24</f>
        <v>0</v>
      </c>
      <c r="M79" s="47">
        <f>IF(ISTEXT(L79),M78,0)</f>
        <v>0</v>
      </c>
      <c r="N79" s="13">
        <f>IF(ISTEXT(L79),N78,0)</f>
        <v>0</v>
      </c>
      <c r="O79" s="185">
        <f>IF(ISTEXT(L79),O78,0)</f>
        <v>0</v>
      </c>
      <c r="P79" s="9"/>
      <c r="Q79" s="202">
        <f>'Joueurs et TirageV'!Y24</f>
        <v>0</v>
      </c>
      <c r="R79" s="47">
        <f>IF(ISTEXT(Q79),R78,0)</f>
        <v>0</v>
      </c>
      <c r="S79" s="13">
        <f>IF(ISTEXT(Q79),S78,0)</f>
        <v>0</v>
      </c>
      <c r="T79" s="208">
        <f>IF(ISTEXT(Q79),T78,0)</f>
        <v>0</v>
      </c>
      <c r="U79" s="9"/>
      <c r="V79" s="217">
        <f>'Joueurs et TirageV'!AB24</f>
        <v>0</v>
      </c>
      <c r="W79" s="47">
        <f>IF(ISTEXT(V79),W78,0)</f>
        <v>0</v>
      </c>
      <c r="X79" s="13">
        <f>IF(ISTEXT(V79),X78,0)</f>
        <v>0</v>
      </c>
      <c r="Y79" s="164">
        <f>IF(ISTEXT(V79),Y78,0)</f>
        <v>0</v>
      </c>
      <c r="Z79" s="9"/>
      <c r="AA79" s="239">
        <f>'Joueurs et TirageV'!AE24</f>
        <v>0</v>
      </c>
      <c r="AB79" s="47">
        <f>IF(ISTEXT(AA79),AB78,0)</f>
        <v>0</v>
      </c>
      <c r="AC79" s="13">
        <f>IF(ISTEXT(AA79),AC78,0)</f>
        <v>0</v>
      </c>
      <c r="AD79" s="227">
        <f>IF(ISTEXT(AA79),AD78,0)</f>
        <v>0</v>
      </c>
    </row>
    <row r="80" spans="1:30" ht="16.5" thickBot="1">
      <c r="B80" s="150">
        <f>+'Joueurs et TirageV'!Q24</f>
        <v>0</v>
      </c>
      <c r="C80" s="151">
        <f>IF(ISTEXT(B80),C78,0)</f>
        <v>0</v>
      </c>
      <c r="D80" s="152">
        <f>IF(ISTEXT(B80),D78,0)</f>
        <v>0</v>
      </c>
      <c r="E80" s="153">
        <f>IF(ISTEXT(B80),E78,0)</f>
        <v>0</v>
      </c>
      <c r="F80" s="10"/>
      <c r="G80" s="165">
        <f>+'Joueurs et TirageV'!T24</f>
        <v>0</v>
      </c>
      <c r="H80" s="166">
        <f>IF(ISTEXT(G80),H78,0)</f>
        <v>0</v>
      </c>
      <c r="I80" s="167">
        <f>IF(ISTEXT(G80),I78,0)</f>
        <v>0</v>
      </c>
      <c r="J80" s="168">
        <f>IF(ISTEXT(G80),J78,0)</f>
        <v>0</v>
      </c>
      <c r="K80" s="10"/>
      <c r="L80" s="186">
        <f>+'Joueurs et TirageV'!W24</f>
        <v>0</v>
      </c>
      <c r="M80" s="187">
        <f>IF(ISTEXT(L80),M78,0)</f>
        <v>0</v>
      </c>
      <c r="N80" s="188">
        <f>IF(ISTEXT(L80),N78,0)</f>
        <v>0</v>
      </c>
      <c r="O80" s="189">
        <f>IF(ISTEXT(L80),O78,0)</f>
        <v>0</v>
      </c>
      <c r="P80" s="9"/>
      <c r="Q80" s="209">
        <f>+'Joueurs et TirageV'!Z24</f>
        <v>0</v>
      </c>
      <c r="R80" s="210">
        <f>IF(ISTEXT(Q80),R78,0)</f>
        <v>0</v>
      </c>
      <c r="S80" s="211">
        <f>IF(ISTEXT(Q80),S78,0)</f>
        <v>0</v>
      </c>
      <c r="T80" s="212">
        <f>IF(ISTEXT(Q80),T78,0)</f>
        <v>0</v>
      </c>
      <c r="U80" s="9"/>
      <c r="V80" s="218">
        <f>+'Joueurs et TirageV'!AC24</f>
        <v>0</v>
      </c>
      <c r="W80" s="166">
        <f>IF(ISTEXT(V80),W78,0)</f>
        <v>0</v>
      </c>
      <c r="X80" s="167">
        <f>IF(ISTEXT(V80),X78,0)</f>
        <v>0</v>
      </c>
      <c r="Y80" s="168">
        <f>IF(ISTEXT(V80),Y78,0)</f>
        <v>0</v>
      </c>
      <c r="Z80" s="9"/>
      <c r="AA80" s="240">
        <f>+'Joueurs et TirageV'!AF24</f>
        <v>0</v>
      </c>
      <c r="AB80" s="229">
        <f>IF(ISTEXT(AA80),AB78,0)</f>
        <v>0</v>
      </c>
      <c r="AC80" s="230">
        <f>IF(ISTEXT(AA80),AC78,0)</f>
        <v>0</v>
      </c>
      <c r="AD80" s="231">
        <f>IF(ISTEXT(AA80),AD78,0)</f>
        <v>0</v>
      </c>
    </row>
    <row r="81" spans="1:30" ht="17.25" thickTop="1" thickBot="1">
      <c r="B81" s="14"/>
      <c r="D81" s="9"/>
      <c r="E81" s="9"/>
      <c r="G81" s="14"/>
      <c r="I81" s="9"/>
      <c r="J81" s="9"/>
      <c r="L81" s="14"/>
      <c r="N81" s="9"/>
      <c r="O81" s="9"/>
      <c r="Q81" s="14"/>
      <c r="S81" s="9"/>
      <c r="T81" s="9"/>
      <c r="V81" s="9"/>
      <c r="X81" s="9"/>
      <c r="Y81" s="9"/>
      <c r="AA81" s="9"/>
      <c r="AC81" s="9"/>
      <c r="AD81" s="9"/>
    </row>
    <row r="82" spans="1:30" ht="16.5" thickTop="1">
      <c r="B82" s="139">
        <f>'Joueurs et TirageV'!O25</f>
        <v>0</v>
      </c>
      <c r="C82" s="140"/>
      <c r="D82" s="141">
        <f>IF(C82+C86=0,0,IF(C82=C86,2,IF(C82&gt;C86,3,1)))</f>
        <v>0</v>
      </c>
      <c r="E82" s="142">
        <f>C82-C86</f>
        <v>0</v>
      </c>
      <c r="F82" s="18"/>
      <c r="G82" s="154">
        <f>'Joueurs et TirageV'!R25</f>
        <v>0</v>
      </c>
      <c r="H82" s="155"/>
      <c r="I82" s="156">
        <f>IF(H82+H86=0,0,IF(H82=H86,2,IF(H82&gt;H86,3,1)))</f>
        <v>0</v>
      </c>
      <c r="J82" s="157">
        <f>H82-H86</f>
        <v>0</v>
      </c>
      <c r="K82" s="18"/>
      <c r="L82" s="177">
        <f>'Joueurs et TirageV'!U25</f>
        <v>0</v>
      </c>
      <c r="M82" s="178"/>
      <c r="N82" s="179">
        <f>IF(M82+M86=0,0,IF(M82=M86,2,IF(M82&gt;M86,3,1)))</f>
        <v>0</v>
      </c>
      <c r="O82" s="180">
        <f>M82-M86</f>
        <v>0</v>
      </c>
      <c r="Q82" s="198">
        <f>'Joueurs et TirageV'!X25</f>
        <v>0</v>
      </c>
      <c r="R82" s="199"/>
      <c r="S82" s="200">
        <f>IF(R82+R86=0,0,IF(R82=R86,2,IF(R82&gt;R86,3,1)))</f>
        <v>0</v>
      </c>
      <c r="T82" s="201">
        <f>R82-R86</f>
        <v>0</v>
      </c>
      <c r="V82" s="213">
        <f>'Joueurs et TirageV'!AA25</f>
        <v>0</v>
      </c>
      <c r="W82" s="214"/>
      <c r="X82" s="156">
        <f>IF(W82+W86=0,0,IF(W82=W86,2,IF(W82&gt;W86,3,1)))</f>
        <v>0</v>
      </c>
      <c r="Y82" s="157">
        <f>W82-W86</f>
        <v>0</v>
      </c>
      <c r="AA82" s="236">
        <f>'Joueurs et TirageV'!AD25</f>
        <v>0</v>
      </c>
      <c r="AB82" s="220"/>
      <c r="AC82" s="221">
        <f>IF(AB82+AB86=0,0,IF(AB82=AB86,2,IF(AB82&gt;AB86,3,1)))</f>
        <v>0</v>
      </c>
      <c r="AD82" s="222">
        <f>AB82-AB86</f>
        <v>0</v>
      </c>
    </row>
    <row r="83" spans="1:30" ht="16.5" thickBot="1">
      <c r="A83" s="27">
        <v>19</v>
      </c>
      <c r="B83" s="143">
        <f>'Joueurs et TirageV'!P25</f>
        <v>0</v>
      </c>
      <c r="C83" s="129">
        <f>IF(ISTEXT(B83),C82,0)</f>
        <v>0</v>
      </c>
      <c r="D83" s="130">
        <f>IF(ISTEXT(B83),D82,0)</f>
        <v>0</v>
      </c>
      <c r="E83" s="144">
        <f>IF(ISTEXT(B83),E82,0)</f>
        <v>0</v>
      </c>
      <c r="F83" s="18"/>
      <c r="G83" s="158">
        <f>'Joueurs et TirageV'!S25</f>
        <v>0</v>
      </c>
      <c r="H83" s="129">
        <f>IF(ISTEXT(G83),H82,0)</f>
        <v>0</v>
      </c>
      <c r="I83" s="130">
        <f>IF(ISTEXT(G83),I82,0)</f>
        <v>0</v>
      </c>
      <c r="J83" s="159">
        <f>IF(ISTEXT(G83),J82,0)</f>
        <v>0</v>
      </c>
      <c r="K83" s="18"/>
      <c r="L83" s="181">
        <f>'Joueurs et TirageV'!V25</f>
        <v>0</v>
      </c>
      <c r="M83" s="129">
        <f>IF(ISTEXT(L83),M82,0)</f>
        <v>0</v>
      </c>
      <c r="N83" s="130">
        <f>IF(ISTEXT(L83),N82,0)</f>
        <v>0</v>
      </c>
      <c r="O83" s="182">
        <f>IF(ISTEXT(L83),O82,0)</f>
        <v>0</v>
      </c>
      <c r="Q83" s="202">
        <f>'Joueurs et TirageV'!Y25</f>
        <v>0</v>
      </c>
      <c r="R83" s="129">
        <f>IF(ISTEXT(Q83),R82,0)</f>
        <v>0</v>
      </c>
      <c r="S83" s="130">
        <f>IF(ISTEXT(Q83),S82,0)</f>
        <v>0</v>
      </c>
      <c r="T83" s="203">
        <f>IF(ISTEXT(Q83),T82,0)</f>
        <v>0</v>
      </c>
      <c r="V83" s="217">
        <f>'Joueurs et TirageV'!AB25</f>
        <v>0</v>
      </c>
      <c r="W83" s="129">
        <f>IF(ISTEXT(V83),W82,0)</f>
        <v>0</v>
      </c>
      <c r="X83" s="130">
        <f>IF(ISTEXT(V83),X82,0)</f>
        <v>0</v>
      </c>
      <c r="Y83" s="159">
        <f>IF(ISTEXT(V83),Y82,0)</f>
        <v>0</v>
      </c>
      <c r="AA83" s="239">
        <f>'Joueurs et TirageV'!AE25</f>
        <v>0</v>
      </c>
      <c r="AB83" s="129">
        <f>IF(ISTEXT(AA83),AB82,0)</f>
        <v>0</v>
      </c>
      <c r="AC83" s="130">
        <f>IF(ISTEXT(AA83),AC82,0)</f>
        <v>0</v>
      </c>
      <c r="AD83" s="224">
        <f>IF(ISTEXT(AA83),AD82,0)</f>
        <v>0</v>
      </c>
    </row>
    <row r="84" spans="1:30">
      <c r="B84" s="143">
        <f>+'Joueurs et TirageV'!Q25</f>
        <v>0</v>
      </c>
      <c r="C84" s="127">
        <f>IF(ISTEXT(B84),C82,0)</f>
        <v>0</v>
      </c>
      <c r="D84" s="128">
        <f>IF(ISTEXT(B84),D82,0)</f>
        <v>0</v>
      </c>
      <c r="E84" s="145">
        <f>IF(ISTEXT(B84),E82,0)</f>
        <v>0</v>
      </c>
      <c r="F84" s="18"/>
      <c r="G84" s="173">
        <f>+'Joueurs et TirageV'!T25</f>
        <v>0</v>
      </c>
      <c r="H84" s="174">
        <f>IF(ISTEXT(G84),H82,0)</f>
        <v>0</v>
      </c>
      <c r="I84" s="175">
        <f>IF(ISTEXT(G84),I82,0)</f>
        <v>0</v>
      </c>
      <c r="J84" s="176">
        <f>IF(ISTEXT(G84),J82,0)</f>
        <v>0</v>
      </c>
      <c r="K84" s="18"/>
      <c r="L84" s="181">
        <f>+'Joueurs et TirageV'!W25</f>
        <v>0</v>
      </c>
      <c r="M84" s="11">
        <f>IF(ISTEXT(L84),M82,0)</f>
        <v>0</v>
      </c>
      <c r="N84" s="26">
        <f>IF(ISTEXT(L84),N82,0)</f>
        <v>0</v>
      </c>
      <c r="O84" s="183">
        <f>IF(ISTEXT(L84),O82,0)</f>
        <v>0</v>
      </c>
      <c r="Q84" s="202">
        <f>+'Joueurs et TirageV'!Z25</f>
        <v>0</v>
      </c>
      <c r="R84" s="11">
        <f>IF(ISTEXT(Q84),R82,0)</f>
        <v>0</v>
      </c>
      <c r="S84" s="26">
        <f>IF(ISTEXT(Q84),S82,0)</f>
        <v>0</v>
      </c>
      <c r="T84" s="204">
        <f>IF(ISTEXT(Q84),T82,0)</f>
        <v>0</v>
      </c>
      <c r="V84" s="217">
        <f>+'Joueurs et TirageV'!AC25</f>
        <v>0</v>
      </c>
      <c r="W84" s="11">
        <f>IF(ISTEXT(V84),W82,0)</f>
        <v>0</v>
      </c>
      <c r="X84" s="26">
        <f>IF(ISTEXT(V84),X82,0)</f>
        <v>0</v>
      </c>
      <c r="Y84" s="160">
        <f>IF(ISTEXT(V84),Y82,0)</f>
        <v>0</v>
      </c>
      <c r="AA84" s="239">
        <f>+'Joueurs et TirageV'!AF25</f>
        <v>0</v>
      </c>
      <c r="AB84" s="11">
        <f>IF(ISTEXT(AA84),AB82,0)</f>
        <v>0</v>
      </c>
      <c r="AC84" s="26">
        <f>IF(ISTEXT(AA84),AC82,0)</f>
        <v>0</v>
      </c>
      <c r="AD84" s="225">
        <f>IF(ISTEXT(AA84),AD82,0)</f>
        <v>0</v>
      </c>
    </row>
    <row r="85" spans="1:30">
      <c r="B85" s="146"/>
      <c r="C85" s="137"/>
      <c r="D85" s="138"/>
      <c r="E85" s="147"/>
      <c r="F85" s="19"/>
      <c r="G85" s="161"/>
      <c r="H85" s="24" t="s">
        <v>8</v>
      </c>
      <c r="I85" s="15"/>
      <c r="J85" s="162"/>
      <c r="K85" s="19"/>
      <c r="L85" s="190"/>
      <c r="M85" s="191" t="s">
        <v>8</v>
      </c>
      <c r="N85" s="192"/>
      <c r="O85" s="193"/>
      <c r="P85" s="23"/>
      <c r="Q85" s="205"/>
      <c r="R85" s="196" t="s">
        <v>8</v>
      </c>
      <c r="S85" s="197"/>
      <c r="T85" s="206"/>
      <c r="U85" s="23"/>
      <c r="V85" s="215"/>
      <c r="W85" s="194" t="s">
        <v>8</v>
      </c>
      <c r="X85" s="195"/>
      <c r="Y85" s="216"/>
      <c r="Z85" s="23"/>
      <c r="AA85" s="232"/>
      <c r="AB85" s="233" t="s">
        <v>8</v>
      </c>
      <c r="AC85" s="234"/>
      <c r="AD85" s="235"/>
    </row>
    <row r="86" spans="1:30">
      <c r="B86" s="143">
        <f>'Joueurs et TirageV'!O26</f>
        <v>0</v>
      </c>
      <c r="C86" s="28"/>
      <c r="D86" s="26">
        <f>IF(C82+C86=0,0,IF(C82=C86,2,IF(C82&lt;C86,3,1)))</f>
        <v>0</v>
      </c>
      <c r="E86" s="148">
        <f>C86-C82</f>
        <v>0</v>
      </c>
      <c r="F86" s="18"/>
      <c r="G86" s="158">
        <f>'Joueurs et TirageV'!R26</f>
        <v>0</v>
      </c>
      <c r="H86" s="131"/>
      <c r="I86" s="26">
        <f>IF(H82+H86=0,0,IF(H82=H86,2,IF(H82&lt;H86,3,1)))</f>
        <v>0</v>
      </c>
      <c r="J86" s="163">
        <f>H86-H82</f>
        <v>0</v>
      </c>
      <c r="K86" s="18"/>
      <c r="L86" s="181">
        <f>'Joueurs et TirageV'!U26</f>
        <v>0</v>
      </c>
      <c r="M86" s="29"/>
      <c r="N86" s="26">
        <f>IF(M82+M86=0,0,IF(M82=M86,2,IF(M82&lt;M86,3,1)))</f>
        <v>0</v>
      </c>
      <c r="O86" s="184">
        <f>M86-M82</f>
        <v>0</v>
      </c>
      <c r="Q86" s="202">
        <f>'Joueurs et TirageV'!X26</f>
        <v>0</v>
      </c>
      <c r="R86" s="30"/>
      <c r="S86" s="26">
        <f>IF(R82+R86=0,0,IF(R82=R86,2,IF(R82&lt;R86,3,1)))</f>
        <v>0</v>
      </c>
      <c r="T86" s="207">
        <f>R86-R82</f>
        <v>0</v>
      </c>
      <c r="V86" s="217">
        <f>'Joueurs et TirageV'!AA26</f>
        <v>0</v>
      </c>
      <c r="W86" s="31"/>
      <c r="X86" s="26">
        <f>IF(W82+W86=0,0,IF(W82=W86,2,IF(W82&lt;W86,3,1)))</f>
        <v>0</v>
      </c>
      <c r="Y86" s="163">
        <f>W86-W82</f>
        <v>0</v>
      </c>
      <c r="AA86" s="239">
        <f>'Joueurs et TirageV'!AD26</f>
        <v>0</v>
      </c>
      <c r="AB86" s="32"/>
      <c r="AC86" s="26">
        <f>IF(AB82+AB86=0,0,IF(AB82=AB86,2,IF(AB82&lt;AB86,3,1)))</f>
        <v>0</v>
      </c>
      <c r="AD86" s="226">
        <f>AB86-AB82</f>
        <v>0</v>
      </c>
    </row>
    <row r="87" spans="1:30" ht="16.5" thickBot="1">
      <c r="A87" s="27">
        <v>20</v>
      </c>
      <c r="B87" s="143">
        <f>'Joueurs et TirageV'!P26</f>
        <v>0</v>
      </c>
      <c r="C87" s="47">
        <f>IF(ISTEXT(B87),C86,0)</f>
        <v>0</v>
      </c>
      <c r="D87" s="13">
        <f>IF(ISTEXT(B87),D86,0)</f>
        <v>0</v>
      </c>
      <c r="E87" s="149">
        <f>IF(ISTEXT(B87),E86,0)</f>
        <v>0</v>
      </c>
      <c r="F87" s="10"/>
      <c r="G87" s="158">
        <f>'Joueurs et TirageV'!S26</f>
        <v>0</v>
      </c>
      <c r="H87" s="47">
        <f>IF(ISTEXT(G87),H86,0)</f>
        <v>0</v>
      </c>
      <c r="I87" s="13">
        <f>IF(ISTEXT(G87),I86,0)</f>
        <v>0</v>
      </c>
      <c r="J87" s="164">
        <f>IF(ISTEXT(G87),J86,0)</f>
        <v>0</v>
      </c>
      <c r="K87" s="10"/>
      <c r="L87" s="181">
        <f>'Joueurs et TirageV'!V26</f>
        <v>0</v>
      </c>
      <c r="M87" s="47">
        <f>IF(ISTEXT(L87),M86,0)</f>
        <v>0</v>
      </c>
      <c r="N87" s="13">
        <f>IF(ISTEXT(L87),N86,0)</f>
        <v>0</v>
      </c>
      <c r="O87" s="185">
        <f>IF(ISTEXT(L87),O86,0)</f>
        <v>0</v>
      </c>
      <c r="P87" s="9"/>
      <c r="Q87" s="202">
        <f>'Joueurs et TirageV'!Y26</f>
        <v>0</v>
      </c>
      <c r="R87" s="47">
        <f>IF(ISTEXT(Q87),R86,0)</f>
        <v>0</v>
      </c>
      <c r="S87" s="13">
        <f>IF(ISTEXT(Q87),S86,0)</f>
        <v>0</v>
      </c>
      <c r="T87" s="208">
        <f>IF(ISTEXT(Q87),T86,0)</f>
        <v>0</v>
      </c>
      <c r="U87" s="9"/>
      <c r="V87" s="217">
        <f>'Joueurs et TirageV'!AB26</f>
        <v>0</v>
      </c>
      <c r="W87" s="47">
        <f>IF(ISTEXT(V87),W86,0)</f>
        <v>0</v>
      </c>
      <c r="X87" s="13">
        <f>IF(ISTEXT(V87),X86,0)</f>
        <v>0</v>
      </c>
      <c r="Y87" s="164">
        <f>IF(ISTEXT(V87),Y86,0)</f>
        <v>0</v>
      </c>
      <c r="Z87" s="9"/>
      <c r="AA87" s="239">
        <f>'Joueurs et TirageV'!AE26</f>
        <v>0</v>
      </c>
      <c r="AB87" s="47">
        <f>IF(ISTEXT(AA87),AB86,0)</f>
        <v>0</v>
      </c>
      <c r="AC87" s="13">
        <f>IF(ISTEXT(AA87),AC86,0)</f>
        <v>0</v>
      </c>
      <c r="AD87" s="227">
        <f>IF(ISTEXT(AA87),AD86,0)</f>
        <v>0</v>
      </c>
    </row>
    <row r="88" spans="1:30" ht="16.5" thickBot="1">
      <c r="B88" s="150">
        <f>+'Joueurs et TirageV'!Q26</f>
        <v>0</v>
      </c>
      <c r="C88" s="151">
        <f>IF(ISTEXT(B88),C86,0)</f>
        <v>0</v>
      </c>
      <c r="D88" s="152">
        <f>IF(ISTEXT(B88),D86,0)</f>
        <v>0</v>
      </c>
      <c r="E88" s="153">
        <f>IF(ISTEXT(B88),E86,0)</f>
        <v>0</v>
      </c>
      <c r="F88" s="10"/>
      <c r="G88" s="165">
        <f>+'Joueurs et TirageV'!T26</f>
        <v>0</v>
      </c>
      <c r="H88" s="166">
        <f>IF(ISTEXT(G88),H86,0)</f>
        <v>0</v>
      </c>
      <c r="I88" s="167">
        <f>IF(ISTEXT(G88),I86,0)</f>
        <v>0</v>
      </c>
      <c r="J88" s="168">
        <f>IF(ISTEXT(G88),J86,0)</f>
        <v>0</v>
      </c>
      <c r="K88" s="10"/>
      <c r="L88" s="186">
        <f>+'Joueurs et TirageV'!W26</f>
        <v>0</v>
      </c>
      <c r="M88" s="187">
        <f>IF(ISTEXT(L88),M86,0)</f>
        <v>0</v>
      </c>
      <c r="N88" s="188">
        <f>IF(ISTEXT(L88),N86,0)</f>
        <v>0</v>
      </c>
      <c r="O88" s="189">
        <f>IF(ISTEXT(L88),O86,0)</f>
        <v>0</v>
      </c>
      <c r="P88" s="9"/>
      <c r="Q88" s="209">
        <f>+'Joueurs et TirageV'!Z26</f>
        <v>0</v>
      </c>
      <c r="R88" s="210">
        <f>IF(ISTEXT(Q88),R86,0)</f>
        <v>0</v>
      </c>
      <c r="S88" s="211">
        <f>IF(ISTEXT(Q88),S86,0)</f>
        <v>0</v>
      </c>
      <c r="T88" s="212">
        <f>IF(ISTEXT(Q88),T86,0)</f>
        <v>0</v>
      </c>
      <c r="U88" s="9"/>
      <c r="V88" s="218">
        <f>+'Joueurs et TirageV'!AC26</f>
        <v>0</v>
      </c>
      <c r="W88" s="166">
        <f>IF(ISTEXT(V88),W86,0)</f>
        <v>0</v>
      </c>
      <c r="X88" s="167">
        <f>IF(ISTEXT(V88),X86,0)</f>
        <v>0</v>
      </c>
      <c r="Y88" s="168">
        <f>IF(ISTEXT(V88),Y86,0)</f>
        <v>0</v>
      </c>
      <c r="Z88" s="9"/>
      <c r="AA88" s="240">
        <f>+'Joueurs et TirageV'!AF26</f>
        <v>0</v>
      </c>
      <c r="AB88" s="229">
        <f>IF(ISTEXT(AA88),AB86,0)</f>
        <v>0</v>
      </c>
      <c r="AC88" s="230">
        <f>IF(ISTEXT(AA88),AC86,0)</f>
        <v>0</v>
      </c>
      <c r="AD88" s="231">
        <f>IF(ISTEXT(AA88),AD86,0)</f>
        <v>0</v>
      </c>
    </row>
    <row r="89" spans="1:30" s="119" customFormat="1" ht="17.25" thickTop="1" thickBot="1">
      <c r="A89" s="279"/>
      <c r="B89" s="12"/>
      <c r="C89" s="28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4"/>
      <c r="Q89" s="12"/>
      <c r="R89" s="12"/>
      <c r="S89" s="12"/>
      <c r="T89" s="12"/>
      <c r="U89" s="14"/>
      <c r="V89" s="12"/>
      <c r="W89" s="12"/>
      <c r="X89" s="12"/>
      <c r="Y89" s="12"/>
      <c r="Z89" s="14"/>
      <c r="AA89" s="281"/>
      <c r="AB89" s="281"/>
      <c r="AC89" s="281"/>
      <c r="AD89" s="281"/>
    </row>
    <row r="90" spans="1:30" ht="16.5" thickTop="1">
      <c r="A90" s="133"/>
      <c r="B90" s="139">
        <f>'Joueurs et TirageV'!O27</f>
        <v>0</v>
      </c>
      <c r="C90" s="140"/>
      <c r="D90" s="141">
        <f>IF(C90+C94=0,0,IF(C90=C94,2,IF(C90&gt;C94,3,1)))</f>
        <v>0</v>
      </c>
      <c r="E90" s="142">
        <f>C90-C94</f>
        <v>0</v>
      </c>
      <c r="F90" s="18"/>
      <c r="G90" s="154">
        <f>'Joueurs et TirageV'!R27</f>
        <v>0</v>
      </c>
      <c r="H90" s="155"/>
      <c r="I90" s="156">
        <f>IF(H90+H94=0,0,IF(H90=H94,2,IF(H90&gt;H94,3,1)))</f>
        <v>0</v>
      </c>
      <c r="J90" s="157">
        <f>H90-H94</f>
        <v>0</v>
      </c>
      <c r="K90" s="18"/>
      <c r="L90" s="177">
        <f>'Joueurs et TirageV'!U27</f>
        <v>0</v>
      </c>
      <c r="M90" s="178"/>
      <c r="N90" s="179">
        <f>IF(M90+M94=0,0,IF(M90=M94,2,IF(M90&gt;M94,3,1)))</f>
        <v>0</v>
      </c>
      <c r="O90" s="180">
        <f>M90-M94</f>
        <v>0</v>
      </c>
      <c r="Q90" s="198">
        <f>'Joueurs et TirageV'!X27</f>
        <v>0</v>
      </c>
      <c r="R90" s="199"/>
      <c r="S90" s="200">
        <f>IF(R90+R94=0,0,IF(R90=R94,2,IF(R90&gt;R94,3,1)))</f>
        <v>0</v>
      </c>
      <c r="T90" s="201">
        <f>R90-R94</f>
        <v>0</v>
      </c>
      <c r="V90" s="213">
        <f>'Joueurs et TirageV'!AA27</f>
        <v>0</v>
      </c>
      <c r="W90" s="214"/>
      <c r="X90" s="156">
        <f>IF(W90+W94=0,0,IF(W90=W94,2,IF(W90&gt;W94,3,1)))</f>
        <v>0</v>
      </c>
      <c r="Y90" s="157">
        <f>W90-W94</f>
        <v>0</v>
      </c>
      <c r="AA90" s="236">
        <f>'Joueurs et TirageV'!AD27</f>
        <v>0</v>
      </c>
      <c r="AB90" s="220"/>
      <c r="AC90" s="221">
        <f>IF(AB90+AB94=0,0,IF(AB90=AB94,2,IF(AB90&gt;AB94,3,1)))</f>
        <v>0</v>
      </c>
      <c r="AD90" s="222">
        <f>AB90-AB94</f>
        <v>0</v>
      </c>
    </row>
    <row r="91" spans="1:30" ht="16.5" thickBot="1">
      <c r="A91" s="133">
        <v>21</v>
      </c>
      <c r="B91" s="143">
        <f>'Joueurs et TirageV'!P27</f>
        <v>0</v>
      </c>
      <c r="C91" s="129">
        <f>IF(ISTEXT(B91),C90,0)</f>
        <v>0</v>
      </c>
      <c r="D91" s="130">
        <f>IF(ISTEXT(B91),D90,0)</f>
        <v>0</v>
      </c>
      <c r="E91" s="144">
        <f>IF(ISTEXT(B91),E90,0)</f>
        <v>0</v>
      </c>
      <c r="F91" s="18"/>
      <c r="G91" s="158">
        <f>'Joueurs et TirageV'!S27</f>
        <v>0</v>
      </c>
      <c r="H91" s="129">
        <f>IF(ISTEXT(G91),H90,0)</f>
        <v>0</v>
      </c>
      <c r="I91" s="130">
        <f>IF(ISTEXT(G91),I90,0)</f>
        <v>0</v>
      </c>
      <c r="J91" s="159">
        <f>IF(ISTEXT(G91),J90,0)</f>
        <v>0</v>
      </c>
      <c r="K91" s="18"/>
      <c r="L91" s="181">
        <f>'Joueurs et TirageV'!V27</f>
        <v>0</v>
      </c>
      <c r="M91" s="129">
        <f>IF(ISTEXT(L91),M90,0)</f>
        <v>0</v>
      </c>
      <c r="N91" s="130">
        <f>IF(ISTEXT(L91),N90,0)</f>
        <v>0</v>
      </c>
      <c r="O91" s="182">
        <f>IF(ISTEXT(L91),O90,0)</f>
        <v>0</v>
      </c>
      <c r="Q91" s="202">
        <f>'Joueurs et TirageV'!Y27</f>
        <v>0</v>
      </c>
      <c r="R91" s="129">
        <f>IF(ISTEXT(Q91),R90,0)</f>
        <v>0</v>
      </c>
      <c r="S91" s="130">
        <f>IF(ISTEXT(Q91),S90,0)</f>
        <v>0</v>
      </c>
      <c r="T91" s="203">
        <f>IF(ISTEXT(Q91),T90,0)</f>
        <v>0</v>
      </c>
      <c r="V91" s="217">
        <f>'Joueurs et TirageV'!AB27</f>
        <v>0</v>
      </c>
      <c r="W91" s="129">
        <f>IF(ISTEXT(V91),W90,0)</f>
        <v>0</v>
      </c>
      <c r="X91" s="130">
        <f>IF(ISTEXT(V91),X90,0)</f>
        <v>0</v>
      </c>
      <c r="Y91" s="159">
        <f>IF(ISTEXT(V91),Y90,0)</f>
        <v>0</v>
      </c>
      <c r="AA91" s="239">
        <f>'Joueurs et TirageV'!AE27</f>
        <v>0</v>
      </c>
      <c r="AB91" s="129">
        <f>IF(ISTEXT(AA91),AB90,0)</f>
        <v>0</v>
      </c>
      <c r="AC91" s="130">
        <f>IF(ISTEXT(AA91),AC90,0)</f>
        <v>0</v>
      </c>
      <c r="AD91" s="224">
        <f>IF(ISTEXT(AA91),AD90,0)</f>
        <v>0</v>
      </c>
    </row>
    <row r="92" spans="1:30">
      <c r="A92" s="133"/>
      <c r="B92" s="143">
        <f>+'Joueurs et TirageV'!Q27</f>
        <v>0</v>
      </c>
      <c r="C92" s="127">
        <f>IF(ISTEXT(B92),C90,0)</f>
        <v>0</v>
      </c>
      <c r="D92" s="128">
        <f>IF(ISTEXT(B92),D90,0)</f>
        <v>0</v>
      </c>
      <c r="E92" s="145">
        <f>IF(ISTEXT(B92),E90,0)</f>
        <v>0</v>
      </c>
      <c r="F92" s="18"/>
      <c r="G92" s="173">
        <f>+'Joueurs et TirageV'!T27</f>
        <v>0</v>
      </c>
      <c r="H92" s="174">
        <f>IF(ISTEXT(G92),H90,0)</f>
        <v>0</v>
      </c>
      <c r="I92" s="175">
        <f>IF(ISTEXT(G92),I90,0)</f>
        <v>0</v>
      </c>
      <c r="J92" s="176">
        <f>IF(ISTEXT(G92),J90,0)</f>
        <v>0</v>
      </c>
      <c r="K92" s="18"/>
      <c r="L92" s="181">
        <f>+'Joueurs et TirageV'!W27</f>
        <v>0</v>
      </c>
      <c r="M92" s="11">
        <f>IF(ISTEXT(L92),M90,0)</f>
        <v>0</v>
      </c>
      <c r="N92" s="26">
        <f>IF(ISTEXT(L92),N90,0)</f>
        <v>0</v>
      </c>
      <c r="O92" s="183">
        <f>IF(ISTEXT(L92),O90,0)</f>
        <v>0</v>
      </c>
      <c r="Q92" s="202">
        <f>+'Joueurs et TirageV'!Z27</f>
        <v>0</v>
      </c>
      <c r="R92" s="11">
        <f>IF(ISTEXT(Q92),R90,0)</f>
        <v>0</v>
      </c>
      <c r="S92" s="26">
        <f>IF(ISTEXT(Q92),S90,0)</f>
        <v>0</v>
      </c>
      <c r="T92" s="204">
        <f>IF(ISTEXT(Q92),T90,0)</f>
        <v>0</v>
      </c>
      <c r="V92" s="217">
        <f>+'Joueurs et TirageV'!AC27</f>
        <v>0</v>
      </c>
      <c r="W92" s="11">
        <f>IF(ISTEXT(V92),W90,0)</f>
        <v>0</v>
      </c>
      <c r="X92" s="26">
        <f>IF(ISTEXT(V92),X90,0)</f>
        <v>0</v>
      </c>
      <c r="Y92" s="160">
        <f>IF(ISTEXT(V92),Y90,0)</f>
        <v>0</v>
      </c>
      <c r="AA92" s="239">
        <f>+'Joueurs et TirageV'!AF27</f>
        <v>0</v>
      </c>
      <c r="AB92" s="11">
        <f>IF(ISTEXT(AA92),AB90,0)</f>
        <v>0</v>
      </c>
      <c r="AC92" s="26">
        <f>IF(ISTEXT(AA92),AC90,0)</f>
        <v>0</v>
      </c>
      <c r="AD92" s="225">
        <f>IF(ISTEXT(AA92),AD90,0)</f>
        <v>0</v>
      </c>
    </row>
    <row r="93" spans="1:30">
      <c r="A93" s="133"/>
      <c r="B93" s="146"/>
      <c r="C93" s="137" t="s">
        <v>8</v>
      </c>
      <c r="D93" s="138"/>
      <c r="E93" s="147"/>
      <c r="F93" s="19"/>
      <c r="G93" s="161"/>
      <c r="H93" s="24" t="s">
        <v>8</v>
      </c>
      <c r="I93" s="15"/>
      <c r="J93" s="162"/>
      <c r="K93" s="19"/>
      <c r="L93" s="190"/>
      <c r="M93" s="191" t="s">
        <v>8</v>
      </c>
      <c r="N93" s="192"/>
      <c r="O93" s="193"/>
      <c r="P93" s="23"/>
      <c r="Q93" s="205"/>
      <c r="R93" s="196" t="s">
        <v>8</v>
      </c>
      <c r="S93" s="197"/>
      <c r="T93" s="206"/>
      <c r="U93" s="23"/>
      <c r="V93" s="215"/>
      <c r="W93" s="194" t="s">
        <v>8</v>
      </c>
      <c r="X93" s="195"/>
      <c r="Y93" s="216"/>
      <c r="Z93" s="23"/>
      <c r="AA93" s="232"/>
      <c r="AB93" s="233" t="s">
        <v>8</v>
      </c>
      <c r="AC93" s="234"/>
      <c r="AD93" s="235"/>
    </row>
    <row r="94" spans="1:30">
      <c r="A94" s="133"/>
      <c r="B94" s="143">
        <f>'Joueurs et TirageV'!O28</f>
        <v>0</v>
      </c>
      <c r="C94" s="28"/>
      <c r="D94" s="26">
        <f>IF(C90+C94=0,0,IF(C90=C94,2,IF(C90&lt;C94,3,1)))</f>
        <v>0</v>
      </c>
      <c r="E94" s="148">
        <f>C94-C90</f>
        <v>0</v>
      </c>
      <c r="F94" s="18"/>
      <c r="G94" s="158">
        <f>'Joueurs et TirageV'!R28</f>
        <v>0</v>
      </c>
      <c r="H94" s="131"/>
      <c r="I94" s="26">
        <f>IF(H90+H94=0,0,IF(H90=H94,2,IF(H90&lt;H94,3,1)))</f>
        <v>0</v>
      </c>
      <c r="J94" s="163">
        <f>H94-H90</f>
        <v>0</v>
      </c>
      <c r="K94" s="18"/>
      <c r="L94" s="181">
        <f>'Joueurs et TirageV'!U28</f>
        <v>0</v>
      </c>
      <c r="M94" s="29"/>
      <c r="N94" s="26">
        <f>IF(M90+M94=0,0,IF(M90=M94,2,IF(M90&lt;M94,3,1)))</f>
        <v>0</v>
      </c>
      <c r="O94" s="184">
        <f>M94-M90</f>
        <v>0</v>
      </c>
      <c r="Q94" s="202">
        <f>'Joueurs et TirageV'!X28</f>
        <v>0</v>
      </c>
      <c r="R94" s="30"/>
      <c r="S94" s="26">
        <f>IF(R90+R94=0,0,IF(R90=R94,2,IF(R90&lt;R94,3,1)))</f>
        <v>0</v>
      </c>
      <c r="T94" s="207">
        <f>R94-R90</f>
        <v>0</v>
      </c>
      <c r="V94" s="217">
        <f>'Joueurs et TirageV'!AA28</f>
        <v>0</v>
      </c>
      <c r="W94" s="31"/>
      <c r="X94" s="26">
        <f>IF(W90+W94=0,0,IF(W90=W94,2,IF(W90&lt;W94,3,1)))</f>
        <v>0</v>
      </c>
      <c r="Y94" s="163">
        <f>W94-W90</f>
        <v>0</v>
      </c>
      <c r="AA94" s="239">
        <f>'Joueurs et TirageV'!AD28</f>
        <v>0</v>
      </c>
      <c r="AB94" s="32"/>
      <c r="AC94" s="26">
        <f>IF(AB90+AB94=0,0,IF(AB90=AB94,2,IF(AB90&lt;AB94,3,1)))</f>
        <v>0</v>
      </c>
      <c r="AD94" s="226">
        <f>AB94-AB90</f>
        <v>0</v>
      </c>
    </row>
    <row r="95" spans="1:30" ht="16.5" thickBot="1">
      <c r="A95" s="133">
        <v>22</v>
      </c>
      <c r="B95" s="143">
        <f>'Joueurs et TirageV'!P28</f>
        <v>0</v>
      </c>
      <c r="C95" s="47">
        <f>IF(ISTEXT(B95),C94,0)</f>
        <v>0</v>
      </c>
      <c r="D95" s="13">
        <f>IF(ISTEXT(B95),D94,0)</f>
        <v>0</v>
      </c>
      <c r="E95" s="149">
        <f>IF(ISTEXT(B95),E94,0)</f>
        <v>0</v>
      </c>
      <c r="F95" s="10"/>
      <c r="G95" s="158">
        <f>'Joueurs et TirageV'!S28</f>
        <v>0</v>
      </c>
      <c r="H95" s="47">
        <f>IF(ISTEXT(G95),H94,0)</f>
        <v>0</v>
      </c>
      <c r="I95" s="13">
        <f>IF(ISTEXT(G95),I94,0)</f>
        <v>0</v>
      </c>
      <c r="J95" s="164">
        <f>IF(ISTEXT(G95),J94,0)</f>
        <v>0</v>
      </c>
      <c r="K95" s="10"/>
      <c r="L95" s="181">
        <f>'Joueurs et TirageV'!V28</f>
        <v>0</v>
      </c>
      <c r="M95" s="47">
        <f>IF(ISTEXT(L95),M94,0)</f>
        <v>0</v>
      </c>
      <c r="N95" s="13">
        <f>IF(ISTEXT(L95),N94,0)</f>
        <v>0</v>
      </c>
      <c r="O95" s="185">
        <f>IF(ISTEXT(L95),O94,0)</f>
        <v>0</v>
      </c>
      <c r="P95" s="9"/>
      <c r="Q95" s="202">
        <f>'Joueurs et TirageV'!Y28</f>
        <v>0</v>
      </c>
      <c r="R95" s="47">
        <f>IF(ISTEXT(Q95),R94,0)</f>
        <v>0</v>
      </c>
      <c r="S95" s="13">
        <f>IF(ISTEXT(Q95),S94,0)</f>
        <v>0</v>
      </c>
      <c r="T95" s="208">
        <f>IF(ISTEXT(Q95),T94,0)</f>
        <v>0</v>
      </c>
      <c r="U95" s="9"/>
      <c r="V95" s="217">
        <f>'Joueurs et TirageV'!AB28</f>
        <v>0</v>
      </c>
      <c r="W95" s="47">
        <f>IF(ISTEXT(V95),W94,0)</f>
        <v>0</v>
      </c>
      <c r="X95" s="13">
        <f>IF(ISTEXT(V95),X94,0)</f>
        <v>0</v>
      </c>
      <c r="Y95" s="164">
        <f>IF(ISTEXT(V95),Y94,0)</f>
        <v>0</v>
      </c>
      <c r="Z95" s="9"/>
      <c r="AA95" s="239">
        <f>'Joueurs et TirageV'!AE28</f>
        <v>0</v>
      </c>
      <c r="AB95" s="47">
        <f>IF(ISTEXT(AA95),AB94,0)</f>
        <v>0</v>
      </c>
      <c r="AC95" s="13">
        <f>IF(ISTEXT(AA95),AC94,0)</f>
        <v>0</v>
      </c>
      <c r="AD95" s="227">
        <f>IF(ISTEXT(AA95),AD94,0)</f>
        <v>0</v>
      </c>
    </row>
    <row r="96" spans="1:30" ht="16.5" thickBot="1">
      <c r="A96" s="133"/>
      <c r="B96" s="150">
        <f>+'Joueurs et TirageV'!Q28</f>
        <v>0</v>
      </c>
      <c r="C96" s="151">
        <f>IF(ISTEXT(B96),C94,0)</f>
        <v>0</v>
      </c>
      <c r="D96" s="152">
        <f>IF(ISTEXT(B96),D94,0)</f>
        <v>0</v>
      </c>
      <c r="E96" s="153">
        <f>IF(ISTEXT(B96),E94,0)</f>
        <v>0</v>
      </c>
      <c r="F96" s="10"/>
      <c r="G96" s="165">
        <f>+'Joueurs et TirageV'!T28</f>
        <v>0</v>
      </c>
      <c r="H96" s="166">
        <f>IF(ISTEXT(G96),H94,0)</f>
        <v>0</v>
      </c>
      <c r="I96" s="167">
        <f>IF(ISTEXT(G96),I94,0)</f>
        <v>0</v>
      </c>
      <c r="J96" s="168">
        <f>IF(ISTEXT(G96),J94,0)</f>
        <v>0</v>
      </c>
      <c r="K96" s="10"/>
      <c r="L96" s="186">
        <f>+'Joueurs et TirageV'!W28</f>
        <v>0</v>
      </c>
      <c r="M96" s="187">
        <f>IF(ISTEXT(L96),M94,0)</f>
        <v>0</v>
      </c>
      <c r="N96" s="188">
        <f>IF(ISTEXT(L96),N94,0)</f>
        <v>0</v>
      </c>
      <c r="O96" s="189">
        <f>IF(ISTEXT(L96),O94,0)</f>
        <v>0</v>
      </c>
      <c r="P96" s="9"/>
      <c r="Q96" s="209">
        <f>+'Joueurs et TirageV'!Z28</f>
        <v>0</v>
      </c>
      <c r="R96" s="210">
        <f>IF(ISTEXT(Q96),R94,0)</f>
        <v>0</v>
      </c>
      <c r="S96" s="211">
        <f>IF(ISTEXT(Q96),S94,0)</f>
        <v>0</v>
      </c>
      <c r="T96" s="212">
        <f>IF(ISTEXT(Q96),T94,0)</f>
        <v>0</v>
      </c>
      <c r="U96" s="9"/>
      <c r="V96" s="218">
        <f>+'Joueurs et TirageV'!AC28</f>
        <v>0</v>
      </c>
      <c r="W96" s="166">
        <f>IF(ISTEXT(V96),W94,0)</f>
        <v>0</v>
      </c>
      <c r="X96" s="167">
        <f>IF(ISTEXT(V96),X94,0)</f>
        <v>0</v>
      </c>
      <c r="Y96" s="168">
        <f>IF(ISTEXT(V96),Y94,0)</f>
        <v>0</v>
      </c>
      <c r="Z96" s="9"/>
      <c r="AA96" s="240">
        <f>+'Joueurs et TirageV'!AF28</f>
        <v>0</v>
      </c>
      <c r="AB96" s="229">
        <f>IF(ISTEXT(AA96),AB94,0)</f>
        <v>0</v>
      </c>
      <c r="AC96" s="230">
        <f>IF(ISTEXT(AA96),AC94,0)</f>
        <v>0</v>
      </c>
      <c r="AD96" s="231">
        <f>IF(ISTEXT(AA96),AD94,0)</f>
        <v>0</v>
      </c>
    </row>
    <row r="97" spans="1:30" ht="17.25" thickTop="1" thickBot="1">
      <c r="A97" s="133"/>
      <c r="B97" s="12"/>
      <c r="C97" s="278"/>
      <c r="D97" s="12"/>
      <c r="E97" s="10"/>
      <c r="F97" s="10"/>
      <c r="G97" s="12"/>
      <c r="H97" s="10"/>
      <c r="I97" s="12"/>
      <c r="J97" s="10"/>
      <c r="K97" s="10"/>
      <c r="L97" s="12"/>
      <c r="M97" s="10"/>
      <c r="N97" s="12"/>
      <c r="O97" s="10"/>
      <c r="P97" s="9"/>
      <c r="Q97" s="12"/>
      <c r="R97" s="10"/>
      <c r="S97" s="12"/>
      <c r="T97" s="10"/>
      <c r="U97" s="9"/>
      <c r="V97" s="10"/>
      <c r="W97" s="10"/>
      <c r="X97" s="12"/>
      <c r="Y97" s="10"/>
      <c r="Z97" s="9"/>
      <c r="AA97" s="10"/>
      <c r="AB97" s="10"/>
      <c r="AC97" s="12"/>
      <c r="AD97" s="10"/>
    </row>
    <row r="98" spans="1:30" ht="16.5" thickTop="1">
      <c r="A98" s="133"/>
      <c r="B98" s="139">
        <f>'Joueurs et TirageV'!O29</f>
        <v>0</v>
      </c>
      <c r="C98" s="140"/>
      <c r="D98" s="141">
        <f>IF(C98+C102=0,0,IF(C98=C102,2,IF(C98&gt;C102,3,1)))</f>
        <v>0</v>
      </c>
      <c r="E98" s="142">
        <f>C98-C102</f>
        <v>0</v>
      </c>
      <c r="F98" s="18"/>
      <c r="G98" s="154">
        <f>'Joueurs et TirageV'!R29</f>
        <v>0</v>
      </c>
      <c r="H98" s="155"/>
      <c r="I98" s="156">
        <f>IF(H98+H102=0,0,IF(H98=H102,2,IF(H98&gt;H102,3,1)))</f>
        <v>0</v>
      </c>
      <c r="J98" s="157">
        <f>H98-H102</f>
        <v>0</v>
      </c>
      <c r="K98" s="18"/>
      <c r="L98" s="177">
        <f>'Joueurs et TirageV'!U29</f>
        <v>0</v>
      </c>
      <c r="M98" s="178"/>
      <c r="N98" s="179">
        <f>IF(M98+M102=0,0,IF(M98=M102,2,IF(M98&gt;M102,3,1)))</f>
        <v>0</v>
      </c>
      <c r="O98" s="180">
        <f>M98-M102</f>
        <v>0</v>
      </c>
      <c r="Q98" s="198">
        <f>'Joueurs et TirageV'!X29</f>
        <v>0</v>
      </c>
      <c r="R98" s="199"/>
      <c r="S98" s="200">
        <f>IF(R98+R102=0,0,IF(R98=R102,2,IF(R98&gt;R102,3,1)))</f>
        <v>0</v>
      </c>
      <c r="T98" s="201">
        <f>R98-R102</f>
        <v>0</v>
      </c>
      <c r="V98" s="213">
        <f>'Joueurs et TirageV'!AA29</f>
        <v>0</v>
      </c>
      <c r="W98" s="214"/>
      <c r="X98" s="156">
        <f>IF(W98+W102=0,0,IF(W98=W102,2,IF(W98&gt;W102,3,1)))</f>
        <v>0</v>
      </c>
      <c r="Y98" s="157">
        <f>W98-W102</f>
        <v>0</v>
      </c>
      <c r="AA98" s="236">
        <f>'Joueurs et TirageV'!AD29</f>
        <v>0</v>
      </c>
      <c r="AB98" s="220"/>
      <c r="AC98" s="221">
        <f>IF(AB98+AB102=0,0,IF(AB98=AB102,2,IF(AB98&gt;AB102,3,1)))</f>
        <v>0</v>
      </c>
      <c r="AD98" s="222">
        <f>AB98-AB102</f>
        <v>0</v>
      </c>
    </row>
    <row r="99" spans="1:30" ht="16.5" thickBot="1">
      <c r="A99" s="133">
        <v>23</v>
      </c>
      <c r="B99" s="143">
        <f>'Joueurs et TirageV'!P29</f>
        <v>0</v>
      </c>
      <c r="C99" s="129">
        <f>IF(ISTEXT(B99),C98,0)</f>
        <v>0</v>
      </c>
      <c r="D99" s="130">
        <f>IF(ISTEXT(B99),D98,0)</f>
        <v>0</v>
      </c>
      <c r="E99" s="144">
        <f>IF(ISTEXT(B99),E98,0)</f>
        <v>0</v>
      </c>
      <c r="F99" s="18"/>
      <c r="G99" s="158">
        <f>'Joueurs et TirageV'!S29</f>
        <v>0</v>
      </c>
      <c r="H99" s="129">
        <f>IF(ISTEXT(G99),H98,0)</f>
        <v>0</v>
      </c>
      <c r="I99" s="130">
        <f>IF(ISTEXT(G99),I98,0)</f>
        <v>0</v>
      </c>
      <c r="J99" s="159">
        <f>IF(ISTEXT(G99),J98,0)</f>
        <v>0</v>
      </c>
      <c r="K99" s="18"/>
      <c r="L99" s="181">
        <f>'Joueurs et TirageV'!V29</f>
        <v>0</v>
      </c>
      <c r="M99" s="129">
        <f>IF(ISTEXT(L99),M98,0)</f>
        <v>0</v>
      </c>
      <c r="N99" s="130">
        <f>IF(ISTEXT(L99),N98,0)</f>
        <v>0</v>
      </c>
      <c r="O99" s="182">
        <f>IF(ISTEXT(L99),O98,0)</f>
        <v>0</v>
      </c>
      <c r="Q99" s="202">
        <f>'Joueurs et TirageV'!Y29</f>
        <v>0</v>
      </c>
      <c r="R99" s="129">
        <f>IF(ISTEXT(Q99),R98,0)</f>
        <v>0</v>
      </c>
      <c r="S99" s="130">
        <f>IF(ISTEXT(Q99),S98,0)</f>
        <v>0</v>
      </c>
      <c r="T99" s="203">
        <f>IF(ISTEXT(Q99),T98,0)</f>
        <v>0</v>
      </c>
      <c r="V99" s="217">
        <f>'Joueurs et TirageV'!AB29</f>
        <v>0</v>
      </c>
      <c r="W99" s="129">
        <f>IF(ISTEXT(V99),W98,0)</f>
        <v>0</v>
      </c>
      <c r="X99" s="130">
        <f>IF(ISTEXT(V99),X98,0)</f>
        <v>0</v>
      </c>
      <c r="Y99" s="159">
        <f>IF(ISTEXT(V99),Y98,0)</f>
        <v>0</v>
      </c>
      <c r="AA99" s="239">
        <f>'Joueurs et TirageV'!AE29</f>
        <v>0</v>
      </c>
      <c r="AB99" s="129">
        <f>IF(ISTEXT(AA99),AB98,0)</f>
        <v>0</v>
      </c>
      <c r="AC99" s="130">
        <f>IF(ISTEXT(AA99),AC98,0)</f>
        <v>0</v>
      </c>
      <c r="AD99" s="224">
        <f>IF(ISTEXT(AA99),AD98,0)</f>
        <v>0</v>
      </c>
    </row>
    <row r="100" spans="1:30">
      <c r="A100" s="133"/>
      <c r="B100" s="143">
        <f>+'Joueurs et TirageV'!Q29</f>
        <v>0</v>
      </c>
      <c r="C100" s="127">
        <f>IF(ISTEXT(B100),C98,0)</f>
        <v>0</v>
      </c>
      <c r="D100" s="128">
        <f>IF(ISTEXT(B100),D98,0)</f>
        <v>0</v>
      </c>
      <c r="E100" s="145">
        <f>IF(ISTEXT(B100),E98,0)</f>
        <v>0</v>
      </c>
      <c r="F100" s="18"/>
      <c r="G100" s="173">
        <f>+'Joueurs et TirageV'!T29</f>
        <v>0</v>
      </c>
      <c r="H100" s="174">
        <f>IF(ISTEXT(G100),H98,0)</f>
        <v>0</v>
      </c>
      <c r="I100" s="175">
        <f>IF(ISTEXT(G100),I98,0)</f>
        <v>0</v>
      </c>
      <c r="J100" s="176">
        <f>IF(ISTEXT(G100),J98,0)</f>
        <v>0</v>
      </c>
      <c r="K100" s="18"/>
      <c r="L100" s="181">
        <f>+'Joueurs et TirageV'!W29</f>
        <v>0</v>
      </c>
      <c r="M100" s="11">
        <f>IF(ISTEXT(L100),M98,0)</f>
        <v>0</v>
      </c>
      <c r="N100" s="26">
        <f>IF(ISTEXT(L100),N98,0)</f>
        <v>0</v>
      </c>
      <c r="O100" s="183">
        <f>IF(ISTEXT(L100),O98,0)</f>
        <v>0</v>
      </c>
      <c r="Q100" s="202">
        <f>+'Joueurs et TirageV'!Z29</f>
        <v>0</v>
      </c>
      <c r="R100" s="11">
        <f>IF(ISTEXT(Q100),R98,0)</f>
        <v>0</v>
      </c>
      <c r="S100" s="26">
        <f>IF(ISTEXT(Q100),S98,0)</f>
        <v>0</v>
      </c>
      <c r="T100" s="204">
        <f>IF(ISTEXT(Q100),T98,0)</f>
        <v>0</v>
      </c>
      <c r="V100" s="217">
        <f>+'Joueurs et TirageV'!AC29</f>
        <v>0</v>
      </c>
      <c r="W100" s="11">
        <f>IF(ISTEXT(V100),W98,0)</f>
        <v>0</v>
      </c>
      <c r="X100" s="26">
        <f>IF(ISTEXT(V100),X98,0)</f>
        <v>0</v>
      </c>
      <c r="Y100" s="160">
        <f>IF(ISTEXT(V100),Y98,0)</f>
        <v>0</v>
      </c>
      <c r="AA100" s="239">
        <f>+'Joueurs et TirageV'!AF29</f>
        <v>0</v>
      </c>
      <c r="AB100" s="11">
        <f>IF(ISTEXT(AA100),AB98,0)</f>
        <v>0</v>
      </c>
      <c r="AC100" s="26">
        <f>IF(ISTEXT(AA100),AC98,0)</f>
        <v>0</v>
      </c>
      <c r="AD100" s="225">
        <f>IF(ISTEXT(AA100),AD98,0)</f>
        <v>0</v>
      </c>
    </row>
    <row r="101" spans="1:30">
      <c r="A101" s="133"/>
      <c r="B101" s="146"/>
      <c r="C101" s="137" t="s">
        <v>8</v>
      </c>
      <c r="D101" s="138"/>
      <c r="E101" s="147"/>
      <c r="F101" s="19"/>
      <c r="G101" s="161"/>
      <c r="H101" s="24" t="s">
        <v>8</v>
      </c>
      <c r="I101" s="15"/>
      <c r="J101" s="162"/>
      <c r="K101" s="19"/>
      <c r="L101" s="190"/>
      <c r="M101" s="191" t="s">
        <v>8</v>
      </c>
      <c r="N101" s="192"/>
      <c r="O101" s="193"/>
      <c r="P101" s="23"/>
      <c r="Q101" s="205"/>
      <c r="R101" s="196" t="s">
        <v>8</v>
      </c>
      <c r="S101" s="197"/>
      <c r="T101" s="206"/>
      <c r="U101" s="23"/>
      <c r="V101" s="215"/>
      <c r="W101" s="194" t="s">
        <v>8</v>
      </c>
      <c r="X101" s="195"/>
      <c r="Y101" s="216"/>
      <c r="Z101" s="23"/>
      <c r="AA101" s="232"/>
      <c r="AB101" s="233" t="s">
        <v>8</v>
      </c>
      <c r="AC101" s="234"/>
      <c r="AD101" s="235"/>
    </row>
    <row r="102" spans="1:30">
      <c r="A102" s="133"/>
      <c r="B102" s="143">
        <f>'Joueurs et TirageV'!O30</f>
        <v>0</v>
      </c>
      <c r="C102" s="28"/>
      <c r="D102" s="26">
        <f>IF(C98+C102=0,0,IF(C98=C102,2,IF(C98&lt;C102,3,1)))</f>
        <v>0</v>
      </c>
      <c r="E102" s="148">
        <f>C102-C98</f>
        <v>0</v>
      </c>
      <c r="F102" s="18"/>
      <c r="G102" s="158">
        <f>'Joueurs et TirageV'!R30</f>
        <v>0</v>
      </c>
      <c r="H102" s="131"/>
      <c r="I102" s="26">
        <f>IF(H98+H102=0,0,IF(H98=H102,2,IF(H98&lt;H102,3,1)))</f>
        <v>0</v>
      </c>
      <c r="J102" s="163">
        <f>H102-H98</f>
        <v>0</v>
      </c>
      <c r="K102" s="18"/>
      <c r="L102" s="181">
        <f>'Joueurs et TirageV'!U30</f>
        <v>0</v>
      </c>
      <c r="M102" s="29"/>
      <c r="N102" s="26">
        <f>IF(M98+M102=0,0,IF(M98=M102,2,IF(M98&lt;M102,3,1)))</f>
        <v>0</v>
      </c>
      <c r="O102" s="184">
        <f>M102-M98</f>
        <v>0</v>
      </c>
      <c r="Q102" s="202">
        <f>'Joueurs et TirageV'!X30</f>
        <v>0</v>
      </c>
      <c r="R102" s="30"/>
      <c r="S102" s="26">
        <f>IF(R98+R102=0,0,IF(R98=R102,2,IF(R98&lt;R102,3,1)))</f>
        <v>0</v>
      </c>
      <c r="T102" s="207">
        <f>R102-R98</f>
        <v>0</v>
      </c>
      <c r="V102" s="217">
        <f>'Joueurs et TirageV'!AA30</f>
        <v>0</v>
      </c>
      <c r="W102" s="31"/>
      <c r="X102" s="26">
        <f>IF(W98+W102=0,0,IF(W98=W102,2,IF(W98&lt;W102,3,1)))</f>
        <v>0</v>
      </c>
      <c r="Y102" s="163">
        <f>W102-W98</f>
        <v>0</v>
      </c>
      <c r="AA102" s="239">
        <f>'Joueurs et TirageV'!AD30</f>
        <v>0</v>
      </c>
      <c r="AB102" s="32"/>
      <c r="AC102" s="26">
        <f>IF(AB98+AB102=0,0,IF(AB98=AB102,2,IF(AB98&lt;AB102,3,1)))</f>
        <v>0</v>
      </c>
      <c r="AD102" s="226">
        <f>AB102-AB98</f>
        <v>0</v>
      </c>
    </row>
    <row r="103" spans="1:30" ht="16.5" thickBot="1">
      <c r="A103" s="133">
        <v>24</v>
      </c>
      <c r="B103" s="143">
        <f>'Joueurs et TirageV'!P30</f>
        <v>0</v>
      </c>
      <c r="C103" s="47">
        <f>IF(ISTEXT(B103),C102,0)</f>
        <v>0</v>
      </c>
      <c r="D103" s="13">
        <f>IF(ISTEXT(B103),D102,0)</f>
        <v>0</v>
      </c>
      <c r="E103" s="149">
        <f>IF(ISTEXT(B103),E102,0)</f>
        <v>0</v>
      </c>
      <c r="F103" s="10"/>
      <c r="G103" s="158">
        <f>'Joueurs et TirageV'!S30</f>
        <v>0</v>
      </c>
      <c r="H103" s="47">
        <f>IF(ISTEXT(G103),H102,0)</f>
        <v>0</v>
      </c>
      <c r="I103" s="13">
        <f>IF(ISTEXT(G103),I102,0)</f>
        <v>0</v>
      </c>
      <c r="J103" s="164">
        <f>IF(ISTEXT(G103),J102,0)</f>
        <v>0</v>
      </c>
      <c r="K103" s="10"/>
      <c r="L103" s="181">
        <f>'Joueurs et TirageV'!V30</f>
        <v>0</v>
      </c>
      <c r="M103" s="47">
        <f>IF(ISTEXT(L103),M102,0)</f>
        <v>0</v>
      </c>
      <c r="N103" s="13">
        <f>IF(ISTEXT(L103),N102,0)</f>
        <v>0</v>
      </c>
      <c r="O103" s="185">
        <f>IF(ISTEXT(L103),O102,0)</f>
        <v>0</v>
      </c>
      <c r="P103" s="9"/>
      <c r="Q103" s="202">
        <f>'Joueurs et TirageV'!Y30</f>
        <v>0</v>
      </c>
      <c r="R103" s="47">
        <f>IF(ISTEXT(Q103),R102,0)</f>
        <v>0</v>
      </c>
      <c r="S103" s="13">
        <f>IF(ISTEXT(Q103),S102,0)</f>
        <v>0</v>
      </c>
      <c r="T103" s="208">
        <f>IF(ISTEXT(Q103),T102,0)</f>
        <v>0</v>
      </c>
      <c r="U103" s="9"/>
      <c r="V103" s="217">
        <f>'Joueurs et TirageV'!AB30</f>
        <v>0</v>
      </c>
      <c r="W103" s="47">
        <f>IF(ISTEXT(V103),W102,0)</f>
        <v>0</v>
      </c>
      <c r="X103" s="13">
        <f>IF(ISTEXT(V103),X102,0)</f>
        <v>0</v>
      </c>
      <c r="Y103" s="164">
        <f>IF(ISTEXT(V103),Y102,0)</f>
        <v>0</v>
      </c>
      <c r="Z103" s="9"/>
      <c r="AA103" s="239">
        <f>'Joueurs et TirageV'!AE30</f>
        <v>0</v>
      </c>
      <c r="AB103" s="47">
        <f>IF(ISTEXT(AA103),AB102,0)</f>
        <v>0</v>
      </c>
      <c r="AC103" s="13">
        <f>IF(ISTEXT(AA103),AC102,0)</f>
        <v>0</v>
      </c>
      <c r="AD103" s="227">
        <f>IF(ISTEXT(AA103),AD102,0)</f>
        <v>0</v>
      </c>
    </row>
    <row r="104" spans="1:30" ht="16.5" thickBot="1">
      <c r="A104" s="133"/>
      <c r="B104" s="150">
        <f>+'Joueurs et TirageV'!Q30</f>
        <v>0</v>
      </c>
      <c r="C104" s="151">
        <f>IF(ISTEXT(B104),C102,0)</f>
        <v>0</v>
      </c>
      <c r="D104" s="152">
        <f>IF(ISTEXT(B104),D102,0)</f>
        <v>0</v>
      </c>
      <c r="E104" s="153">
        <f>IF(ISTEXT(B104),E102,0)</f>
        <v>0</v>
      </c>
      <c r="F104" s="10"/>
      <c r="G104" s="165">
        <f>+'Joueurs et TirageV'!T30</f>
        <v>0</v>
      </c>
      <c r="H104" s="166">
        <f>IF(ISTEXT(G104),H102,0)</f>
        <v>0</v>
      </c>
      <c r="I104" s="167">
        <f>IF(ISTEXT(G104),I102,0)</f>
        <v>0</v>
      </c>
      <c r="J104" s="168">
        <f>IF(ISTEXT(G104),J102,0)</f>
        <v>0</v>
      </c>
      <c r="K104" s="10"/>
      <c r="L104" s="186">
        <f>+'Joueurs et TirageV'!W30</f>
        <v>0</v>
      </c>
      <c r="M104" s="187">
        <f>IF(ISTEXT(L104),M102,0)</f>
        <v>0</v>
      </c>
      <c r="N104" s="188">
        <f>IF(ISTEXT(L104),N102,0)</f>
        <v>0</v>
      </c>
      <c r="O104" s="189">
        <f>IF(ISTEXT(L104),O102,0)</f>
        <v>0</v>
      </c>
      <c r="P104" s="9"/>
      <c r="Q104" s="209">
        <f>+'Joueurs et TirageV'!Z30</f>
        <v>0</v>
      </c>
      <c r="R104" s="210">
        <f>IF(ISTEXT(Q104),R102,0)</f>
        <v>0</v>
      </c>
      <c r="S104" s="211">
        <f>IF(ISTEXT(Q104),S102,0)</f>
        <v>0</v>
      </c>
      <c r="T104" s="212">
        <f>IF(ISTEXT(Q104),T102,0)</f>
        <v>0</v>
      </c>
      <c r="U104" s="9"/>
      <c r="V104" s="218">
        <f>+'Joueurs et TirageV'!AC30</f>
        <v>0</v>
      </c>
      <c r="W104" s="166">
        <f>IF(ISTEXT(V104),W102,0)</f>
        <v>0</v>
      </c>
      <c r="X104" s="167">
        <f>IF(ISTEXT(V104),X102,0)</f>
        <v>0</v>
      </c>
      <c r="Y104" s="168">
        <f>IF(ISTEXT(V104),Y102,0)</f>
        <v>0</v>
      </c>
      <c r="Z104" s="9"/>
      <c r="AA104" s="240">
        <f>+'Joueurs et TirageV'!AF30</f>
        <v>0</v>
      </c>
      <c r="AB104" s="229">
        <f>IF(ISTEXT(AA104),AB102,0)</f>
        <v>0</v>
      </c>
      <c r="AC104" s="230">
        <f>IF(ISTEXT(AA104),AC102,0)</f>
        <v>0</v>
      </c>
      <c r="AD104" s="231">
        <f>IF(ISTEXT(AA104),AD102,0)</f>
        <v>0</v>
      </c>
    </row>
    <row r="105" spans="1:30" ht="17.25" thickTop="1" thickBot="1">
      <c r="A105" s="133"/>
      <c r="B105" s="12"/>
      <c r="C105" s="278"/>
      <c r="D105" s="12"/>
      <c r="E105" s="10"/>
      <c r="F105" s="10"/>
      <c r="G105" s="12"/>
      <c r="H105" s="10"/>
      <c r="I105" s="12"/>
      <c r="J105" s="10"/>
      <c r="K105" s="10"/>
      <c r="L105" s="12"/>
      <c r="M105" s="10"/>
      <c r="N105" s="12"/>
      <c r="O105" s="10"/>
      <c r="P105" s="9"/>
      <c r="Q105" s="12"/>
      <c r="R105" s="10"/>
      <c r="S105" s="12"/>
      <c r="T105" s="10"/>
      <c r="U105" s="9"/>
      <c r="V105" s="10"/>
      <c r="W105" s="10"/>
      <c r="X105" s="12"/>
      <c r="Y105" s="10"/>
      <c r="Z105" s="9"/>
      <c r="AA105" s="10"/>
      <c r="AB105" s="10"/>
      <c r="AC105" s="12"/>
      <c r="AD105" s="10"/>
    </row>
    <row r="106" spans="1:30" ht="16.5" thickTop="1">
      <c r="A106" s="133"/>
      <c r="B106" s="139">
        <f>'Joueurs et TirageV'!O31</f>
        <v>0</v>
      </c>
      <c r="C106" s="140"/>
      <c r="D106" s="141">
        <f>IF(C106+C110=0,0,IF(C106=C110,2,IF(C106&gt;C110,3,1)))</f>
        <v>0</v>
      </c>
      <c r="E106" s="142">
        <f>C106-C110</f>
        <v>0</v>
      </c>
      <c r="F106" s="18"/>
      <c r="G106" s="154">
        <f>'Joueurs et TirageV'!R31</f>
        <v>0</v>
      </c>
      <c r="H106" s="155"/>
      <c r="I106" s="156">
        <f>IF(H106+H110=0,0,IF(H106=H110,2,IF(H106&gt;H110,3,1)))</f>
        <v>0</v>
      </c>
      <c r="J106" s="157">
        <f>H106-H110</f>
        <v>0</v>
      </c>
      <c r="K106" s="18"/>
      <c r="L106" s="177">
        <f>'Joueurs et TirageV'!U31</f>
        <v>0</v>
      </c>
      <c r="M106" s="178"/>
      <c r="N106" s="179">
        <f>IF(M106+M110=0,0,IF(M106=M110,2,IF(M106&gt;M110,3,1)))</f>
        <v>0</v>
      </c>
      <c r="O106" s="180">
        <f>M106-M110</f>
        <v>0</v>
      </c>
      <c r="Q106" s="198">
        <f>'Joueurs et TirageV'!X31</f>
        <v>0</v>
      </c>
      <c r="R106" s="199"/>
      <c r="S106" s="200">
        <f>IF(R106+R110=0,0,IF(R106=R110,2,IF(R106&gt;R110,3,1)))</f>
        <v>0</v>
      </c>
      <c r="T106" s="201">
        <f>R106-R110</f>
        <v>0</v>
      </c>
      <c r="V106" s="213">
        <f>'Joueurs et TirageV'!AA31</f>
        <v>0</v>
      </c>
      <c r="W106" s="214"/>
      <c r="X106" s="156">
        <f>IF(W106+W110=0,0,IF(W106=W110,2,IF(W106&gt;W110,3,1)))</f>
        <v>0</v>
      </c>
      <c r="Y106" s="157">
        <f>W106-W110</f>
        <v>0</v>
      </c>
      <c r="AA106" s="236">
        <f>'Joueurs et TirageV'!AD31</f>
        <v>0</v>
      </c>
      <c r="AB106" s="220"/>
      <c r="AC106" s="221">
        <f>IF(AB106+AB110=0,0,IF(AB106=AB110,2,IF(AB106&gt;AB110,3,1)))</f>
        <v>0</v>
      </c>
      <c r="AD106" s="222">
        <f>AB106-AB110</f>
        <v>0</v>
      </c>
    </row>
    <row r="107" spans="1:30" ht="16.5" thickBot="1">
      <c r="A107" s="133">
        <v>25</v>
      </c>
      <c r="B107" s="143">
        <f>'Joueurs et TirageV'!P31</f>
        <v>0</v>
      </c>
      <c r="C107" s="129">
        <f>IF(ISTEXT(B107),C106,0)</f>
        <v>0</v>
      </c>
      <c r="D107" s="130">
        <f>IF(ISTEXT(B107),D106,0)</f>
        <v>0</v>
      </c>
      <c r="E107" s="144">
        <f>IF(ISTEXT(B107),E106,0)</f>
        <v>0</v>
      </c>
      <c r="F107" s="18"/>
      <c r="G107" s="158">
        <f>'Joueurs et TirageV'!S31</f>
        <v>0</v>
      </c>
      <c r="H107" s="129">
        <f>IF(ISTEXT(G107),H106,0)</f>
        <v>0</v>
      </c>
      <c r="I107" s="130">
        <f>IF(ISTEXT(G107),I106,0)</f>
        <v>0</v>
      </c>
      <c r="J107" s="159">
        <f>IF(ISTEXT(G107),J106,0)</f>
        <v>0</v>
      </c>
      <c r="K107" s="18"/>
      <c r="L107" s="181">
        <f>'Joueurs et TirageV'!V31</f>
        <v>0</v>
      </c>
      <c r="M107" s="129">
        <f>IF(ISTEXT(L107),M106,0)</f>
        <v>0</v>
      </c>
      <c r="N107" s="130">
        <f>IF(ISTEXT(L107),N106,0)</f>
        <v>0</v>
      </c>
      <c r="O107" s="182">
        <f>IF(ISTEXT(L107),O106,0)</f>
        <v>0</v>
      </c>
      <c r="Q107" s="202">
        <f>'Joueurs et TirageV'!Y31</f>
        <v>0</v>
      </c>
      <c r="R107" s="129">
        <f>IF(ISTEXT(Q107),R106,0)</f>
        <v>0</v>
      </c>
      <c r="S107" s="130">
        <f>IF(ISTEXT(Q107),S106,0)</f>
        <v>0</v>
      </c>
      <c r="T107" s="203">
        <f>IF(ISTEXT(Q107),T106,0)</f>
        <v>0</v>
      </c>
      <c r="V107" s="217">
        <f>'Joueurs et TirageV'!AB31</f>
        <v>0</v>
      </c>
      <c r="W107" s="129">
        <f>IF(ISTEXT(V107),W106,0)</f>
        <v>0</v>
      </c>
      <c r="X107" s="130">
        <f>IF(ISTEXT(V107),X106,0)</f>
        <v>0</v>
      </c>
      <c r="Y107" s="159">
        <f>IF(ISTEXT(V107),Y106,0)</f>
        <v>0</v>
      </c>
      <c r="AA107" s="239">
        <f>'Joueurs et TirageV'!AE31</f>
        <v>0</v>
      </c>
      <c r="AB107" s="129">
        <f>IF(ISTEXT(AA107),AB106,0)</f>
        <v>0</v>
      </c>
      <c r="AC107" s="130">
        <f>IF(ISTEXT(AA107),AC106,0)</f>
        <v>0</v>
      </c>
      <c r="AD107" s="224">
        <f>IF(ISTEXT(AA107),AD106,0)</f>
        <v>0</v>
      </c>
    </row>
    <row r="108" spans="1:30">
      <c r="A108" s="133"/>
      <c r="B108" s="143">
        <f>+'Joueurs et TirageV'!Q31</f>
        <v>0</v>
      </c>
      <c r="C108" s="127">
        <f>IF(ISTEXT(B108),C106,0)</f>
        <v>0</v>
      </c>
      <c r="D108" s="128">
        <f>IF(ISTEXT(B108),D106,0)</f>
        <v>0</v>
      </c>
      <c r="E108" s="145">
        <f>IF(ISTEXT(B108),E106,0)</f>
        <v>0</v>
      </c>
      <c r="F108" s="18"/>
      <c r="G108" s="173">
        <f>+'Joueurs et TirageV'!T31</f>
        <v>0</v>
      </c>
      <c r="H108" s="174">
        <f>IF(ISTEXT(G108),H106,0)</f>
        <v>0</v>
      </c>
      <c r="I108" s="175">
        <f>IF(ISTEXT(G108),I106,0)</f>
        <v>0</v>
      </c>
      <c r="J108" s="176">
        <f>IF(ISTEXT(G108),J106,0)</f>
        <v>0</v>
      </c>
      <c r="K108" s="18"/>
      <c r="L108" s="181">
        <f>+'Joueurs et TirageV'!W31</f>
        <v>0</v>
      </c>
      <c r="M108" s="11">
        <f>IF(ISTEXT(L108),M106,0)</f>
        <v>0</v>
      </c>
      <c r="N108" s="26">
        <f>IF(ISTEXT(L108),N106,0)</f>
        <v>0</v>
      </c>
      <c r="O108" s="183">
        <f>IF(ISTEXT(L108),O106,0)</f>
        <v>0</v>
      </c>
      <c r="Q108" s="202">
        <f>+'Joueurs et TirageV'!Z31</f>
        <v>0</v>
      </c>
      <c r="R108" s="11">
        <f>IF(ISTEXT(Q108),R106,0)</f>
        <v>0</v>
      </c>
      <c r="S108" s="26">
        <f>IF(ISTEXT(Q108),S106,0)</f>
        <v>0</v>
      </c>
      <c r="T108" s="204">
        <f>IF(ISTEXT(Q108),T106,0)</f>
        <v>0</v>
      </c>
      <c r="V108" s="217">
        <f>+'Joueurs et TirageV'!AC31</f>
        <v>0</v>
      </c>
      <c r="W108" s="11">
        <f>IF(ISTEXT(V108),W106,0)</f>
        <v>0</v>
      </c>
      <c r="X108" s="26">
        <f>IF(ISTEXT(V108),X106,0)</f>
        <v>0</v>
      </c>
      <c r="Y108" s="160">
        <f>IF(ISTEXT(V108),Y106,0)</f>
        <v>0</v>
      </c>
      <c r="AA108" s="239">
        <f>+'Joueurs et TirageV'!AF31</f>
        <v>0</v>
      </c>
      <c r="AB108" s="11">
        <f>IF(ISTEXT(AA108),AB106,0)</f>
        <v>0</v>
      </c>
      <c r="AC108" s="26">
        <f>IF(ISTEXT(AA108),AC106,0)</f>
        <v>0</v>
      </c>
      <c r="AD108" s="225">
        <f>IF(ISTEXT(AA108),AD106,0)</f>
        <v>0</v>
      </c>
    </row>
    <row r="109" spans="1:30">
      <c r="A109" s="133"/>
      <c r="B109" s="146"/>
      <c r="C109" s="137" t="s">
        <v>8</v>
      </c>
      <c r="D109" s="138"/>
      <c r="E109" s="147"/>
      <c r="F109" s="19"/>
      <c r="G109" s="161"/>
      <c r="H109" s="24" t="s">
        <v>8</v>
      </c>
      <c r="I109" s="15"/>
      <c r="J109" s="162"/>
      <c r="K109" s="19"/>
      <c r="L109" s="190"/>
      <c r="M109" s="191" t="s">
        <v>8</v>
      </c>
      <c r="N109" s="192"/>
      <c r="O109" s="193"/>
      <c r="P109" s="23"/>
      <c r="Q109" s="205"/>
      <c r="R109" s="196" t="s">
        <v>8</v>
      </c>
      <c r="S109" s="197"/>
      <c r="T109" s="206"/>
      <c r="U109" s="23"/>
      <c r="V109" s="215"/>
      <c r="W109" s="194" t="s">
        <v>8</v>
      </c>
      <c r="X109" s="195"/>
      <c r="Y109" s="216"/>
      <c r="Z109" s="23"/>
      <c r="AA109" s="232"/>
      <c r="AB109" s="233" t="s">
        <v>8</v>
      </c>
      <c r="AC109" s="234"/>
      <c r="AD109" s="235"/>
    </row>
    <row r="110" spans="1:30">
      <c r="A110" s="133"/>
      <c r="B110" s="143">
        <f>'Joueurs et TirageV'!O32</f>
        <v>0</v>
      </c>
      <c r="C110" s="28"/>
      <c r="D110" s="26">
        <f>IF(C106+C110=0,0,IF(C106=C110,2,IF(C106&lt;C110,3,1)))</f>
        <v>0</v>
      </c>
      <c r="E110" s="148">
        <f>C110-C106</f>
        <v>0</v>
      </c>
      <c r="F110" s="18"/>
      <c r="G110" s="158">
        <f>'Joueurs et TirageV'!R32</f>
        <v>0</v>
      </c>
      <c r="H110" s="131"/>
      <c r="I110" s="26">
        <f>IF(H106+H110=0,0,IF(H106=H110,2,IF(H106&lt;H110,3,1)))</f>
        <v>0</v>
      </c>
      <c r="J110" s="163">
        <f>H110-H106</f>
        <v>0</v>
      </c>
      <c r="K110" s="18"/>
      <c r="L110" s="181">
        <f>'Joueurs et TirageV'!U32</f>
        <v>0</v>
      </c>
      <c r="M110" s="29"/>
      <c r="N110" s="26">
        <f>IF(M106+M110=0,0,IF(M106=M110,2,IF(M106&lt;M110,3,1)))</f>
        <v>0</v>
      </c>
      <c r="O110" s="184">
        <f>M110-M106</f>
        <v>0</v>
      </c>
      <c r="Q110" s="202">
        <f>'Joueurs et TirageV'!X32</f>
        <v>0</v>
      </c>
      <c r="R110" s="30"/>
      <c r="S110" s="26">
        <f>IF(R106+R110=0,0,IF(R106=R110,2,IF(R106&lt;R110,3,1)))</f>
        <v>0</v>
      </c>
      <c r="T110" s="207">
        <f>R110-R106</f>
        <v>0</v>
      </c>
      <c r="V110" s="217">
        <f>'Joueurs et TirageV'!AA32</f>
        <v>0</v>
      </c>
      <c r="W110" s="31"/>
      <c r="X110" s="26">
        <f>IF(W106+W110=0,0,IF(W106=W110,2,IF(W106&lt;W110,3,1)))</f>
        <v>0</v>
      </c>
      <c r="Y110" s="163">
        <f>W110-W106</f>
        <v>0</v>
      </c>
      <c r="AA110" s="239">
        <f>'Joueurs et TirageV'!AD32</f>
        <v>0</v>
      </c>
      <c r="AB110" s="32"/>
      <c r="AC110" s="26">
        <f>IF(AB106+AB110=0,0,IF(AB106=AB110,2,IF(AB106&lt;AB110,3,1)))</f>
        <v>0</v>
      </c>
      <c r="AD110" s="226">
        <f>AB110-AB106</f>
        <v>0</v>
      </c>
    </row>
    <row r="111" spans="1:30" ht="16.5" thickBot="1">
      <c r="A111" s="133">
        <v>26</v>
      </c>
      <c r="B111" s="143">
        <f>'Joueurs et TirageV'!P32</f>
        <v>0</v>
      </c>
      <c r="C111" s="47">
        <f>IF(ISTEXT(B111),C110,0)</f>
        <v>0</v>
      </c>
      <c r="D111" s="13">
        <f>IF(ISTEXT(B111),D110,0)</f>
        <v>0</v>
      </c>
      <c r="E111" s="149">
        <f>IF(ISTEXT(B111),E110,0)</f>
        <v>0</v>
      </c>
      <c r="F111" s="10"/>
      <c r="G111" s="158">
        <f>'Joueurs et TirageV'!S32</f>
        <v>0</v>
      </c>
      <c r="H111" s="47">
        <f>IF(ISTEXT(G111),H110,0)</f>
        <v>0</v>
      </c>
      <c r="I111" s="13">
        <f>IF(ISTEXT(G111),I110,0)</f>
        <v>0</v>
      </c>
      <c r="J111" s="164">
        <f>IF(ISTEXT(G111),J110,0)</f>
        <v>0</v>
      </c>
      <c r="K111" s="10"/>
      <c r="L111" s="181">
        <f>'Joueurs et TirageV'!V32</f>
        <v>0</v>
      </c>
      <c r="M111" s="47">
        <f>IF(ISTEXT(L111),M110,0)</f>
        <v>0</v>
      </c>
      <c r="N111" s="13">
        <f>IF(ISTEXT(L111),N110,0)</f>
        <v>0</v>
      </c>
      <c r="O111" s="185">
        <f>IF(ISTEXT(L111),O110,0)</f>
        <v>0</v>
      </c>
      <c r="P111" s="9"/>
      <c r="Q111" s="202">
        <f>'Joueurs et TirageV'!Y32</f>
        <v>0</v>
      </c>
      <c r="R111" s="47">
        <f>IF(ISTEXT(Q111),R110,0)</f>
        <v>0</v>
      </c>
      <c r="S111" s="13">
        <f>IF(ISTEXT(Q111),S110,0)</f>
        <v>0</v>
      </c>
      <c r="T111" s="208">
        <f>IF(ISTEXT(Q111),T110,0)</f>
        <v>0</v>
      </c>
      <c r="U111" s="9"/>
      <c r="V111" s="217">
        <f>'Joueurs et TirageV'!AB32</f>
        <v>0</v>
      </c>
      <c r="W111" s="47">
        <f>IF(ISTEXT(V111),W110,0)</f>
        <v>0</v>
      </c>
      <c r="X111" s="13">
        <f>IF(ISTEXT(V111),X110,0)</f>
        <v>0</v>
      </c>
      <c r="Y111" s="164">
        <f>IF(ISTEXT(V111),Y110,0)</f>
        <v>0</v>
      </c>
      <c r="Z111" s="9"/>
      <c r="AA111" s="239">
        <f>'Joueurs et TirageV'!AE32</f>
        <v>0</v>
      </c>
      <c r="AB111" s="47">
        <f>IF(ISTEXT(AA111),AB110,0)</f>
        <v>0</v>
      </c>
      <c r="AC111" s="13">
        <f>IF(ISTEXT(AA111),AC110,0)</f>
        <v>0</v>
      </c>
      <c r="AD111" s="227">
        <f>IF(ISTEXT(AA111),AD110,0)</f>
        <v>0</v>
      </c>
    </row>
    <row r="112" spans="1:30" ht="16.5" thickBot="1">
      <c r="A112" s="133"/>
      <c r="B112" s="150">
        <f>+'Joueurs et TirageV'!Q32</f>
        <v>0</v>
      </c>
      <c r="C112" s="151">
        <f>IF(ISTEXT(B112),C110,0)</f>
        <v>0</v>
      </c>
      <c r="D112" s="152">
        <f>IF(ISTEXT(B112),D110,0)</f>
        <v>0</v>
      </c>
      <c r="E112" s="153">
        <f>IF(ISTEXT(B112),E110,0)</f>
        <v>0</v>
      </c>
      <c r="F112" s="10"/>
      <c r="G112" s="165">
        <f>+'Joueurs et TirageV'!T32</f>
        <v>0</v>
      </c>
      <c r="H112" s="166">
        <f>IF(ISTEXT(G112),H110,0)</f>
        <v>0</v>
      </c>
      <c r="I112" s="167">
        <f>IF(ISTEXT(G112),I110,0)</f>
        <v>0</v>
      </c>
      <c r="J112" s="168">
        <f>IF(ISTEXT(G112),J110,0)</f>
        <v>0</v>
      </c>
      <c r="K112" s="10"/>
      <c r="L112" s="186">
        <f>+'Joueurs et TirageV'!W32</f>
        <v>0</v>
      </c>
      <c r="M112" s="187">
        <f>IF(ISTEXT(L112),M110,0)</f>
        <v>0</v>
      </c>
      <c r="N112" s="188">
        <f>IF(ISTEXT(L112),N110,0)</f>
        <v>0</v>
      </c>
      <c r="O112" s="189">
        <f>IF(ISTEXT(L112),O110,0)</f>
        <v>0</v>
      </c>
      <c r="P112" s="9"/>
      <c r="Q112" s="209">
        <f>+'Joueurs et TirageV'!Z32</f>
        <v>0</v>
      </c>
      <c r="R112" s="210">
        <f>IF(ISTEXT(Q112),R110,0)</f>
        <v>0</v>
      </c>
      <c r="S112" s="211">
        <f>IF(ISTEXT(Q112),S110,0)</f>
        <v>0</v>
      </c>
      <c r="T112" s="212">
        <f>IF(ISTEXT(Q112),T110,0)</f>
        <v>0</v>
      </c>
      <c r="U112" s="9"/>
      <c r="V112" s="218">
        <f>+'Joueurs et TirageV'!AC32</f>
        <v>0</v>
      </c>
      <c r="W112" s="166">
        <f>IF(ISTEXT(V112),W110,0)</f>
        <v>0</v>
      </c>
      <c r="X112" s="167">
        <f>IF(ISTEXT(V112),X110,0)</f>
        <v>0</v>
      </c>
      <c r="Y112" s="168">
        <f>IF(ISTEXT(V112),Y110,0)</f>
        <v>0</v>
      </c>
      <c r="Z112" s="9"/>
      <c r="AA112" s="240">
        <f>+'Joueurs et TirageV'!AF32</f>
        <v>0</v>
      </c>
      <c r="AB112" s="229">
        <f>IF(ISTEXT(AA112),AB110,0)</f>
        <v>0</v>
      </c>
      <c r="AC112" s="230">
        <f>IF(ISTEXT(AA112),AC110,0)</f>
        <v>0</v>
      </c>
      <c r="AD112" s="231">
        <f>IF(ISTEXT(AA112),AD110,0)</f>
        <v>0</v>
      </c>
    </row>
    <row r="113" spans="1:30" ht="17.25" thickTop="1" thickBot="1">
      <c r="A113" s="133"/>
      <c r="B113" s="12"/>
      <c r="C113" s="278"/>
      <c r="D113" s="12"/>
      <c r="E113" s="10"/>
      <c r="F113" s="10"/>
      <c r="G113" s="12"/>
      <c r="H113" s="10"/>
      <c r="I113" s="12"/>
      <c r="J113" s="10"/>
      <c r="K113" s="10"/>
      <c r="L113" s="12"/>
      <c r="M113" s="10"/>
      <c r="N113" s="12"/>
      <c r="O113" s="10"/>
      <c r="P113" s="9"/>
      <c r="Q113" s="12"/>
      <c r="R113" s="10"/>
      <c r="S113" s="12"/>
      <c r="T113" s="10"/>
      <c r="U113" s="9"/>
      <c r="V113" s="10"/>
      <c r="W113" s="10"/>
      <c r="X113" s="12"/>
      <c r="Y113" s="10"/>
      <c r="Z113" s="9"/>
      <c r="AA113" s="10"/>
      <c r="AB113" s="10"/>
      <c r="AC113" s="12"/>
      <c r="AD113" s="10"/>
    </row>
    <row r="114" spans="1:30" ht="16.5" thickTop="1">
      <c r="A114" s="62"/>
      <c r="B114" s="139">
        <f>'Joueurs et TirageV'!O33</f>
        <v>0</v>
      </c>
      <c r="C114" s="140"/>
      <c r="D114" s="141">
        <f>IF(C114+C118=0,0,IF(C114=C118,2,IF(C114&gt;C118,3,1)))</f>
        <v>0</v>
      </c>
      <c r="E114" s="142">
        <f>C114-C118</f>
        <v>0</v>
      </c>
      <c r="F114" s="18"/>
      <c r="G114" s="154">
        <f>'Joueurs et TirageV'!R33</f>
        <v>0</v>
      </c>
      <c r="H114" s="155"/>
      <c r="I114" s="156">
        <f>IF(H114+H118=0,0,IF(H114=H118,2,IF(H114&gt;H118,3,1)))</f>
        <v>0</v>
      </c>
      <c r="J114" s="157">
        <f>H114-H118</f>
        <v>0</v>
      </c>
      <c r="K114" s="18"/>
      <c r="L114" s="177">
        <f>'Joueurs et TirageV'!U33</f>
        <v>0</v>
      </c>
      <c r="M114" s="178"/>
      <c r="N114" s="179">
        <f>IF(M114+M118=0,0,IF(M114=M118,2,IF(M114&gt;M118,3,1)))</f>
        <v>0</v>
      </c>
      <c r="O114" s="180">
        <f>M114-M118</f>
        <v>0</v>
      </c>
      <c r="Q114" s="198">
        <f>'Joueurs et TirageV'!X33</f>
        <v>0</v>
      </c>
      <c r="R114" s="199"/>
      <c r="S114" s="200">
        <f>IF(R114+R118=0,0,IF(R114=R118,2,IF(R114&gt;R118,3,1)))</f>
        <v>0</v>
      </c>
      <c r="T114" s="201">
        <f>R114-R118</f>
        <v>0</v>
      </c>
      <c r="V114" s="213">
        <f>'Joueurs et TirageV'!AA33</f>
        <v>0</v>
      </c>
      <c r="W114" s="214"/>
      <c r="X114" s="156">
        <f>IF(W114+W118=0,0,IF(W114=W118,2,IF(W114&gt;W118,3,1)))</f>
        <v>0</v>
      </c>
      <c r="Y114" s="157">
        <f>W114-W118</f>
        <v>0</v>
      </c>
      <c r="AA114" s="236">
        <f>'Joueurs et TirageV'!AD33</f>
        <v>0</v>
      </c>
      <c r="AB114" s="220"/>
      <c r="AC114" s="221">
        <f>IF(AB114+AB118=0,0,IF(AB114=AB118,2,IF(AB114&gt;AB118,3,1)))</f>
        <v>0</v>
      </c>
      <c r="AD114" s="222">
        <f>AB114-AB118</f>
        <v>0</v>
      </c>
    </row>
    <row r="115" spans="1:30" ht="16.5" thickBot="1">
      <c r="A115" s="62">
        <v>27</v>
      </c>
      <c r="B115" s="143">
        <f>'Joueurs et TirageV'!P33</f>
        <v>0</v>
      </c>
      <c r="C115" s="129">
        <f>IF(ISTEXT(B115),C114,0)</f>
        <v>0</v>
      </c>
      <c r="D115" s="130">
        <f>IF(ISTEXT(B115),D114,0)</f>
        <v>0</v>
      </c>
      <c r="E115" s="144">
        <f>IF(ISTEXT(B115),E114,0)</f>
        <v>0</v>
      </c>
      <c r="F115" s="18"/>
      <c r="G115" s="158">
        <f>'Joueurs et TirageV'!S33</f>
        <v>0</v>
      </c>
      <c r="H115" s="129">
        <f>IF(ISTEXT(G115),H114,0)</f>
        <v>0</v>
      </c>
      <c r="I115" s="130">
        <f>IF(ISTEXT(G115),I114,0)</f>
        <v>0</v>
      </c>
      <c r="J115" s="159">
        <f>IF(ISTEXT(G115),J114,0)</f>
        <v>0</v>
      </c>
      <c r="K115" s="18"/>
      <c r="L115" s="181">
        <f>'Joueurs et TirageV'!V33</f>
        <v>0</v>
      </c>
      <c r="M115" s="129">
        <f>IF(ISTEXT(L115),M114,0)</f>
        <v>0</v>
      </c>
      <c r="N115" s="130">
        <f>IF(ISTEXT(L115),N114,0)</f>
        <v>0</v>
      </c>
      <c r="O115" s="182">
        <f>IF(ISTEXT(L115),O114,0)</f>
        <v>0</v>
      </c>
      <c r="Q115" s="202">
        <f>'Joueurs et TirageV'!Y33</f>
        <v>0</v>
      </c>
      <c r="R115" s="129">
        <f>IF(ISTEXT(Q115),R114,0)</f>
        <v>0</v>
      </c>
      <c r="S115" s="130">
        <f>IF(ISTEXT(Q115),S114,0)</f>
        <v>0</v>
      </c>
      <c r="T115" s="203">
        <f>IF(ISTEXT(Q115),T114,0)</f>
        <v>0</v>
      </c>
      <c r="V115" s="217">
        <f>'Joueurs et TirageV'!AB33</f>
        <v>0</v>
      </c>
      <c r="W115" s="129">
        <f>IF(ISTEXT(V115),W114,0)</f>
        <v>0</v>
      </c>
      <c r="X115" s="130">
        <f>IF(ISTEXT(V115),X114,0)</f>
        <v>0</v>
      </c>
      <c r="Y115" s="159">
        <f>IF(ISTEXT(V115),Y114,0)</f>
        <v>0</v>
      </c>
      <c r="AA115" s="239">
        <f>'Joueurs et TirageV'!AE33</f>
        <v>0</v>
      </c>
      <c r="AB115" s="129">
        <f>IF(ISTEXT(AA115),AB114,0)</f>
        <v>0</v>
      </c>
      <c r="AC115" s="130">
        <f>IF(ISTEXT(AA115),AC114,0)</f>
        <v>0</v>
      </c>
      <c r="AD115" s="224">
        <f>IF(ISTEXT(AA115),AD114,0)</f>
        <v>0</v>
      </c>
    </row>
    <row r="116" spans="1:30">
      <c r="A116" s="62"/>
      <c r="B116" s="143">
        <f>+'Joueurs et TirageV'!Q33</f>
        <v>0</v>
      </c>
      <c r="C116" s="127">
        <f>IF(ISTEXT(B116),C114,0)</f>
        <v>0</v>
      </c>
      <c r="D116" s="128">
        <f>IF(ISTEXT(B116),D114,0)</f>
        <v>0</v>
      </c>
      <c r="E116" s="145">
        <f>IF(ISTEXT(B116),E114,0)</f>
        <v>0</v>
      </c>
      <c r="F116" s="18"/>
      <c r="G116" s="158">
        <f>+'Joueurs et TirageV'!T33</f>
        <v>0</v>
      </c>
      <c r="H116" s="25">
        <f>IF(ISTEXT(G116),H114,0)</f>
        <v>0</v>
      </c>
      <c r="I116" s="26">
        <f>IF(ISTEXT(G116),I114,0)</f>
        <v>0</v>
      </c>
      <c r="J116" s="160">
        <f>IF(ISTEXT(G116),J114,0)</f>
        <v>0</v>
      </c>
      <c r="K116" s="18"/>
      <c r="L116" s="181">
        <f>+'Joueurs et TirageV'!W33</f>
        <v>0</v>
      </c>
      <c r="M116" s="11">
        <f>IF(ISTEXT(L116),M114,0)</f>
        <v>0</v>
      </c>
      <c r="N116" s="26">
        <f>IF(ISTEXT(L116),N114,0)</f>
        <v>0</v>
      </c>
      <c r="O116" s="183">
        <f>IF(ISTEXT(L116),O114,0)</f>
        <v>0</v>
      </c>
      <c r="Q116" s="202">
        <f>+'Joueurs et TirageV'!Z33</f>
        <v>0</v>
      </c>
      <c r="R116" s="11">
        <f>IF(ISTEXT(Q116),R114,0)</f>
        <v>0</v>
      </c>
      <c r="S116" s="26">
        <f>IF(ISTEXT(Q116),S114,0)</f>
        <v>0</v>
      </c>
      <c r="T116" s="204">
        <f>IF(ISTEXT(Q116),T114,0)</f>
        <v>0</v>
      </c>
      <c r="V116" s="217">
        <f>+'Joueurs et TirageV'!AC33</f>
        <v>0</v>
      </c>
      <c r="W116" s="11">
        <f>IF(ISTEXT(V116),W114,0)</f>
        <v>0</v>
      </c>
      <c r="X116" s="26">
        <f>IF(ISTEXT(V116),X114,0)</f>
        <v>0</v>
      </c>
      <c r="Y116" s="160">
        <f>IF(ISTEXT(V116),Y114,0)</f>
        <v>0</v>
      </c>
      <c r="AA116" s="239">
        <f>+'Joueurs et TirageV'!AF33</f>
        <v>0</v>
      </c>
      <c r="AB116" s="11">
        <f>IF(ISTEXT(AA116),AB114,0)</f>
        <v>0</v>
      </c>
      <c r="AC116" s="26">
        <f>IF(ISTEXT(AA116),AC114,0)</f>
        <v>0</v>
      </c>
      <c r="AD116" s="225">
        <f>IF(ISTEXT(AA116),AD114,0)</f>
        <v>0</v>
      </c>
    </row>
    <row r="117" spans="1:30">
      <c r="A117" s="62"/>
      <c r="B117" s="146"/>
      <c r="C117" s="137" t="s">
        <v>8</v>
      </c>
      <c r="D117" s="138"/>
      <c r="E117" s="147"/>
      <c r="F117" s="19"/>
      <c r="G117" s="169"/>
      <c r="H117" s="170" t="s">
        <v>8</v>
      </c>
      <c r="I117" s="171"/>
      <c r="J117" s="172"/>
      <c r="K117" s="19"/>
      <c r="L117" s="190"/>
      <c r="M117" s="191" t="s">
        <v>8</v>
      </c>
      <c r="N117" s="192"/>
      <c r="O117" s="193"/>
      <c r="P117" s="23"/>
      <c r="Q117" s="205"/>
      <c r="R117" s="196" t="s">
        <v>8</v>
      </c>
      <c r="S117" s="197"/>
      <c r="T117" s="206"/>
      <c r="U117" s="23"/>
      <c r="V117" s="215"/>
      <c r="W117" s="194" t="s">
        <v>8</v>
      </c>
      <c r="X117" s="195"/>
      <c r="Y117" s="216"/>
      <c r="Z117" s="23"/>
      <c r="AA117" s="232"/>
      <c r="AB117" s="233" t="s">
        <v>8</v>
      </c>
      <c r="AC117" s="234"/>
      <c r="AD117" s="235"/>
    </row>
    <row r="118" spans="1:30">
      <c r="A118" s="62"/>
      <c r="B118" s="143">
        <f>'Joueurs et TirageV'!O34</f>
        <v>0</v>
      </c>
      <c r="C118" s="28"/>
      <c r="D118" s="26">
        <f>IF(C114+C118=0,0,IF(C114=C118,2,IF(C114&lt;C118,3,1)))</f>
        <v>0</v>
      </c>
      <c r="E118" s="148">
        <f>C118-C114</f>
        <v>0</v>
      </c>
      <c r="F118" s="18"/>
      <c r="G118" s="158">
        <f>'Joueurs et TirageV'!R34</f>
        <v>0</v>
      </c>
      <c r="H118" s="131"/>
      <c r="I118" s="26">
        <f>IF(H114+H118=0,0,IF(H114=H118,2,IF(H114&lt;H118,3,1)))</f>
        <v>0</v>
      </c>
      <c r="J118" s="163">
        <f>H118-H114</f>
        <v>0</v>
      </c>
      <c r="K118" s="18"/>
      <c r="L118" s="181">
        <f>'Joueurs et TirageV'!U34</f>
        <v>0</v>
      </c>
      <c r="M118" s="29"/>
      <c r="N118" s="26">
        <f>IF(M114+M118=0,0,IF(M114=M118,2,IF(M114&lt;M118,3,1)))</f>
        <v>0</v>
      </c>
      <c r="O118" s="184">
        <f>M118-M114</f>
        <v>0</v>
      </c>
      <c r="Q118" s="202">
        <f>'Joueurs et TirageV'!X34</f>
        <v>0</v>
      </c>
      <c r="R118" s="30"/>
      <c r="S118" s="26">
        <f>IF(R114+R118=0,0,IF(R114=R118,2,IF(R114&lt;R118,3,1)))</f>
        <v>0</v>
      </c>
      <c r="T118" s="207">
        <f>R118-R114</f>
        <v>0</v>
      </c>
      <c r="V118" s="217">
        <f>'Joueurs et TirageV'!AA34</f>
        <v>0</v>
      </c>
      <c r="W118" s="31"/>
      <c r="X118" s="26">
        <f>IF(W114+W118=0,0,IF(W114=W118,2,IF(W114&lt;W118,3,1)))</f>
        <v>0</v>
      </c>
      <c r="Y118" s="163">
        <f>W118-W114</f>
        <v>0</v>
      </c>
      <c r="AA118" s="239">
        <f>'Joueurs et TirageV'!AD34</f>
        <v>0</v>
      </c>
      <c r="AB118" s="32"/>
      <c r="AC118" s="26">
        <f>IF(AB114+AB118=0,0,IF(AB114=AB118,2,IF(AB114&lt;AB118,3,1)))</f>
        <v>0</v>
      </c>
      <c r="AD118" s="226">
        <f>AB118-AB114</f>
        <v>0</v>
      </c>
    </row>
    <row r="119" spans="1:30" ht="16.5" thickBot="1">
      <c r="A119" s="62">
        <v>28</v>
      </c>
      <c r="B119" s="143">
        <f>'Joueurs et TirageV'!P34</f>
        <v>0</v>
      </c>
      <c r="C119" s="47">
        <f>IF(ISTEXT(B119),C118,0)</f>
        <v>0</v>
      </c>
      <c r="D119" s="13">
        <f>IF(ISTEXT(B119),D118,0)</f>
        <v>0</v>
      </c>
      <c r="E119" s="149">
        <f>IF(ISTEXT(B119),E118,0)</f>
        <v>0</v>
      </c>
      <c r="F119" s="10"/>
      <c r="G119" s="158">
        <f>'Joueurs et TirageV'!S34</f>
        <v>0</v>
      </c>
      <c r="H119" s="47">
        <f>IF(ISTEXT(G119),H118,0)</f>
        <v>0</v>
      </c>
      <c r="I119" s="13">
        <f>IF(ISTEXT(G119),I118,0)</f>
        <v>0</v>
      </c>
      <c r="J119" s="164">
        <f>IF(ISTEXT(G119),J118,0)</f>
        <v>0</v>
      </c>
      <c r="K119" s="10"/>
      <c r="L119" s="181">
        <f>'Joueurs et TirageV'!V34</f>
        <v>0</v>
      </c>
      <c r="M119" s="47">
        <f>IF(ISTEXT(L119),M118,0)</f>
        <v>0</v>
      </c>
      <c r="N119" s="13">
        <f>IF(ISTEXT(L119),N118,0)</f>
        <v>0</v>
      </c>
      <c r="O119" s="185">
        <f>IF(ISTEXT(L119),O118,0)</f>
        <v>0</v>
      </c>
      <c r="P119" s="9"/>
      <c r="Q119" s="202">
        <f>'Joueurs et TirageV'!Y34</f>
        <v>0</v>
      </c>
      <c r="R119" s="47">
        <f>IF(ISTEXT(Q119),R118,0)</f>
        <v>0</v>
      </c>
      <c r="S119" s="13">
        <f>IF(ISTEXT(Q119),S118,0)</f>
        <v>0</v>
      </c>
      <c r="T119" s="208">
        <f>IF(ISTEXT(Q119),T118,0)</f>
        <v>0</v>
      </c>
      <c r="U119" s="9"/>
      <c r="V119" s="217">
        <f>'Joueurs et TirageV'!AB34</f>
        <v>0</v>
      </c>
      <c r="W119" s="47">
        <f>IF(ISTEXT(V119),W118,0)</f>
        <v>0</v>
      </c>
      <c r="X119" s="13">
        <f>IF(ISTEXT(V119),X118,0)</f>
        <v>0</v>
      </c>
      <c r="Y119" s="164">
        <f>IF(ISTEXT(V119),Y118,0)</f>
        <v>0</v>
      </c>
      <c r="Z119" s="9"/>
      <c r="AA119" s="239">
        <f>'Joueurs et TirageV'!AE34</f>
        <v>0</v>
      </c>
      <c r="AB119" s="47">
        <f>IF(ISTEXT(AA119),AB118,0)</f>
        <v>0</v>
      </c>
      <c r="AC119" s="13">
        <f>IF(ISTEXT(AA119),AC118,0)</f>
        <v>0</v>
      </c>
      <c r="AD119" s="227">
        <f>IF(ISTEXT(AA119),AD118,0)</f>
        <v>0</v>
      </c>
    </row>
    <row r="120" spans="1:30" ht="16.5" thickBot="1">
      <c r="A120" s="62"/>
      <c r="B120" s="150">
        <f>+'Joueurs et TirageV'!Q34</f>
        <v>0</v>
      </c>
      <c r="C120" s="151">
        <f>IF(ISTEXT(B120),C118,0)</f>
        <v>0</v>
      </c>
      <c r="D120" s="152">
        <f>IF(ISTEXT(B120),D118,0)</f>
        <v>0</v>
      </c>
      <c r="E120" s="153">
        <f>IF(ISTEXT(B120),E118,0)</f>
        <v>0</v>
      </c>
      <c r="F120" s="10"/>
      <c r="G120" s="165">
        <f>+'Joueurs et TirageV'!T34</f>
        <v>0</v>
      </c>
      <c r="H120" s="166">
        <f>IF(ISTEXT(G120),H118,0)</f>
        <v>0</v>
      </c>
      <c r="I120" s="167">
        <f>IF(ISTEXT(G120),I118,0)</f>
        <v>0</v>
      </c>
      <c r="J120" s="168">
        <f>IF(ISTEXT(G120),J118,0)</f>
        <v>0</v>
      </c>
      <c r="K120" s="10"/>
      <c r="L120" s="186">
        <f>+'Joueurs et TirageV'!W34</f>
        <v>0</v>
      </c>
      <c r="M120" s="187">
        <f>IF(ISTEXT(L120),M118,0)</f>
        <v>0</v>
      </c>
      <c r="N120" s="188">
        <f>IF(ISTEXT(L120),N118,0)</f>
        <v>0</v>
      </c>
      <c r="O120" s="189">
        <f>IF(ISTEXT(L120),O118,0)</f>
        <v>0</v>
      </c>
      <c r="P120" s="9"/>
      <c r="Q120" s="209">
        <f>+'Joueurs et TirageV'!Z34</f>
        <v>0</v>
      </c>
      <c r="R120" s="210">
        <f>IF(ISTEXT(Q120),R118,0)</f>
        <v>0</v>
      </c>
      <c r="S120" s="211">
        <f>IF(ISTEXT(Q120),S118,0)</f>
        <v>0</v>
      </c>
      <c r="T120" s="212">
        <f>IF(ISTEXT(Q120),T118,0)</f>
        <v>0</v>
      </c>
      <c r="U120" s="9"/>
      <c r="V120" s="218">
        <f>+'Joueurs et TirageV'!AC34</f>
        <v>0</v>
      </c>
      <c r="W120" s="166">
        <f>IF(ISTEXT(V120),W118,0)</f>
        <v>0</v>
      </c>
      <c r="X120" s="167">
        <f>IF(ISTEXT(V120),X118,0)</f>
        <v>0</v>
      </c>
      <c r="Y120" s="168">
        <f>IF(ISTEXT(V120),Y118,0)</f>
        <v>0</v>
      </c>
      <c r="Z120" s="9"/>
      <c r="AA120" s="240">
        <f>+'Joueurs et TirageV'!AF34</f>
        <v>0</v>
      </c>
      <c r="AB120" s="229">
        <f>IF(ISTEXT(AA120),AB118,0)</f>
        <v>0</v>
      </c>
      <c r="AC120" s="230">
        <f>IF(ISTEXT(AA120),AC118,0)</f>
        <v>0</v>
      </c>
      <c r="AD120" s="231">
        <f>IF(ISTEXT(AA120),AD118,0)</f>
        <v>0</v>
      </c>
    </row>
    <row r="121" spans="1:30" ht="17.25" thickTop="1" thickBot="1">
      <c r="A121" s="133"/>
      <c r="B121" s="12"/>
      <c r="C121" s="278"/>
      <c r="D121" s="12"/>
      <c r="E121" s="10"/>
      <c r="F121" s="10"/>
      <c r="G121" s="12"/>
      <c r="H121" s="10"/>
      <c r="I121" s="12"/>
      <c r="J121" s="10"/>
      <c r="K121" s="10"/>
      <c r="L121" s="12"/>
      <c r="M121" s="10"/>
      <c r="N121" s="12"/>
      <c r="O121" s="10"/>
      <c r="P121" s="9"/>
      <c r="Q121" s="12"/>
      <c r="R121" s="10"/>
      <c r="S121" s="12"/>
      <c r="T121" s="10"/>
      <c r="U121" s="9"/>
      <c r="V121" s="10"/>
      <c r="W121" s="10"/>
      <c r="X121" s="12"/>
      <c r="Y121" s="10"/>
      <c r="Z121" s="9"/>
      <c r="AA121" s="10"/>
      <c r="AB121" s="10"/>
      <c r="AC121" s="12"/>
      <c r="AD121" s="10"/>
    </row>
    <row r="122" spans="1:30" ht="16.5" thickTop="1">
      <c r="A122" s="133"/>
      <c r="B122" s="139">
        <f>'Joueurs et TirageV'!O35</f>
        <v>0</v>
      </c>
      <c r="C122" s="140"/>
      <c r="D122" s="141">
        <f>IF(C122+C126=0,0,IF(C122=C126,2,IF(C122&gt;C126,3,1)))</f>
        <v>0</v>
      </c>
      <c r="E122" s="142">
        <f>C122-C126</f>
        <v>0</v>
      </c>
      <c r="F122" s="18"/>
      <c r="G122" s="154">
        <f>'Joueurs et TirageV'!R35</f>
        <v>0</v>
      </c>
      <c r="H122" s="155"/>
      <c r="I122" s="156">
        <f>IF(H122+H126=0,0,IF(H122=H126,2,IF(H122&gt;H126,3,1)))</f>
        <v>0</v>
      </c>
      <c r="J122" s="157">
        <f>H122-H126</f>
        <v>0</v>
      </c>
      <c r="K122" s="18"/>
      <c r="L122" s="177">
        <f>'Joueurs et TirageV'!U35</f>
        <v>0</v>
      </c>
      <c r="M122" s="178"/>
      <c r="N122" s="179">
        <f>IF(M122+M126=0,0,IF(M122=M126,2,IF(M122&gt;M126,3,1)))</f>
        <v>0</v>
      </c>
      <c r="O122" s="180">
        <f>M122-M126</f>
        <v>0</v>
      </c>
      <c r="Q122" s="198">
        <f>'Joueurs et TirageV'!X35</f>
        <v>0</v>
      </c>
      <c r="R122" s="199"/>
      <c r="S122" s="200">
        <f>IF(R122+R126=0,0,IF(R122=R126,2,IF(R122&gt;R126,3,1)))</f>
        <v>0</v>
      </c>
      <c r="T122" s="201">
        <f>R122-R126</f>
        <v>0</v>
      </c>
      <c r="V122" s="213">
        <f>'Joueurs et TirageV'!AA35</f>
        <v>0</v>
      </c>
      <c r="W122" s="214"/>
      <c r="X122" s="156">
        <f>IF(W122+W126=0,0,IF(W122=W126,2,IF(W122&gt;W126,3,1)))</f>
        <v>0</v>
      </c>
      <c r="Y122" s="157">
        <f>W122-W126</f>
        <v>0</v>
      </c>
      <c r="AA122" s="236">
        <f>'Joueurs et TirageV'!AD35</f>
        <v>0</v>
      </c>
      <c r="AB122" s="220"/>
      <c r="AC122" s="221">
        <f>IF(AB122+AB126=0,0,IF(AB122=AB126,2,IF(AB122&gt;AB126,3,1)))</f>
        <v>0</v>
      </c>
      <c r="AD122" s="222">
        <f>AB122-AB126</f>
        <v>0</v>
      </c>
    </row>
    <row r="123" spans="1:30" ht="16.5" thickBot="1">
      <c r="A123" s="133">
        <v>29</v>
      </c>
      <c r="B123" s="143">
        <f>'Joueurs et TirageV'!P35</f>
        <v>0</v>
      </c>
      <c r="C123" s="129">
        <f>IF(ISTEXT(B123),C122,0)</f>
        <v>0</v>
      </c>
      <c r="D123" s="130">
        <f>IF(ISTEXT(B123),D122,0)</f>
        <v>0</v>
      </c>
      <c r="E123" s="144">
        <f>IF(ISTEXT(B123),E122,0)</f>
        <v>0</v>
      </c>
      <c r="F123" s="18"/>
      <c r="G123" s="158">
        <f>'Joueurs et TirageV'!S35</f>
        <v>0</v>
      </c>
      <c r="H123" s="129">
        <f>IF(ISTEXT(G123),H122,0)</f>
        <v>0</v>
      </c>
      <c r="I123" s="130">
        <f>IF(ISTEXT(G123),I122,0)</f>
        <v>0</v>
      </c>
      <c r="J123" s="159">
        <f>IF(ISTEXT(G123),J122,0)</f>
        <v>0</v>
      </c>
      <c r="K123" s="18"/>
      <c r="L123" s="181">
        <f>'Joueurs et TirageV'!V35</f>
        <v>0</v>
      </c>
      <c r="M123" s="129">
        <f>IF(ISTEXT(L123),M122,0)</f>
        <v>0</v>
      </c>
      <c r="N123" s="130">
        <f>IF(ISTEXT(L123),N122,0)</f>
        <v>0</v>
      </c>
      <c r="O123" s="182">
        <f>IF(ISTEXT(L123),O122,0)</f>
        <v>0</v>
      </c>
      <c r="Q123" s="202">
        <f>'Joueurs et TirageV'!Y35</f>
        <v>0</v>
      </c>
      <c r="R123" s="129">
        <f>IF(ISTEXT(Q123),R122,0)</f>
        <v>0</v>
      </c>
      <c r="S123" s="130">
        <f>IF(ISTEXT(Q123),S122,0)</f>
        <v>0</v>
      </c>
      <c r="T123" s="203">
        <f>IF(ISTEXT(Q123),T122,0)</f>
        <v>0</v>
      </c>
      <c r="V123" s="217">
        <f>'Joueurs et TirageV'!AB35</f>
        <v>0</v>
      </c>
      <c r="W123" s="129">
        <f>IF(ISTEXT(V123),W122,0)</f>
        <v>0</v>
      </c>
      <c r="X123" s="130">
        <f>IF(ISTEXT(V123),X122,0)</f>
        <v>0</v>
      </c>
      <c r="Y123" s="159">
        <f>IF(ISTEXT(V123),Y122,0)</f>
        <v>0</v>
      </c>
      <c r="AA123" s="239">
        <f>'Joueurs et TirageV'!AE35</f>
        <v>0</v>
      </c>
      <c r="AB123" s="129">
        <f>IF(ISTEXT(AA123),AB122,0)</f>
        <v>0</v>
      </c>
      <c r="AC123" s="130">
        <f>IF(ISTEXT(AA123),AC122,0)</f>
        <v>0</v>
      </c>
      <c r="AD123" s="224">
        <f>IF(ISTEXT(AA123),AD122,0)</f>
        <v>0</v>
      </c>
    </row>
    <row r="124" spans="1:30">
      <c r="A124" s="133"/>
      <c r="B124" s="143">
        <f>+'Joueurs et TirageV'!Q35</f>
        <v>0</v>
      </c>
      <c r="C124" s="127">
        <f>IF(ISTEXT(B124),C122,0)</f>
        <v>0</v>
      </c>
      <c r="D124" s="128">
        <f>IF(ISTEXT(B124),D122,0)</f>
        <v>0</v>
      </c>
      <c r="E124" s="145">
        <f>IF(ISTEXT(B124),E122,0)</f>
        <v>0</v>
      </c>
      <c r="F124" s="18"/>
      <c r="G124" s="158">
        <f>+'Joueurs et TirageV'!T35</f>
        <v>0</v>
      </c>
      <c r="H124" s="25">
        <f>IF(ISTEXT(G124),H122,0)</f>
        <v>0</v>
      </c>
      <c r="I124" s="26">
        <f>IF(ISTEXT(G124),I122,0)</f>
        <v>0</v>
      </c>
      <c r="J124" s="160">
        <f>IF(ISTEXT(G124),J122,0)</f>
        <v>0</v>
      </c>
      <c r="K124" s="18"/>
      <c r="L124" s="181">
        <f>+'Joueurs et TirageV'!W35</f>
        <v>0</v>
      </c>
      <c r="M124" s="11">
        <f>IF(ISTEXT(L124),M122,0)</f>
        <v>0</v>
      </c>
      <c r="N124" s="26">
        <f>IF(ISTEXT(L124),N122,0)</f>
        <v>0</v>
      </c>
      <c r="O124" s="183">
        <f>IF(ISTEXT(L124),O122,0)</f>
        <v>0</v>
      </c>
      <c r="Q124" s="202">
        <f>+'Joueurs et TirageV'!Z35</f>
        <v>0</v>
      </c>
      <c r="R124" s="11">
        <f>IF(ISTEXT(Q124),R122,0)</f>
        <v>0</v>
      </c>
      <c r="S124" s="26">
        <f>IF(ISTEXT(Q124),S122,0)</f>
        <v>0</v>
      </c>
      <c r="T124" s="204">
        <f>IF(ISTEXT(Q124),T122,0)</f>
        <v>0</v>
      </c>
      <c r="V124" s="217">
        <f>+'Joueurs et TirageV'!AC35</f>
        <v>0</v>
      </c>
      <c r="W124" s="11">
        <f>IF(ISTEXT(V124),W122,0)</f>
        <v>0</v>
      </c>
      <c r="X124" s="26">
        <f>IF(ISTEXT(V124),X122,0)</f>
        <v>0</v>
      </c>
      <c r="Y124" s="160">
        <f>IF(ISTEXT(V124),Y122,0)</f>
        <v>0</v>
      </c>
      <c r="AA124" s="239">
        <f>+'Joueurs et TirageV'!AF35</f>
        <v>0</v>
      </c>
      <c r="AB124" s="11">
        <f>IF(ISTEXT(AA124),AB122,0)</f>
        <v>0</v>
      </c>
      <c r="AC124" s="26">
        <f>IF(ISTEXT(AA124),AC122,0)</f>
        <v>0</v>
      </c>
      <c r="AD124" s="225">
        <f>IF(ISTEXT(AA124),AD122,0)</f>
        <v>0</v>
      </c>
    </row>
    <row r="125" spans="1:30">
      <c r="A125" s="133"/>
      <c r="B125" s="146"/>
      <c r="C125" s="137" t="s">
        <v>8</v>
      </c>
      <c r="D125" s="138"/>
      <c r="E125" s="147"/>
      <c r="F125" s="19"/>
      <c r="G125" s="169"/>
      <c r="H125" s="170" t="s">
        <v>8</v>
      </c>
      <c r="I125" s="171"/>
      <c r="J125" s="172"/>
      <c r="K125" s="19"/>
      <c r="L125" s="190"/>
      <c r="M125" s="191" t="s">
        <v>8</v>
      </c>
      <c r="N125" s="192"/>
      <c r="O125" s="193"/>
      <c r="P125" s="23"/>
      <c r="Q125" s="205"/>
      <c r="R125" s="196" t="s">
        <v>8</v>
      </c>
      <c r="S125" s="197"/>
      <c r="T125" s="206"/>
      <c r="U125" s="23"/>
      <c r="V125" s="215"/>
      <c r="W125" s="194" t="s">
        <v>8</v>
      </c>
      <c r="X125" s="195"/>
      <c r="Y125" s="216"/>
      <c r="Z125" s="23"/>
      <c r="AA125" s="232"/>
      <c r="AB125" s="233" t="s">
        <v>8</v>
      </c>
      <c r="AC125" s="234"/>
      <c r="AD125" s="235"/>
    </row>
    <row r="126" spans="1:30">
      <c r="A126" s="133"/>
      <c r="B126" s="143">
        <f>'Joueurs et TirageV'!O36</f>
        <v>0</v>
      </c>
      <c r="C126" s="28"/>
      <c r="D126" s="26">
        <f>IF(C122+C126=0,0,IF(C122=C126,2,IF(C122&lt;C126,3,1)))</f>
        <v>0</v>
      </c>
      <c r="E126" s="148">
        <f>C126-C122</f>
        <v>0</v>
      </c>
      <c r="F126" s="18"/>
      <c r="G126" s="158">
        <f>'Joueurs et TirageV'!R36</f>
        <v>0</v>
      </c>
      <c r="H126" s="131"/>
      <c r="I126" s="26">
        <f>IF(H122+H126=0,0,IF(H122=H126,2,IF(H122&lt;H126,3,1)))</f>
        <v>0</v>
      </c>
      <c r="J126" s="163">
        <f>H126-H122</f>
        <v>0</v>
      </c>
      <c r="K126" s="18"/>
      <c r="L126" s="181">
        <f>'Joueurs et TirageV'!U36</f>
        <v>0</v>
      </c>
      <c r="M126" s="29"/>
      <c r="N126" s="26">
        <f>IF(M122+M126=0,0,IF(M122=M126,2,IF(M122&lt;M126,3,1)))</f>
        <v>0</v>
      </c>
      <c r="O126" s="184">
        <f>M126-M122</f>
        <v>0</v>
      </c>
      <c r="Q126" s="202">
        <f>'Joueurs et TirageV'!X36</f>
        <v>0</v>
      </c>
      <c r="R126" s="30"/>
      <c r="S126" s="26">
        <f>IF(R122+R126=0,0,IF(R122=R126,2,IF(R122&lt;R126,3,1)))</f>
        <v>0</v>
      </c>
      <c r="T126" s="207">
        <f>R126-R122</f>
        <v>0</v>
      </c>
      <c r="V126" s="217">
        <f>'Joueurs et TirageV'!AA36</f>
        <v>0</v>
      </c>
      <c r="W126" s="31"/>
      <c r="X126" s="26">
        <f>IF(W122+W126=0,0,IF(W122=W126,2,IF(W122&lt;W126,3,1)))</f>
        <v>0</v>
      </c>
      <c r="Y126" s="163">
        <f>W126-W122</f>
        <v>0</v>
      </c>
      <c r="AA126" s="239">
        <f>'Joueurs et TirageV'!AD36</f>
        <v>0</v>
      </c>
      <c r="AB126" s="32"/>
      <c r="AC126" s="26">
        <f>IF(AB122+AB126=0,0,IF(AB122=AB126,2,IF(AB122&lt;AB126,3,1)))</f>
        <v>0</v>
      </c>
      <c r="AD126" s="226">
        <f>AB126-AB122</f>
        <v>0</v>
      </c>
    </row>
    <row r="127" spans="1:30" ht="16.5" thickBot="1">
      <c r="A127" s="133">
        <v>30</v>
      </c>
      <c r="B127" s="143">
        <f>'Joueurs et TirageV'!P36</f>
        <v>0</v>
      </c>
      <c r="C127" s="47">
        <f>IF(ISTEXT(B127),C126,0)</f>
        <v>0</v>
      </c>
      <c r="D127" s="13">
        <f>IF(ISTEXT(B127),D126,0)</f>
        <v>0</v>
      </c>
      <c r="E127" s="149">
        <f>IF(ISTEXT(B127),E126,0)</f>
        <v>0</v>
      </c>
      <c r="F127" s="10"/>
      <c r="G127" s="158">
        <f>'Joueurs et TirageV'!S36</f>
        <v>0</v>
      </c>
      <c r="H127" s="47">
        <f>IF(ISTEXT(G127),H126,0)</f>
        <v>0</v>
      </c>
      <c r="I127" s="13">
        <f>IF(ISTEXT(G127),I126,0)</f>
        <v>0</v>
      </c>
      <c r="J127" s="164">
        <f>IF(ISTEXT(G127),J126,0)</f>
        <v>0</v>
      </c>
      <c r="K127" s="10"/>
      <c r="L127" s="181">
        <f>'Joueurs et TirageV'!V36</f>
        <v>0</v>
      </c>
      <c r="M127" s="47">
        <f>IF(ISTEXT(L127),M126,0)</f>
        <v>0</v>
      </c>
      <c r="N127" s="13">
        <f>IF(ISTEXT(L127),N126,0)</f>
        <v>0</v>
      </c>
      <c r="O127" s="185">
        <f>IF(ISTEXT(L127),O126,0)</f>
        <v>0</v>
      </c>
      <c r="P127" s="9"/>
      <c r="Q127" s="202">
        <f>'Joueurs et TirageV'!Y36</f>
        <v>0</v>
      </c>
      <c r="R127" s="47">
        <f>IF(ISTEXT(Q127),R126,0)</f>
        <v>0</v>
      </c>
      <c r="S127" s="13">
        <f>IF(ISTEXT(Q127),S126,0)</f>
        <v>0</v>
      </c>
      <c r="T127" s="208">
        <f>IF(ISTEXT(Q127),T126,0)</f>
        <v>0</v>
      </c>
      <c r="U127" s="9"/>
      <c r="V127" s="217">
        <f>'Joueurs et TirageV'!AB36</f>
        <v>0</v>
      </c>
      <c r="W127" s="47">
        <f>IF(ISTEXT(V127),W126,0)</f>
        <v>0</v>
      </c>
      <c r="X127" s="13">
        <f>IF(ISTEXT(V127),X126,0)</f>
        <v>0</v>
      </c>
      <c r="Y127" s="164">
        <f>IF(ISTEXT(V127),Y126,0)</f>
        <v>0</v>
      </c>
      <c r="Z127" s="9"/>
      <c r="AA127" s="239">
        <f>'Joueurs et TirageV'!AE36</f>
        <v>0</v>
      </c>
      <c r="AB127" s="47">
        <f>IF(ISTEXT(AA127),AB126,0)</f>
        <v>0</v>
      </c>
      <c r="AC127" s="13">
        <f>IF(ISTEXT(AA127),AC126,0)</f>
        <v>0</v>
      </c>
      <c r="AD127" s="227">
        <f>IF(ISTEXT(AA127),AD126,0)</f>
        <v>0</v>
      </c>
    </row>
    <row r="128" spans="1:30" ht="16.5" thickBot="1">
      <c r="A128" s="133"/>
      <c r="B128" s="150">
        <f>+'Joueurs et TirageV'!Q36</f>
        <v>0</v>
      </c>
      <c r="C128" s="151">
        <f>IF(ISTEXT(B128),C126,0)</f>
        <v>0</v>
      </c>
      <c r="D128" s="152">
        <f>IF(ISTEXT(B128),D126,0)</f>
        <v>0</v>
      </c>
      <c r="E128" s="153">
        <f>IF(ISTEXT(B128),E126,0)</f>
        <v>0</v>
      </c>
      <c r="F128" s="10"/>
      <c r="G128" s="165">
        <f>+'Joueurs et TirageV'!T36</f>
        <v>0</v>
      </c>
      <c r="H128" s="166">
        <f>IF(ISTEXT(G128),H126,0)</f>
        <v>0</v>
      </c>
      <c r="I128" s="167">
        <f>IF(ISTEXT(G128),I126,0)</f>
        <v>0</v>
      </c>
      <c r="J128" s="168">
        <f>IF(ISTEXT(G128),J126,0)</f>
        <v>0</v>
      </c>
      <c r="K128" s="10"/>
      <c r="L128" s="186">
        <f>+'Joueurs et TirageV'!W36</f>
        <v>0</v>
      </c>
      <c r="M128" s="187">
        <f>IF(ISTEXT(L128),M126,0)</f>
        <v>0</v>
      </c>
      <c r="N128" s="188">
        <f>IF(ISTEXT(L128),N126,0)</f>
        <v>0</v>
      </c>
      <c r="O128" s="189">
        <f>IF(ISTEXT(L128),O126,0)</f>
        <v>0</v>
      </c>
      <c r="P128" s="9"/>
      <c r="Q128" s="209">
        <f>+'Joueurs et TirageV'!Z36</f>
        <v>0</v>
      </c>
      <c r="R128" s="210">
        <f>IF(ISTEXT(Q128),R126,0)</f>
        <v>0</v>
      </c>
      <c r="S128" s="211">
        <f>IF(ISTEXT(Q128),S126,0)</f>
        <v>0</v>
      </c>
      <c r="T128" s="212">
        <f>IF(ISTEXT(Q128),T126,0)</f>
        <v>0</v>
      </c>
      <c r="U128" s="9"/>
      <c r="V128" s="218">
        <f>+'Joueurs et TirageV'!AC36</f>
        <v>0</v>
      </c>
      <c r="W128" s="166">
        <f>IF(ISTEXT(V128),W126,0)</f>
        <v>0</v>
      </c>
      <c r="X128" s="167">
        <f>IF(ISTEXT(V128),X126,0)</f>
        <v>0</v>
      </c>
      <c r="Y128" s="168">
        <f>IF(ISTEXT(V128),Y126,0)</f>
        <v>0</v>
      </c>
      <c r="Z128" s="9"/>
      <c r="AA128" s="240">
        <f>+'Joueurs et TirageV'!AF36</f>
        <v>0</v>
      </c>
      <c r="AB128" s="229">
        <f>IF(ISTEXT(AA128),AB126,0)</f>
        <v>0</v>
      </c>
      <c r="AC128" s="230">
        <f>IF(ISTEXT(AA128),AC126,0)</f>
        <v>0</v>
      </c>
      <c r="AD128" s="231">
        <f>IF(ISTEXT(AA128),AD126,0)</f>
        <v>0</v>
      </c>
    </row>
    <row r="129" spans="1:30" ht="17.25" thickTop="1" thickBot="1">
      <c r="A129" s="133"/>
      <c r="B129" s="12"/>
      <c r="C129" s="278"/>
      <c r="D129" s="12"/>
      <c r="E129" s="10"/>
      <c r="F129" s="10"/>
      <c r="G129" s="12"/>
      <c r="H129" s="10"/>
      <c r="I129" s="12"/>
      <c r="J129" s="10"/>
      <c r="K129" s="10"/>
      <c r="L129" s="12"/>
      <c r="M129" s="10"/>
      <c r="N129" s="12"/>
      <c r="O129" s="10"/>
      <c r="P129" s="9"/>
      <c r="Q129" s="12"/>
      <c r="R129" s="10"/>
      <c r="S129" s="12"/>
      <c r="T129" s="10"/>
      <c r="U129" s="9"/>
      <c r="V129" s="10"/>
      <c r="W129" s="10"/>
      <c r="X129" s="12"/>
      <c r="Y129" s="10"/>
      <c r="Z129" s="9"/>
      <c r="AA129" s="10"/>
      <c r="AB129" s="10"/>
      <c r="AC129" s="12"/>
      <c r="AD129" s="10"/>
    </row>
    <row r="130" spans="1:30" ht="16.5" thickTop="1">
      <c r="A130" s="133"/>
      <c r="B130" s="139">
        <f>'Joueurs et TirageV'!O37</f>
        <v>0</v>
      </c>
      <c r="C130" s="140"/>
      <c r="D130" s="141">
        <f>IF(C130+C134=0,0,IF(C130=C134,2,IF(C130&gt;C134,3,1)))</f>
        <v>0</v>
      </c>
      <c r="E130" s="142">
        <f>C130-C134</f>
        <v>0</v>
      </c>
      <c r="F130" s="18"/>
      <c r="G130" s="154">
        <f>'Joueurs et TirageV'!R37</f>
        <v>0</v>
      </c>
      <c r="H130" s="155"/>
      <c r="I130" s="156">
        <f>IF(H130+H134=0,0,IF(H130=H134,2,IF(H130&gt;H134,3,1)))</f>
        <v>0</v>
      </c>
      <c r="J130" s="157">
        <f>H130-H134</f>
        <v>0</v>
      </c>
      <c r="K130" s="18"/>
      <c r="L130" s="177">
        <f>'Joueurs et TirageV'!U37</f>
        <v>0</v>
      </c>
      <c r="M130" s="178"/>
      <c r="N130" s="179">
        <f>IF(M130+M134=0,0,IF(M130=M134,2,IF(M130&gt;M134,3,1)))</f>
        <v>0</v>
      </c>
      <c r="O130" s="180">
        <f>M130-M134</f>
        <v>0</v>
      </c>
      <c r="Q130" s="198">
        <f>'Joueurs et TirageV'!X37</f>
        <v>0</v>
      </c>
      <c r="R130" s="199"/>
      <c r="S130" s="200">
        <f>IF(R130+R134=0,0,IF(R130=R134,2,IF(R130&gt;R134,3,1)))</f>
        <v>0</v>
      </c>
      <c r="T130" s="201">
        <f>R130-R134</f>
        <v>0</v>
      </c>
      <c r="V130" s="213">
        <f>'Joueurs et TirageV'!AA37</f>
        <v>0</v>
      </c>
      <c r="W130" s="214"/>
      <c r="X130" s="156">
        <f>IF(W130+W134=0,0,IF(W130=W134,2,IF(W130&gt;W134,3,1)))</f>
        <v>0</v>
      </c>
      <c r="Y130" s="157">
        <f>W130-W134</f>
        <v>0</v>
      </c>
      <c r="AA130" s="236">
        <f>'Joueurs et TirageV'!AD37</f>
        <v>0</v>
      </c>
      <c r="AB130" s="220"/>
      <c r="AC130" s="221">
        <f>IF(AB130+AB134=0,0,IF(AB130=AB134,2,IF(AB130&gt;AB134,3,1)))</f>
        <v>0</v>
      </c>
      <c r="AD130" s="222">
        <f>AB130-AB134</f>
        <v>0</v>
      </c>
    </row>
    <row r="131" spans="1:30" ht="16.5" thickBot="1">
      <c r="A131" s="133">
        <v>31</v>
      </c>
      <c r="B131" s="143">
        <f>'Joueurs et TirageV'!P37</f>
        <v>0</v>
      </c>
      <c r="C131" s="129">
        <f>IF(ISTEXT(B131),C130,0)</f>
        <v>0</v>
      </c>
      <c r="D131" s="130">
        <f>IF(ISTEXT(B131),D130,0)</f>
        <v>0</v>
      </c>
      <c r="E131" s="144">
        <f>IF(ISTEXT(B131),E130,0)</f>
        <v>0</v>
      </c>
      <c r="F131" s="18"/>
      <c r="G131" s="158">
        <f>'Joueurs et TirageV'!S37</f>
        <v>0</v>
      </c>
      <c r="H131" s="129">
        <f>IF(ISTEXT(G131),H130,0)</f>
        <v>0</v>
      </c>
      <c r="I131" s="130">
        <f>IF(ISTEXT(G131),I130,0)</f>
        <v>0</v>
      </c>
      <c r="J131" s="159">
        <f>IF(ISTEXT(G131),J130,0)</f>
        <v>0</v>
      </c>
      <c r="K131" s="18"/>
      <c r="L131" s="181">
        <f>'Joueurs et TirageV'!V37</f>
        <v>0</v>
      </c>
      <c r="M131" s="129">
        <f>IF(ISTEXT(L131),M130,0)</f>
        <v>0</v>
      </c>
      <c r="N131" s="130">
        <f>IF(ISTEXT(L131),N130,0)</f>
        <v>0</v>
      </c>
      <c r="O131" s="182">
        <f>IF(ISTEXT(L131),O130,0)</f>
        <v>0</v>
      </c>
      <c r="Q131" s="202">
        <f>'Joueurs et TirageV'!Y37</f>
        <v>0</v>
      </c>
      <c r="R131" s="129">
        <f>IF(ISTEXT(Q131),R130,0)</f>
        <v>0</v>
      </c>
      <c r="S131" s="130">
        <f>IF(ISTEXT(Q131),S130,0)</f>
        <v>0</v>
      </c>
      <c r="T131" s="203">
        <f>IF(ISTEXT(Q131),T130,0)</f>
        <v>0</v>
      </c>
      <c r="V131" s="217">
        <f>'Joueurs et TirageV'!AB37</f>
        <v>0</v>
      </c>
      <c r="W131" s="129">
        <f>IF(ISTEXT(V131),W130,0)</f>
        <v>0</v>
      </c>
      <c r="X131" s="130">
        <f>IF(ISTEXT(V131),X130,0)</f>
        <v>0</v>
      </c>
      <c r="Y131" s="159">
        <f>IF(ISTEXT(V131),Y130,0)</f>
        <v>0</v>
      </c>
      <c r="AA131" s="239">
        <f>'Joueurs et TirageV'!AE37</f>
        <v>0</v>
      </c>
      <c r="AB131" s="129">
        <f>IF(ISTEXT(AA131),AB130,0)</f>
        <v>0</v>
      </c>
      <c r="AC131" s="130">
        <f>IF(ISTEXT(AA131),AC130,0)</f>
        <v>0</v>
      </c>
      <c r="AD131" s="224">
        <f>IF(ISTEXT(AA131),AD130,0)</f>
        <v>0</v>
      </c>
    </row>
    <row r="132" spans="1:30">
      <c r="A132" s="133"/>
      <c r="B132" s="143">
        <f>+'Joueurs et TirageV'!Q37</f>
        <v>0</v>
      </c>
      <c r="C132" s="127">
        <f>IF(ISTEXT(B132),C130,0)</f>
        <v>0</v>
      </c>
      <c r="D132" s="128">
        <f>IF(ISTEXT(B132),D130,0)</f>
        <v>0</v>
      </c>
      <c r="E132" s="145">
        <f>IF(ISTEXT(B132),E130,0)</f>
        <v>0</v>
      </c>
      <c r="F132" s="18"/>
      <c r="G132" s="158">
        <f>+'Joueurs et TirageV'!T37</f>
        <v>0</v>
      </c>
      <c r="H132" s="25">
        <f>IF(ISTEXT(G132),H130,0)</f>
        <v>0</v>
      </c>
      <c r="I132" s="26">
        <f>IF(ISTEXT(G132),I130,0)</f>
        <v>0</v>
      </c>
      <c r="J132" s="160">
        <f>IF(ISTEXT(G132),J130,0)</f>
        <v>0</v>
      </c>
      <c r="K132" s="18"/>
      <c r="L132" s="181">
        <f>+'Joueurs et TirageV'!W37</f>
        <v>0</v>
      </c>
      <c r="M132" s="11">
        <f>IF(ISTEXT(L132),M130,0)</f>
        <v>0</v>
      </c>
      <c r="N132" s="26">
        <f>IF(ISTEXT(L132),N130,0)</f>
        <v>0</v>
      </c>
      <c r="O132" s="183">
        <f>IF(ISTEXT(L132),O130,0)</f>
        <v>0</v>
      </c>
      <c r="Q132" s="202">
        <f>+'Joueurs et TirageV'!Z37</f>
        <v>0</v>
      </c>
      <c r="R132" s="11">
        <f>IF(ISTEXT(Q132),R130,0)</f>
        <v>0</v>
      </c>
      <c r="S132" s="26">
        <f>IF(ISTEXT(Q132),S130,0)</f>
        <v>0</v>
      </c>
      <c r="T132" s="204">
        <f>IF(ISTEXT(Q132),T130,0)</f>
        <v>0</v>
      </c>
      <c r="V132" s="217">
        <f>+'Joueurs et TirageV'!AC37</f>
        <v>0</v>
      </c>
      <c r="W132" s="11">
        <f>IF(ISTEXT(V132),W130,0)</f>
        <v>0</v>
      </c>
      <c r="X132" s="26">
        <f>IF(ISTEXT(V132),X130,0)</f>
        <v>0</v>
      </c>
      <c r="Y132" s="160">
        <f>IF(ISTEXT(V132),Y130,0)</f>
        <v>0</v>
      </c>
      <c r="AA132" s="239">
        <f>+'Joueurs et TirageV'!AF37</f>
        <v>0</v>
      </c>
      <c r="AB132" s="11">
        <f>IF(ISTEXT(AA132),AB130,0)</f>
        <v>0</v>
      </c>
      <c r="AC132" s="26">
        <f>IF(ISTEXT(AA132),AC130,0)</f>
        <v>0</v>
      </c>
      <c r="AD132" s="225">
        <f>IF(ISTEXT(AA132),AD130,0)</f>
        <v>0</v>
      </c>
    </row>
    <row r="133" spans="1:30">
      <c r="A133" s="133"/>
      <c r="B133" s="146"/>
      <c r="C133" s="137" t="s">
        <v>8</v>
      </c>
      <c r="D133" s="138"/>
      <c r="E133" s="147"/>
      <c r="F133" s="19"/>
      <c r="G133" s="169"/>
      <c r="H133" s="170" t="s">
        <v>8</v>
      </c>
      <c r="I133" s="171"/>
      <c r="J133" s="172"/>
      <c r="K133" s="19"/>
      <c r="L133" s="190"/>
      <c r="M133" s="191" t="s">
        <v>8</v>
      </c>
      <c r="N133" s="192"/>
      <c r="O133" s="193"/>
      <c r="P133" s="23"/>
      <c r="Q133" s="205"/>
      <c r="R133" s="196" t="s">
        <v>8</v>
      </c>
      <c r="S133" s="197"/>
      <c r="T133" s="206"/>
      <c r="U133" s="23"/>
      <c r="V133" s="215"/>
      <c r="W133" s="194" t="s">
        <v>8</v>
      </c>
      <c r="X133" s="195"/>
      <c r="Y133" s="216"/>
      <c r="Z133" s="23"/>
      <c r="AA133" s="232"/>
      <c r="AB133" s="233" t="s">
        <v>8</v>
      </c>
      <c r="AC133" s="234"/>
      <c r="AD133" s="235"/>
    </row>
    <row r="134" spans="1:30">
      <c r="A134" s="133"/>
      <c r="B134" s="143">
        <f>'Joueurs et TirageV'!O38</f>
        <v>0</v>
      </c>
      <c r="C134" s="28"/>
      <c r="D134" s="26">
        <f>IF(C130+C134=0,0,IF(C130=C134,2,IF(C130&lt;C134,3,1)))</f>
        <v>0</v>
      </c>
      <c r="E134" s="148">
        <f>C134-C130</f>
        <v>0</v>
      </c>
      <c r="F134" s="18"/>
      <c r="G134" s="158">
        <f>'Joueurs et TirageV'!R38</f>
        <v>0</v>
      </c>
      <c r="H134" s="131"/>
      <c r="I134" s="26">
        <f>IF(H130+H134=0,0,IF(H130=H134,2,IF(H130&lt;H134,3,1)))</f>
        <v>0</v>
      </c>
      <c r="J134" s="163">
        <f>H134-H130</f>
        <v>0</v>
      </c>
      <c r="K134" s="18"/>
      <c r="L134" s="181">
        <f>'Joueurs et TirageV'!U38</f>
        <v>0</v>
      </c>
      <c r="M134" s="29"/>
      <c r="N134" s="26">
        <f>IF(M130+M134=0,0,IF(M130=M134,2,IF(M130&lt;M134,3,1)))</f>
        <v>0</v>
      </c>
      <c r="O134" s="184">
        <f>M134-M130</f>
        <v>0</v>
      </c>
      <c r="Q134" s="202">
        <f>'Joueurs et TirageV'!X38</f>
        <v>0</v>
      </c>
      <c r="R134" s="30"/>
      <c r="S134" s="26">
        <f>IF(R130+R134=0,0,IF(R130=R134,2,IF(R130&lt;R134,3,1)))</f>
        <v>0</v>
      </c>
      <c r="T134" s="207">
        <f>R134-R130</f>
        <v>0</v>
      </c>
      <c r="V134" s="217">
        <f>'Joueurs et TirageV'!AA38</f>
        <v>0</v>
      </c>
      <c r="W134" s="31"/>
      <c r="X134" s="26">
        <f>IF(W130+W134=0,0,IF(W130=W134,2,IF(W130&lt;W134,3,1)))</f>
        <v>0</v>
      </c>
      <c r="Y134" s="163">
        <f>W134-W130</f>
        <v>0</v>
      </c>
      <c r="AA134" s="239">
        <f>'Joueurs et TirageV'!AD38</f>
        <v>0</v>
      </c>
      <c r="AB134" s="32"/>
      <c r="AC134" s="26">
        <f>IF(AB130+AB134=0,0,IF(AB130=AB134,2,IF(AB130&lt;AB134,3,1)))</f>
        <v>0</v>
      </c>
      <c r="AD134" s="226">
        <f>AB134-AB130</f>
        <v>0</v>
      </c>
    </row>
    <row r="135" spans="1:30" ht="16.5" thickBot="1">
      <c r="A135" s="133">
        <v>32</v>
      </c>
      <c r="B135" s="143">
        <f>'Joueurs et TirageV'!P38</f>
        <v>0</v>
      </c>
      <c r="C135" s="47">
        <f>IF(ISTEXT(B135),C134,0)</f>
        <v>0</v>
      </c>
      <c r="D135" s="13">
        <f>IF(ISTEXT(B135),D134,0)</f>
        <v>0</v>
      </c>
      <c r="E135" s="149">
        <f>IF(ISTEXT(B135),E134,0)</f>
        <v>0</v>
      </c>
      <c r="F135" s="10"/>
      <c r="G135" s="158">
        <f>'Joueurs et TirageV'!S38</f>
        <v>0</v>
      </c>
      <c r="H135" s="47">
        <f>IF(ISTEXT(G135),H134,0)</f>
        <v>0</v>
      </c>
      <c r="I135" s="13">
        <f>IF(ISTEXT(G135),I134,0)</f>
        <v>0</v>
      </c>
      <c r="J135" s="164">
        <f>IF(ISTEXT(G135),J134,0)</f>
        <v>0</v>
      </c>
      <c r="K135" s="10"/>
      <c r="L135" s="181">
        <f>'Joueurs et TirageV'!V38</f>
        <v>0</v>
      </c>
      <c r="M135" s="47">
        <f>IF(ISTEXT(L135),M134,0)</f>
        <v>0</v>
      </c>
      <c r="N135" s="13">
        <f>IF(ISTEXT(L135),N134,0)</f>
        <v>0</v>
      </c>
      <c r="O135" s="185">
        <f>IF(ISTEXT(L135),O134,0)</f>
        <v>0</v>
      </c>
      <c r="P135" s="9"/>
      <c r="Q135" s="202">
        <f>'Joueurs et TirageV'!Y38</f>
        <v>0</v>
      </c>
      <c r="R135" s="47">
        <f>IF(ISTEXT(Q135),R134,0)</f>
        <v>0</v>
      </c>
      <c r="S135" s="13">
        <f>IF(ISTEXT(Q135),S134,0)</f>
        <v>0</v>
      </c>
      <c r="T135" s="208">
        <f>IF(ISTEXT(Q135),T134,0)</f>
        <v>0</v>
      </c>
      <c r="U135" s="9"/>
      <c r="V135" s="217">
        <f>'Joueurs et TirageV'!AB38</f>
        <v>0</v>
      </c>
      <c r="W135" s="47">
        <f>IF(ISTEXT(V135),W134,0)</f>
        <v>0</v>
      </c>
      <c r="X135" s="13">
        <f>IF(ISTEXT(V135),X134,0)</f>
        <v>0</v>
      </c>
      <c r="Y135" s="164">
        <f>IF(ISTEXT(V135),Y134,0)</f>
        <v>0</v>
      </c>
      <c r="Z135" s="9"/>
      <c r="AA135" s="239">
        <f>'Joueurs et TirageV'!AE38</f>
        <v>0</v>
      </c>
      <c r="AB135" s="47">
        <f>IF(ISTEXT(AA135),AB134,0)</f>
        <v>0</v>
      </c>
      <c r="AC135" s="13">
        <f>IF(ISTEXT(AA135),AC134,0)</f>
        <v>0</v>
      </c>
      <c r="AD135" s="227">
        <f>IF(ISTEXT(AA135),AD134,0)</f>
        <v>0</v>
      </c>
    </row>
    <row r="136" spans="1:30" ht="16.5" thickBot="1">
      <c r="A136" s="133"/>
      <c r="B136" s="150">
        <f>+'Joueurs et TirageV'!Q38</f>
        <v>0</v>
      </c>
      <c r="C136" s="151">
        <f>IF(ISTEXT(B136),C134,0)</f>
        <v>0</v>
      </c>
      <c r="D136" s="152">
        <f>IF(ISTEXT(B136),D134,0)</f>
        <v>0</v>
      </c>
      <c r="E136" s="153">
        <f>IF(ISTEXT(B136),E134,0)</f>
        <v>0</v>
      </c>
      <c r="F136" s="10"/>
      <c r="G136" s="165">
        <f>+'Joueurs et TirageV'!T50</f>
        <v>0</v>
      </c>
      <c r="H136" s="166">
        <f>IF(ISTEXT(G136),H134,0)</f>
        <v>0</v>
      </c>
      <c r="I136" s="167">
        <f>IF(ISTEXT(G136),I134,0)</f>
        <v>0</v>
      </c>
      <c r="J136" s="168">
        <f>IF(ISTEXT(G136),J134,0)</f>
        <v>0</v>
      </c>
      <c r="K136" s="10"/>
      <c r="L136" s="186">
        <f>+'Joueurs et TirageV'!W38</f>
        <v>0</v>
      </c>
      <c r="M136" s="187">
        <f>IF(ISTEXT(L136),M134,0)</f>
        <v>0</v>
      </c>
      <c r="N136" s="188">
        <f>IF(ISTEXT(L136),N134,0)</f>
        <v>0</v>
      </c>
      <c r="O136" s="189">
        <f>IF(ISTEXT(L136),O134,0)</f>
        <v>0</v>
      </c>
      <c r="P136" s="9"/>
      <c r="Q136" s="209">
        <f>+'Joueurs et TirageV'!Z38</f>
        <v>0</v>
      </c>
      <c r="R136" s="210">
        <f>IF(ISTEXT(Q136),R134,0)</f>
        <v>0</v>
      </c>
      <c r="S136" s="211">
        <f>IF(ISTEXT(Q136),S134,0)</f>
        <v>0</v>
      </c>
      <c r="T136" s="212">
        <f>IF(ISTEXT(Q136),T134,0)</f>
        <v>0</v>
      </c>
      <c r="U136" s="9"/>
      <c r="V136" s="218">
        <f>+'Joueurs et TirageV'!AC38</f>
        <v>0</v>
      </c>
      <c r="W136" s="166">
        <f>IF(ISTEXT(V136),W134,0)</f>
        <v>0</v>
      </c>
      <c r="X136" s="167">
        <f>IF(ISTEXT(V136),X134,0)</f>
        <v>0</v>
      </c>
      <c r="Y136" s="168">
        <f>IF(ISTEXT(V136),Y134,0)</f>
        <v>0</v>
      </c>
      <c r="Z136" s="9"/>
      <c r="AA136" s="240">
        <f>+'Joueurs et TirageV'!AF38</f>
        <v>0</v>
      </c>
      <c r="AB136" s="229">
        <f>IF(ISTEXT(AA136),AB134,0)</f>
        <v>0</v>
      </c>
      <c r="AC136" s="230">
        <f>IF(ISTEXT(AA136),AC134,0)</f>
        <v>0</v>
      </c>
      <c r="AD136" s="231">
        <f>IF(ISTEXT(AA136),AD134,0)</f>
        <v>0</v>
      </c>
    </row>
    <row r="137" spans="1:30" ht="17.25" thickTop="1" thickBot="1">
      <c r="A137" s="133"/>
      <c r="B137" s="12"/>
      <c r="C137" s="278"/>
      <c r="D137" s="12"/>
      <c r="E137" s="10"/>
      <c r="F137" s="10"/>
      <c r="G137" s="12"/>
      <c r="H137" s="10"/>
      <c r="I137" s="12"/>
      <c r="J137" s="10"/>
      <c r="K137" s="10"/>
      <c r="L137" s="12"/>
      <c r="M137" s="10"/>
      <c r="N137" s="12"/>
      <c r="O137" s="10"/>
      <c r="P137" s="9"/>
      <c r="Q137" s="12"/>
      <c r="R137" s="10"/>
      <c r="S137" s="12"/>
      <c r="T137" s="10"/>
      <c r="U137" s="9"/>
      <c r="V137" s="10"/>
      <c r="W137" s="10"/>
      <c r="X137" s="12"/>
      <c r="Y137" s="10"/>
      <c r="Z137" s="9"/>
      <c r="AA137" s="10"/>
      <c r="AB137" s="10"/>
      <c r="AC137" s="12"/>
      <c r="AD137" s="10"/>
    </row>
    <row r="138" spans="1:30" ht="16.5" thickTop="1">
      <c r="A138" s="133"/>
      <c r="B138" s="139">
        <f>'Joueurs et TirageV'!O39</f>
        <v>0</v>
      </c>
      <c r="C138" s="140">
        <v>0</v>
      </c>
      <c r="D138" s="141">
        <f>IF(C138+C142=0,0,IF(C138=C142,2,IF(C138&gt;C142,3,1)))</f>
        <v>0</v>
      </c>
      <c r="E138" s="142">
        <f>C138-C142</f>
        <v>0</v>
      </c>
      <c r="F138" s="18"/>
      <c r="G138" s="154">
        <f>'Joueurs et TirageV'!R39</f>
        <v>0</v>
      </c>
      <c r="H138" s="155"/>
      <c r="I138" s="156">
        <f>IF(H138+H142=0,0,IF(H138=H142,2,IF(H138&gt;H142,3,1)))</f>
        <v>0</v>
      </c>
      <c r="J138" s="157">
        <f>H138-H142</f>
        <v>0</v>
      </c>
      <c r="K138" s="18"/>
      <c r="L138" s="177">
        <f>'Joueurs et TirageV'!U39</f>
        <v>0</v>
      </c>
      <c r="M138" s="178"/>
      <c r="N138" s="179">
        <f>IF(M138+M142=0,0,IF(M138=M142,2,IF(M138&gt;M142,3,1)))</f>
        <v>0</v>
      </c>
      <c r="O138" s="180">
        <f>M138-M142</f>
        <v>0</v>
      </c>
      <c r="Q138" s="198">
        <f>'Joueurs et TirageV'!X39</f>
        <v>0</v>
      </c>
      <c r="R138" s="199"/>
      <c r="S138" s="200">
        <f>IF(R138+R142=0,0,IF(R138=R142,2,IF(R138&gt;R142,3,1)))</f>
        <v>0</v>
      </c>
      <c r="T138" s="201">
        <f>R138-R142</f>
        <v>0</v>
      </c>
      <c r="V138" s="213">
        <f>'Joueurs et TirageV'!AA39</f>
        <v>0</v>
      </c>
      <c r="W138" s="214"/>
      <c r="X138" s="156">
        <f>IF(W138+W142=0,0,IF(W138=W142,2,IF(W138&gt;W142,3,1)))</f>
        <v>0</v>
      </c>
      <c r="Y138" s="157">
        <f>W138-W142</f>
        <v>0</v>
      </c>
      <c r="AA138" s="236">
        <f>'Joueurs et TirageV'!AD39</f>
        <v>0</v>
      </c>
      <c r="AB138" s="220"/>
      <c r="AC138" s="221">
        <f>IF(AB138+AB142=0,0,IF(AB138=AB142,2,IF(AB138&gt;AB142,3,1)))</f>
        <v>0</v>
      </c>
      <c r="AD138" s="222">
        <f>AB138-AB142</f>
        <v>0</v>
      </c>
    </row>
    <row r="139" spans="1:30" ht="16.5" thickBot="1">
      <c r="A139" s="133">
        <v>33</v>
      </c>
      <c r="B139" s="143">
        <f>'Joueurs et TirageV'!P39</f>
        <v>0</v>
      </c>
      <c r="C139" s="129">
        <f>IF(ISTEXT(B139),C138,0)</f>
        <v>0</v>
      </c>
      <c r="D139" s="130">
        <f>IF(ISTEXT(B139),D138,0)</f>
        <v>0</v>
      </c>
      <c r="E139" s="144">
        <f>IF(ISTEXT(B139),E138,0)</f>
        <v>0</v>
      </c>
      <c r="F139" s="18"/>
      <c r="G139" s="158">
        <f>'Joueurs et TirageV'!S39</f>
        <v>0</v>
      </c>
      <c r="H139" s="129">
        <f>IF(ISTEXT(G139),H138,0)</f>
        <v>0</v>
      </c>
      <c r="I139" s="130">
        <f>IF(ISTEXT(G139),I138,0)</f>
        <v>0</v>
      </c>
      <c r="J139" s="159">
        <f>IF(ISTEXT(G139),J138,0)</f>
        <v>0</v>
      </c>
      <c r="K139" s="18"/>
      <c r="L139" s="181">
        <f>'Joueurs et TirageV'!V39</f>
        <v>0</v>
      </c>
      <c r="M139" s="129">
        <f>IF(ISTEXT(L139),M138,0)</f>
        <v>0</v>
      </c>
      <c r="N139" s="130">
        <f>IF(ISTEXT(L139),N138,0)</f>
        <v>0</v>
      </c>
      <c r="O139" s="182">
        <f>IF(ISTEXT(L139),O138,0)</f>
        <v>0</v>
      </c>
      <c r="Q139" s="202">
        <f>'Joueurs et TirageV'!Y39</f>
        <v>0</v>
      </c>
      <c r="R139" s="129">
        <f>IF(ISTEXT(Q139),R138,0)</f>
        <v>0</v>
      </c>
      <c r="S139" s="130">
        <f>IF(ISTEXT(Q139),S138,0)</f>
        <v>0</v>
      </c>
      <c r="T139" s="203">
        <f>IF(ISTEXT(Q139),T138,0)</f>
        <v>0</v>
      </c>
      <c r="V139" s="217">
        <f>'Joueurs et TirageV'!AB39</f>
        <v>0</v>
      </c>
      <c r="W139" s="129">
        <f>IF(ISTEXT(V139),W138,0)</f>
        <v>0</v>
      </c>
      <c r="X139" s="130">
        <f>IF(ISTEXT(V139),X138,0)</f>
        <v>0</v>
      </c>
      <c r="Y139" s="159">
        <f>IF(ISTEXT(V139),Y138,0)</f>
        <v>0</v>
      </c>
      <c r="AA139" s="239">
        <f>'Joueurs et TirageV'!AE39</f>
        <v>0</v>
      </c>
      <c r="AB139" s="129">
        <f>IF(ISTEXT(AA139),AB138,0)</f>
        <v>0</v>
      </c>
      <c r="AC139" s="130">
        <f>IF(ISTEXT(AA139),AC138,0)</f>
        <v>0</v>
      </c>
      <c r="AD139" s="224">
        <f>IF(ISTEXT(AA139),AD138,0)</f>
        <v>0</v>
      </c>
    </row>
    <row r="140" spans="1:30">
      <c r="A140" s="133"/>
      <c r="B140" s="143">
        <f>+'Joueurs et TirageV'!Q39</f>
        <v>0</v>
      </c>
      <c r="C140" s="127">
        <f>IF(ISTEXT(B140),C138,0)</f>
        <v>0</v>
      </c>
      <c r="D140" s="128">
        <f>IF(ISTEXT(B140),D138,0)</f>
        <v>0</v>
      </c>
      <c r="E140" s="145">
        <f>IF(ISTEXT(B140),E138,0)</f>
        <v>0</v>
      </c>
      <c r="F140" s="18"/>
      <c r="G140" s="158">
        <f>+'Joueurs et TirageV'!T39</f>
        <v>0</v>
      </c>
      <c r="H140" s="25">
        <f>IF(ISTEXT(G140),H138,0)</f>
        <v>0</v>
      </c>
      <c r="I140" s="26">
        <f>IF(ISTEXT(G140),I138,0)</f>
        <v>0</v>
      </c>
      <c r="J140" s="160">
        <f>IF(ISTEXT(G140),J138,0)</f>
        <v>0</v>
      </c>
      <c r="K140" s="18"/>
      <c r="L140" s="181">
        <f>+'Joueurs et TirageV'!W39</f>
        <v>0</v>
      </c>
      <c r="M140" s="11">
        <f>IF(ISTEXT(L140),M138,0)</f>
        <v>0</v>
      </c>
      <c r="N140" s="26">
        <f>IF(ISTEXT(L140),N138,0)</f>
        <v>0</v>
      </c>
      <c r="O140" s="183">
        <f>IF(ISTEXT(L140),O138,0)</f>
        <v>0</v>
      </c>
      <c r="Q140" s="202">
        <f>+'Joueurs et TirageV'!Z39</f>
        <v>0</v>
      </c>
      <c r="R140" s="11">
        <f>IF(ISTEXT(Q140),R138,0)</f>
        <v>0</v>
      </c>
      <c r="S140" s="26">
        <f>IF(ISTEXT(Q140),S138,0)</f>
        <v>0</v>
      </c>
      <c r="T140" s="204">
        <f>IF(ISTEXT(Q140),T138,0)</f>
        <v>0</v>
      </c>
      <c r="V140" s="217">
        <f>+'Joueurs et TirageV'!AC39</f>
        <v>0</v>
      </c>
      <c r="W140" s="11">
        <f>IF(ISTEXT(V140),W138,0)</f>
        <v>0</v>
      </c>
      <c r="X140" s="26">
        <f>IF(ISTEXT(V140),X138,0)</f>
        <v>0</v>
      </c>
      <c r="Y140" s="160">
        <f>IF(ISTEXT(V140),Y138,0)</f>
        <v>0</v>
      </c>
      <c r="AA140" s="239">
        <f>+'Joueurs et TirageV'!AF39</f>
        <v>0</v>
      </c>
      <c r="AB140" s="11">
        <f>IF(ISTEXT(AA140),AB138,0)</f>
        <v>0</v>
      </c>
      <c r="AC140" s="26">
        <f>IF(ISTEXT(AA140),AC138,0)</f>
        <v>0</v>
      </c>
      <c r="AD140" s="225">
        <f>IF(ISTEXT(AA140),AD138,0)</f>
        <v>0</v>
      </c>
    </row>
    <row r="141" spans="1:30">
      <c r="A141" s="133"/>
      <c r="B141" s="146"/>
      <c r="C141" s="137" t="s">
        <v>8</v>
      </c>
      <c r="D141" s="138"/>
      <c r="E141" s="147"/>
      <c r="F141" s="19"/>
      <c r="G141" s="169"/>
      <c r="H141" s="170" t="s">
        <v>8</v>
      </c>
      <c r="I141" s="171"/>
      <c r="J141" s="172"/>
      <c r="K141" s="19"/>
      <c r="L141" s="190"/>
      <c r="M141" s="191" t="s">
        <v>8</v>
      </c>
      <c r="N141" s="192"/>
      <c r="O141" s="193"/>
      <c r="P141" s="23"/>
      <c r="Q141" s="205"/>
      <c r="R141" s="196" t="s">
        <v>8</v>
      </c>
      <c r="S141" s="197"/>
      <c r="T141" s="206"/>
      <c r="U141" s="23"/>
      <c r="V141" s="215"/>
      <c r="W141" s="194" t="s">
        <v>8</v>
      </c>
      <c r="X141" s="195"/>
      <c r="Y141" s="216"/>
      <c r="Z141" s="23"/>
      <c r="AA141" s="232"/>
      <c r="AB141" s="233" t="s">
        <v>8</v>
      </c>
      <c r="AC141" s="234"/>
      <c r="AD141" s="235"/>
    </row>
    <row r="142" spans="1:30">
      <c r="A142" s="133"/>
      <c r="B142" s="143">
        <f>'Joueurs et TirageV'!O40</f>
        <v>0</v>
      </c>
      <c r="C142" s="28"/>
      <c r="D142" s="26">
        <f>IF(C138+C142=0,0,IF(C138=C142,2,IF(C138&lt;C142,3,1)))</f>
        <v>0</v>
      </c>
      <c r="E142" s="148">
        <f>C142-C138</f>
        <v>0</v>
      </c>
      <c r="F142" s="18"/>
      <c r="G142" s="158">
        <f>'Joueurs et TirageV'!R40</f>
        <v>0</v>
      </c>
      <c r="H142" s="131"/>
      <c r="I142" s="26">
        <f>IF(H138+H142=0,0,IF(H138=H142,2,IF(H138&lt;H142,3,1)))</f>
        <v>0</v>
      </c>
      <c r="J142" s="163">
        <f>H142-H138</f>
        <v>0</v>
      </c>
      <c r="K142" s="18"/>
      <c r="L142" s="181">
        <f>'Joueurs et TirageV'!U40</f>
        <v>0</v>
      </c>
      <c r="M142" s="29"/>
      <c r="N142" s="26">
        <f>IF(M138+M142=0,0,IF(M138=M142,2,IF(M138&lt;M142,3,1)))</f>
        <v>0</v>
      </c>
      <c r="O142" s="184">
        <f>M142-M138</f>
        <v>0</v>
      </c>
      <c r="Q142" s="202">
        <f>'Joueurs et TirageV'!X40</f>
        <v>0</v>
      </c>
      <c r="R142" s="30"/>
      <c r="S142" s="26">
        <f>IF(R138+R142=0,0,IF(R138=R142,2,IF(R138&lt;R142,3,1)))</f>
        <v>0</v>
      </c>
      <c r="T142" s="207">
        <f>R142-R138</f>
        <v>0</v>
      </c>
      <c r="V142" s="217">
        <f>'Joueurs et TirageV'!AA40</f>
        <v>0</v>
      </c>
      <c r="W142" s="31"/>
      <c r="X142" s="26">
        <f>IF(W138+W142=0,0,IF(W138=W142,2,IF(W138&lt;W142,3,1)))</f>
        <v>0</v>
      </c>
      <c r="Y142" s="163">
        <f>W142-W138</f>
        <v>0</v>
      </c>
      <c r="AA142" s="239">
        <f>'Joueurs et TirageV'!AD40</f>
        <v>0</v>
      </c>
      <c r="AB142" s="32"/>
      <c r="AC142" s="26">
        <f>IF(AB138+AB142=0,0,IF(AB138=AB142,2,IF(AB138&lt;AB142,3,1)))</f>
        <v>0</v>
      </c>
      <c r="AD142" s="226">
        <f>AB142-AB138</f>
        <v>0</v>
      </c>
    </row>
    <row r="143" spans="1:30" ht="16.5" thickBot="1">
      <c r="A143" s="133">
        <v>34</v>
      </c>
      <c r="B143" s="143">
        <f>'Joueurs et TirageV'!P40</f>
        <v>0</v>
      </c>
      <c r="C143" s="47">
        <f>IF(ISTEXT(B143),C142,0)</f>
        <v>0</v>
      </c>
      <c r="D143" s="13">
        <f>IF(ISTEXT(B143),D142,0)</f>
        <v>0</v>
      </c>
      <c r="E143" s="149">
        <f>IF(ISTEXT(B143),E142,0)</f>
        <v>0</v>
      </c>
      <c r="F143" s="10"/>
      <c r="G143" s="158">
        <f>'Joueurs et TirageV'!S40</f>
        <v>0</v>
      </c>
      <c r="H143" s="47">
        <f>IF(ISTEXT(G143),H142,0)</f>
        <v>0</v>
      </c>
      <c r="I143" s="13">
        <f>IF(ISTEXT(G143),I142,0)</f>
        <v>0</v>
      </c>
      <c r="J143" s="164">
        <f>IF(ISTEXT(G143),J142,0)</f>
        <v>0</v>
      </c>
      <c r="K143" s="10"/>
      <c r="L143" s="181">
        <f>'Joueurs et TirageV'!V40</f>
        <v>0</v>
      </c>
      <c r="M143" s="47">
        <f>IF(ISTEXT(L143),M142,0)</f>
        <v>0</v>
      </c>
      <c r="N143" s="13">
        <f>IF(ISTEXT(L143),N142,0)</f>
        <v>0</v>
      </c>
      <c r="O143" s="185">
        <f>IF(ISTEXT(L143),O142,0)</f>
        <v>0</v>
      </c>
      <c r="P143" s="9"/>
      <c r="Q143" s="202">
        <f>'Joueurs et TirageV'!Y40</f>
        <v>0</v>
      </c>
      <c r="R143" s="47">
        <f>IF(ISTEXT(Q143),R142,0)</f>
        <v>0</v>
      </c>
      <c r="S143" s="13">
        <f>IF(ISTEXT(Q143),S142,0)</f>
        <v>0</v>
      </c>
      <c r="T143" s="208">
        <f>IF(ISTEXT(Q143),T142,0)</f>
        <v>0</v>
      </c>
      <c r="U143" s="9"/>
      <c r="V143" s="217">
        <f>'Joueurs et TirageV'!AB40</f>
        <v>0</v>
      </c>
      <c r="W143" s="47">
        <f>IF(ISTEXT(V143),W142,0)</f>
        <v>0</v>
      </c>
      <c r="X143" s="13">
        <f>IF(ISTEXT(V143),X142,0)</f>
        <v>0</v>
      </c>
      <c r="Y143" s="164">
        <f>IF(ISTEXT(V143),Y142,0)</f>
        <v>0</v>
      </c>
      <c r="Z143" s="9"/>
      <c r="AA143" s="239">
        <f>'Joueurs et TirageV'!AE40</f>
        <v>0</v>
      </c>
      <c r="AB143" s="47">
        <f>IF(ISTEXT(AA143),AB142,0)</f>
        <v>0</v>
      </c>
      <c r="AC143" s="13">
        <f>IF(ISTEXT(AA143),AC142,0)</f>
        <v>0</v>
      </c>
      <c r="AD143" s="227">
        <f>IF(ISTEXT(AA143),AD142,0)</f>
        <v>0</v>
      </c>
    </row>
    <row r="144" spans="1:30" ht="16.5" thickBot="1">
      <c r="A144" s="133"/>
      <c r="B144" s="150">
        <f>+'Joueurs et TirageV'!Q40</f>
        <v>0</v>
      </c>
      <c r="C144" s="151">
        <f>IF(ISTEXT(B144),C142,0)</f>
        <v>0</v>
      </c>
      <c r="D144" s="152">
        <f>IF(ISTEXT(B144),D142,0)</f>
        <v>0</v>
      </c>
      <c r="E144" s="153">
        <f>IF(ISTEXT(B144),E142,0)</f>
        <v>0</v>
      </c>
      <c r="F144" s="10"/>
      <c r="G144" s="165">
        <f>+'Joueurs et TirageV'!T40</f>
        <v>0</v>
      </c>
      <c r="H144" s="166">
        <f>IF(ISTEXT(G144),H142,0)</f>
        <v>0</v>
      </c>
      <c r="I144" s="167">
        <f>IF(ISTEXT(G144),I142,0)</f>
        <v>0</v>
      </c>
      <c r="J144" s="168">
        <f>IF(ISTEXT(G144),J142,0)</f>
        <v>0</v>
      </c>
      <c r="K144" s="10"/>
      <c r="L144" s="186">
        <f>+'Joueurs et TirageV'!W40</f>
        <v>0</v>
      </c>
      <c r="M144" s="187">
        <f>IF(ISTEXT(L144),M142,0)</f>
        <v>0</v>
      </c>
      <c r="N144" s="188">
        <f>IF(ISTEXT(L144),N142,0)</f>
        <v>0</v>
      </c>
      <c r="O144" s="189">
        <f>IF(ISTEXT(L144),O142,0)</f>
        <v>0</v>
      </c>
      <c r="P144" s="9"/>
      <c r="Q144" s="209">
        <f>+'Joueurs et TirageV'!Z40</f>
        <v>0</v>
      </c>
      <c r="R144" s="210">
        <f>IF(ISTEXT(Q144),R142,0)</f>
        <v>0</v>
      </c>
      <c r="S144" s="211">
        <f>IF(ISTEXT(Q144),S142,0)</f>
        <v>0</v>
      </c>
      <c r="T144" s="212">
        <f>IF(ISTEXT(Q144),T142,0)</f>
        <v>0</v>
      </c>
      <c r="U144" s="9"/>
      <c r="V144" s="218">
        <f>+'Joueurs et TirageV'!AC40</f>
        <v>0</v>
      </c>
      <c r="W144" s="166">
        <f>IF(ISTEXT(V144),W142,0)</f>
        <v>0</v>
      </c>
      <c r="X144" s="167">
        <f>IF(ISTEXT(V144),X142,0)</f>
        <v>0</v>
      </c>
      <c r="Y144" s="168">
        <f>IF(ISTEXT(V144),Y142,0)</f>
        <v>0</v>
      </c>
      <c r="Z144" s="9"/>
      <c r="AA144" s="240">
        <f>+'Joueurs et TirageV'!AF40</f>
        <v>0</v>
      </c>
      <c r="AB144" s="229">
        <f>IF(ISTEXT(AA144),AB142,0)</f>
        <v>0</v>
      </c>
      <c r="AC144" s="230">
        <f>IF(ISTEXT(AA144),AC142,0)</f>
        <v>0</v>
      </c>
      <c r="AD144" s="231">
        <f>IF(ISTEXT(AA144),AD142,0)</f>
        <v>0</v>
      </c>
    </row>
    <row r="145" spans="1:30" ht="17.25" thickTop="1" thickBot="1">
      <c r="A145" s="133"/>
      <c r="B145" s="12"/>
      <c r="C145" s="278"/>
      <c r="D145" s="12"/>
      <c r="E145" s="10"/>
      <c r="F145" s="10"/>
      <c r="G145" s="12"/>
      <c r="H145" s="10"/>
      <c r="I145" s="12"/>
      <c r="J145" s="10"/>
      <c r="K145" s="10"/>
      <c r="L145" s="12"/>
      <c r="M145" s="10"/>
      <c r="N145" s="12"/>
      <c r="O145" s="10"/>
      <c r="P145" s="9"/>
      <c r="Q145" s="12"/>
      <c r="R145" s="10"/>
      <c r="S145" s="12"/>
      <c r="T145" s="10"/>
      <c r="U145" s="9"/>
      <c r="V145" s="10"/>
      <c r="W145" s="10"/>
      <c r="X145" s="12"/>
      <c r="Y145" s="10"/>
      <c r="Z145" s="9"/>
      <c r="AA145" s="10"/>
      <c r="AB145" s="10"/>
      <c r="AC145" s="12"/>
      <c r="AD145" s="10"/>
    </row>
    <row r="146" spans="1:30" ht="16.5" thickTop="1">
      <c r="A146" s="62"/>
      <c r="B146" s="139">
        <f>'Joueurs et TirageV'!O41</f>
        <v>0</v>
      </c>
      <c r="C146" s="140"/>
      <c r="D146" s="141">
        <f>IF(C146+C150=0,0,IF(C146=C150,2,IF(C146&gt;C150,3,1)))</f>
        <v>0</v>
      </c>
      <c r="E146" s="142">
        <f>C146-C150</f>
        <v>0</v>
      </c>
      <c r="F146" s="18"/>
      <c r="G146" s="154">
        <f>'Joueurs et TirageV'!R41</f>
        <v>0</v>
      </c>
      <c r="H146" s="155"/>
      <c r="I146" s="156">
        <f>IF(H146+H150=0,0,IF(H146=H150,2,IF(H146&gt;H150,3,1)))</f>
        <v>0</v>
      </c>
      <c r="J146" s="157">
        <f>H146-H150</f>
        <v>0</v>
      </c>
      <c r="K146" s="18"/>
      <c r="L146" s="177">
        <f>'Joueurs et TirageV'!U41</f>
        <v>0</v>
      </c>
      <c r="M146" s="178"/>
      <c r="N146" s="179">
        <f>IF(M146+M150=0,0,IF(M146=M150,2,IF(M146&gt;M150,3,1)))</f>
        <v>0</v>
      </c>
      <c r="O146" s="180">
        <f>M146-M150</f>
        <v>0</v>
      </c>
      <c r="Q146" s="198">
        <f>'Joueurs et TirageV'!X41</f>
        <v>0</v>
      </c>
      <c r="R146" s="199"/>
      <c r="S146" s="200">
        <f>IF(R146+R150=0,0,IF(R146=R150,2,IF(R146&gt;R150,3,1)))</f>
        <v>0</v>
      </c>
      <c r="T146" s="201">
        <f>R146-R150</f>
        <v>0</v>
      </c>
      <c r="V146" s="213">
        <f>'Joueurs et TirageV'!AA41</f>
        <v>0</v>
      </c>
      <c r="W146" s="214"/>
      <c r="X146" s="156">
        <f>IF(W146+W150=0,0,IF(W146=W150,2,IF(W146&gt;W150,3,1)))</f>
        <v>0</v>
      </c>
      <c r="Y146" s="157">
        <f>W146-W150</f>
        <v>0</v>
      </c>
      <c r="AA146" s="236">
        <f>'Joueurs et TirageV'!AD41</f>
        <v>0</v>
      </c>
      <c r="AB146" s="220"/>
      <c r="AC146" s="221">
        <f>IF(AB146+AB150=0,0,IF(AB146=AB150,2,IF(AB146&gt;AB150,3,1)))</f>
        <v>0</v>
      </c>
      <c r="AD146" s="222">
        <f>AB146-AB150</f>
        <v>0</v>
      </c>
    </row>
    <row r="147" spans="1:30" ht="16.5" thickBot="1">
      <c r="A147" s="62">
        <v>35</v>
      </c>
      <c r="B147" s="143">
        <f>'Joueurs et TirageV'!P41</f>
        <v>0</v>
      </c>
      <c r="C147" s="129">
        <f>IF(ISTEXT(B147),C146,0)</f>
        <v>0</v>
      </c>
      <c r="D147" s="130">
        <f>IF(ISTEXT(B147),D146,0)</f>
        <v>0</v>
      </c>
      <c r="E147" s="144">
        <f>IF(ISTEXT(B147),E146,0)</f>
        <v>0</v>
      </c>
      <c r="F147" s="18"/>
      <c r="G147" s="158">
        <f>'Joueurs et TirageV'!S41</f>
        <v>0</v>
      </c>
      <c r="H147" s="129">
        <f>IF(ISTEXT(G147),H146,0)</f>
        <v>0</v>
      </c>
      <c r="I147" s="130">
        <f>IF(ISTEXT(G147),I146,0)</f>
        <v>0</v>
      </c>
      <c r="J147" s="159">
        <f>IF(ISTEXT(G147),J146,0)</f>
        <v>0</v>
      </c>
      <c r="K147" s="18"/>
      <c r="L147" s="181">
        <f>'Joueurs et TirageV'!V41</f>
        <v>0</v>
      </c>
      <c r="M147" s="129">
        <f>IF(ISTEXT(L147),M146,0)</f>
        <v>0</v>
      </c>
      <c r="N147" s="130">
        <f>IF(ISTEXT(L147),N146,0)</f>
        <v>0</v>
      </c>
      <c r="O147" s="182">
        <f>IF(ISTEXT(L147),O146,0)</f>
        <v>0</v>
      </c>
      <c r="Q147" s="202">
        <f>'Joueurs et TirageV'!Y41</f>
        <v>0</v>
      </c>
      <c r="R147" s="129">
        <f>IF(ISTEXT(Q147),R146,0)</f>
        <v>0</v>
      </c>
      <c r="S147" s="130">
        <f>IF(ISTEXT(Q147),S146,0)</f>
        <v>0</v>
      </c>
      <c r="T147" s="203">
        <f>IF(ISTEXT(Q147),T146,0)</f>
        <v>0</v>
      </c>
      <c r="V147" s="217">
        <f>'Joueurs et TirageV'!AB41</f>
        <v>0</v>
      </c>
      <c r="W147" s="129">
        <f>IF(ISTEXT(V147),W146,0)</f>
        <v>0</v>
      </c>
      <c r="X147" s="130">
        <f>IF(ISTEXT(V147),X146,0)</f>
        <v>0</v>
      </c>
      <c r="Y147" s="159">
        <f>IF(ISTEXT(V147),Y146,0)</f>
        <v>0</v>
      </c>
      <c r="AA147" s="239">
        <f>'Joueurs et TirageV'!AE41</f>
        <v>0</v>
      </c>
      <c r="AB147" s="129">
        <f>IF(ISTEXT(AA147),AB146,0)</f>
        <v>0</v>
      </c>
      <c r="AC147" s="130">
        <f>IF(ISTEXT(AA147),AC146,0)</f>
        <v>0</v>
      </c>
      <c r="AD147" s="224">
        <f>IF(ISTEXT(AA147),AD146,0)</f>
        <v>0</v>
      </c>
    </row>
    <row r="148" spans="1:30">
      <c r="A148" s="62"/>
      <c r="B148" s="143">
        <f>+'Joueurs et TirageV'!Q41</f>
        <v>0</v>
      </c>
      <c r="C148" s="127">
        <f>IF(ISTEXT(B148),C146,0)</f>
        <v>0</v>
      </c>
      <c r="D148" s="128">
        <f>IF(ISTEXT(B148),D146,0)</f>
        <v>0</v>
      </c>
      <c r="E148" s="145">
        <f>IF(ISTEXT(B148),E146,0)</f>
        <v>0</v>
      </c>
      <c r="F148" s="18"/>
      <c r="G148" s="158">
        <f>+'Joueurs et TirageV'!T41</f>
        <v>0</v>
      </c>
      <c r="H148" s="25">
        <f>IF(ISTEXT(G148),H146,0)</f>
        <v>0</v>
      </c>
      <c r="I148" s="26">
        <f>IF(ISTEXT(G148),I146,0)</f>
        <v>0</v>
      </c>
      <c r="J148" s="160">
        <f>IF(ISTEXT(G148),J146,0)</f>
        <v>0</v>
      </c>
      <c r="K148" s="18"/>
      <c r="L148" s="181">
        <f>+'Joueurs et TirageV'!W41</f>
        <v>0</v>
      </c>
      <c r="M148" s="11">
        <f>IF(ISTEXT(L148),M146,0)</f>
        <v>0</v>
      </c>
      <c r="N148" s="26">
        <f>IF(ISTEXT(L148),N146,0)</f>
        <v>0</v>
      </c>
      <c r="O148" s="183">
        <f>IF(ISTEXT(L148),O146,0)</f>
        <v>0</v>
      </c>
      <c r="Q148" s="202">
        <f>+'Joueurs et TirageV'!Z41</f>
        <v>0</v>
      </c>
      <c r="R148" s="11">
        <f>IF(ISTEXT(Q148),R146,0)</f>
        <v>0</v>
      </c>
      <c r="S148" s="26">
        <f>IF(ISTEXT(Q148),S146,0)</f>
        <v>0</v>
      </c>
      <c r="T148" s="204">
        <f>IF(ISTEXT(Q148),T146,0)</f>
        <v>0</v>
      </c>
      <c r="V148" s="217">
        <f>+'Joueurs et TirageV'!AC41</f>
        <v>0</v>
      </c>
      <c r="W148" s="11">
        <f>IF(ISTEXT(V148),W146,0)</f>
        <v>0</v>
      </c>
      <c r="X148" s="26">
        <f>IF(ISTEXT(V148),X146,0)</f>
        <v>0</v>
      </c>
      <c r="Y148" s="160">
        <f>IF(ISTEXT(V148),Y146,0)</f>
        <v>0</v>
      </c>
      <c r="AA148" s="239">
        <f>+'Joueurs et TirageV'!AF41</f>
        <v>0</v>
      </c>
      <c r="AB148" s="11">
        <f>IF(ISTEXT(AA148),AB146,0)</f>
        <v>0</v>
      </c>
      <c r="AC148" s="26">
        <f>IF(ISTEXT(AA148),AC146,0)</f>
        <v>0</v>
      </c>
      <c r="AD148" s="225">
        <f>IF(ISTEXT(AA148),AD146,0)</f>
        <v>0</v>
      </c>
    </row>
    <row r="149" spans="1:30">
      <c r="A149" s="62"/>
      <c r="B149" s="146"/>
      <c r="C149" s="137" t="s">
        <v>8</v>
      </c>
      <c r="D149" s="138"/>
      <c r="E149" s="147"/>
      <c r="F149" s="19"/>
      <c r="G149" s="169"/>
      <c r="H149" s="170" t="s">
        <v>8</v>
      </c>
      <c r="I149" s="171"/>
      <c r="J149" s="172"/>
      <c r="K149" s="19"/>
      <c r="L149" s="190"/>
      <c r="M149" s="191" t="s">
        <v>8</v>
      </c>
      <c r="N149" s="192"/>
      <c r="O149" s="193"/>
      <c r="P149" s="23"/>
      <c r="Q149" s="205"/>
      <c r="R149" s="196" t="s">
        <v>8</v>
      </c>
      <c r="S149" s="197"/>
      <c r="T149" s="206"/>
      <c r="U149" s="23"/>
      <c r="V149" s="215"/>
      <c r="W149" s="194" t="s">
        <v>8</v>
      </c>
      <c r="X149" s="195"/>
      <c r="Y149" s="216"/>
      <c r="Z149" s="23"/>
      <c r="AA149" s="232"/>
      <c r="AB149" s="233" t="s">
        <v>8</v>
      </c>
      <c r="AC149" s="234"/>
      <c r="AD149" s="235"/>
    </row>
    <row r="150" spans="1:30">
      <c r="A150" s="62"/>
      <c r="B150" s="143">
        <f>'Joueurs et TirageV'!O42</f>
        <v>0</v>
      </c>
      <c r="C150" s="28"/>
      <c r="D150" s="26">
        <f>IF(C146+C150=0,0,IF(C146=C150,2,IF(C146&lt;C150,3,1)))</f>
        <v>0</v>
      </c>
      <c r="E150" s="148">
        <f>C150-C146</f>
        <v>0</v>
      </c>
      <c r="F150" s="18"/>
      <c r="G150" s="158">
        <f>'Joueurs et TirageV'!R42</f>
        <v>0</v>
      </c>
      <c r="H150" s="131"/>
      <c r="I150" s="26">
        <f>IF(H146+H150=0,0,IF(H146=H150,2,IF(H146&lt;H150,3,1)))</f>
        <v>0</v>
      </c>
      <c r="J150" s="163">
        <f>H150-H146</f>
        <v>0</v>
      </c>
      <c r="K150" s="18"/>
      <c r="L150" s="181">
        <f>'Joueurs et TirageV'!U42</f>
        <v>0</v>
      </c>
      <c r="M150" s="29"/>
      <c r="N150" s="26">
        <f>IF(M146+M150=0,0,IF(M146=M150,2,IF(M146&lt;M150,3,1)))</f>
        <v>0</v>
      </c>
      <c r="O150" s="184">
        <f>M150-M146</f>
        <v>0</v>
      </c>
      <c r="Q150" s="202">
        <f>'Joueurs et TirageV'!X42</f>
        <v>0</v>
      </c>
      <c r="R150" s="30"/>
      <c r="S150" s="26">
        <f>IF(R146+R150=0,0,IF(R146=R150,2,IF(R146&lt;R150,3,1)))</f>
        <v>0</v>
      </c>
      <c r="T150" s="207">
        <f>R150-R146</f>
        <v>0</v>
      </c>
      <c r="V150" s="217">
        <f>'Joueurs et TirageV'!AA42</f>
        <v>0</v>
      </c>
      <c r="W150" s="31"/>
      <c r="X150" s="26">
        <f>IF(W146+W150=0,0,IF(W146=W150,2,IF(W146&lt;W150,3,1)))</f>
        <v>0</v>
      </c>
      <c r="Y150" s="163">
        <f>W150-W146</f>
        <v>0</v>
      </c>
      <c r="AA150" s="239">
        <f>'Joueurs et TirageV'!AD42</f>
        <v>0</v>
      </c>
      <c r="AB150" s="32"/>
      <c r="AC150" s="26">
        <f>IF(AB146+AB150=0,0,IF(AB146=AB150,2,IF(AB146&lt;AB150,3,1)))</f>
        <v>0</v>
      </c>
      <c r="AD150" s="226">
        <f>AB150-AB146</f>
        <v>0</v>
      </c>
    </row>
    <row r="151" spans="1:30" ht="16.5" thickBot="1">
      <c r="A151" s="62">
        <v>36</v>
      </c>
      <c r="B151" s="143">
        <f>'Joueurs et TirageV'!P42</f>
        <v>0</v>
      </c>
      <c r="C151" s="47">
        <f>IF(ISTEXT(B151),C150,0)</f>
        <v>0</v>
      </c>
      <c r="D151" s="13">
        <f>IF(ISTEXT(B151),D150,0)</f>
        <v>0</v>
      </c>
      <c r="E151" s="149">
        <f>IF(ISTEXT(B151),E150,0)</f>
        <v>0</v>
      </c>
      <c r="F151" s="10"/>
      <c r="G151" s="158">
        <f>'Joueurs et TirageV'!S42</f>
        <v>0</v>
      </c>
      <c r="H151" s="47">
        <f>IF(ISTEXT(G151),H150,0)</f>
        <v>0</v>
      </c>
      <c r="I151" s="13">
        <f>IF(ISTEXT(G151),I150,0)</f>
        <v>0</v>
      </c>
      <c r="J151" s="164">
        <f>IF(ISTEXT(G151),J150,0)</f>
        <v>0</v>
      </c>
      <c r="K151" s="10"/>
      <c r="L151" s="181">
        <f>'Joueurs et TirageV'!V42</f>
        <v>0</v>
      </c>
      <c r="M151" s="47">
        <f>IF(ISTEXT(L151),M150,0)</f>
        <v>0</v>
      </c>
      <c r="N151" s="13">
        <f>IF(ISTEXT(L151),N150,0)</f>
        <v>0</v>
      </c>
      <c r="O151" s="185">
        <f>IF(ISTEXT(L151),O150,0)</f>
        <v>0</v>
      </c>
      <c r="P151" s="9"/>
      <c r="Q151" s="202">
        <f>'Joueurs et TirageV'!Y42</f>
        <v>0</v>
      </c>
      <c r="R151" s="47">
        <f>IF(ISTEXT(Q151),R150,0)</f>
        <v>0</v>
      </c>
      <c r="S151" s="13">
        <f>IF(ISTEXT(Q151),S150,0)</f>
        <v>0</v>
      </c>
      <c r="T151" s="208">
        <f>IF(ISTEXT(Q151),T150,0)</f>
        <v>0</v>
      </c>
      <c r="U151" s="9"/>
      <c r="V151" s="217">
        <f>'Joueurs et TirageV'!AB42</f>
        <v>0</v>
      </c>
      <c r="W151" s="47">
        <f>IF(ISTEXT(V151),W150,0)</f>
        <v>0</v>
      </c>
      <c r="X151" s="13">
        <f>IF(ISTEXT(V151),X150,0)</f>
        <v>0</v>
      </c>
      <c r="Y151" s="164">
        <f>IF(ISTEXT(V151),Y150,0)</f>
        <v>0</v>
      </c>
      <c r="Z151" s="9"/>
      <c r="AA151" s="239">
        <f>'Joueurs et TirageV'!AE42</f>
        <v>0</v>
      </c>
      <c r="AB151" s="47">
        <f>IF(ISTEXT(AA151),AB150,0)</f>
        <v>0</v>
      </c>
      <c r="AC151" s="13">
        <f>IF(ISTEXT(AA151),AC150,0)</f>
        <v>0</v>
      </c>
      <c r="AD151" s="227">
        <f>IF(ISTEXT(AA151),AD150,0)</f>
        <v>0</v>
      </c>
    </row>
    <row r="152" spans="1:30" ht="16.5" thickBot="1">
      <c r="A152" s="62"/>
      <c r="B152" s="150">
        <f>+'Joueurs et TirageV'!Q42</f>
        <v>0</v>
      </c>
      <c r="C152" s="151">
        <f>IF(ISTEXT(B152),C150,0)</f>
        <v>0</v>
      </c>
      <c r="D152" s="152">
        <f>IF(ISTEXT(B152),D150,0)</f>
        <v>0</v>
      </c>
      <c r="E152" s="153">
        <f>IF(ISTEXT(B152),E150,0)</f>
        <v>0</v>
      </c>
      <c r="F152" s="10"/>
      <c r="G152" s="165">
        <f>+'Joueurs et TirageV'!T42</f>
        <v>0</v>
      </c>
      <c r="H152" s="166">
        <f>IF(ISTEXT(G152),H150,0)</f>
        <v>0</v>
      </c>
      <c r="I152" s="167">
        <f>IF(ISTEXT(G152),I150,0)</f>
        <v>0</v>
      </c>
      <c r="J152" s="168">
        <f>IF(ISTEXT(G152),J150,0)</f>
        <v>0</v>
      </c>
      <c r="K152" s="10"/>
      <c r="L152" s="186">
        <f>+'Joueurs et TirageV'!W42</f>
        <v>0</v>
      </c>
      <c r="M152" s="187">
        <f>IF(ISTEXT(L152),M150,0)</f>
        <v>0</v>
      </c>
      <c r="N152" s="188">
        <f>IF(ISTEXT(L152),N150,0)</f>
        <v>0</v>
      </c>
      <c r="O152" s="189">
        <f>IF(ISTEXT(L152),O150,0)</f>
        <v>0</v>
      </c>
      <c r="P152" s="9"/>
      <c r="Q152" s="209">
        <f>+'Joueurs et TirageV'!Z42</f>
        <v>0</v>
      </c>
      <c r="R152" s="210">
        <f>IF(ISTEXT(Q152),R150,0)</f>
        <v>0</v>
      </c>
      <c r="S152" s="211">
        <f>IF(ISTEXT(Q152),S150,0)</f>
        <v>0</v>
      </c>
      <c r="T152" s="212">
        <f>IF(ISTEXT(Q152),T150,0)</f>
        <v>0</v>
      </c>
      <c r="U152" s="9"/>
      <c r="V152" s="218">
        <f>+'Joueurs et TirageV'!AC42</f>
        <v>0</v>
      </c>
      <c r="W152" s="166">
        <f>IF(ISTEXT(V152),W150,0)</f>
        <v>0</v>
      </c>
      <c r="X152" s="167">
        <f>IF(ISTEXT(V152),X150,0)</f>
        <v>0</v>
      </c>
      <c r="Y152" s="168">
        <f>IF(ISTEXT(V152),Y150,0)</f>
        <v>0</v>
      </c>
      <c r="Z152" s="9"/>
      <c r="AA152" s="240">
        <f>+'Joueurs et TirageV'!AF42</f>
        <v>0</v>
      </c>
      <c r="AB152" s="229">
        <f>IF(ISTEXT(AA152),AB150,0)</f>
        <v>0</v>
      </c>
      <c r="AC152" s="230">
        <f>IF(ISTEXT(AA152),AC150,0)</f>
        <v>0</v>
      </c>
      <c r="AD152" s="231">
        <f>IF(ISTEXT(AA152),AD150,0)</f>
        <v>0</v>
      </c>
    </row>
    <row r="153" spans="1:30" ht="17.25" thickTop="1" thickBot="1">
      <c r="A153" s="133"/>
      <c r="B153" s="12"/>
      <c r="C153" s="278"/>
      <c r="D153" s="12"/>
      <c r="E153" s="10"/>
      <c r="F153" s="10"/>
      <c r="G153" s="12"/>
      <c r="H153" s="10"/>
      <c r="I153" s="12"/>
      <c r="J153" s="10"/>
      <c r="K153" s="10"/>
      <c r="L153" s="12"/>
      <c r="M153" s="10"/>
      <c r="N153" s="12"/>
      <c r="O153" s="10"/>
      <c r="P153" s="9"/>
      <c r="Q153" s="12"/>
      <c r="R153" s="10"/>
      <c r="S153" s="12"/>
      <c r="T153" s="10"/>
      <c r="U153" s="9"/>
      <c r="V153" s="10"/>
      <c r="W153" s="10"/>
      <c r="X153" s="12"/>
      <c r="Y153" s="10"/>
      <c r="Z153" s="9"/>
      <c r="AA153" s="10"/>
      <c r="AB153" s="10"/>
      <c r="AC153" s="12"/>
      <c r="AD153" s="10"/>
    </row>
    <row r="154" spans="1:30" ht="16.5" thickTop="1">
      <c r="A154" s="133"/>
      <c r="B154" s="139">
        <f>'Joueurs et TirageV'!O43</f>
        <v>0</v>
      </c>
      <c r="C154" s="140"/>
      <c r="D154" s="141">
        <f>IF(C154+C158=0,0,IF(C154=C158,2,IF(C154&gt;C158,3,1)))</f>
        <v>0</v>
      </c>
      <c r="E154" s="142">
        <f>C154-C158</f>
        <v>0</v>
      </c>
      <c r="F154" s="18"/>
      <c r="G154" s="154">
        <f>'Joueurs et TirageV'!R43</f>
        <v>0</v>
      </c>
      <c r="H154" s="155"/>
      <c r="I154" s="156">
        <f>IF(H154+H158=0,0,IF(H154=H158,2,IF(H154&gt;H158,3,1)))</f>
        <v>0</v>
      </c>
      <c r="J154" s="157">
        <f>H154-H158</f>
        <v>0</v>
      </c>
      <c r="K154" s="18"/>
      <c r="L154" s="177">
        <f>'Joueurs et TirageV'!U43</f>
        <v>0</v>
      </c>
      <c r="M154" s="178"/>
      <c r="N154" s="179">
        <f>IF(M154+M158=0,0,IF(M154=M158,2,IF(M154&gt;M158,3,1)))</f>
        <v>0</v>
      </c>
      <c r="O154" s="180">
        <f>M154-M158</f>
        <v>0</v>
      </c>
      <c r="Q154" s="198">
        <f>'Joueurs et TirageV'!X43</f>
        <v>0</v>
      </c>
      <c r="R154" s="199"/>
      <c r="S154" s="200">
        <f>IF(R154+R158=0,0,IF(R154=R158,2,IF(R154&gt;R158,3,1)))</f>
        <v>0</v>
      </c>
      <c r="T154" s="201">
        <f>R154-R158</f>
        <v>0</v>
      </c>
      <c r="V154" s="213">
        <f>'Joueurs et TirageV'!AA43</f>
        <v>0</v>
      </c>
      <c r="W154" s="214"/>
      <c r="X154" s="156">
        <f>IF(W154+W158=0,0,IF(W154=W158,2,IF(W154&gt;W158,3,1)))</f>
        <v>0</v>
      </c>
      <c r="Y154" s="157">
        <f>W154-W158</f>
        <v>0</v>
      </c>
      <c r="AA154" s="236">
        <f>'Joueurs et TirageV'!AD43</f>
        <v>0</v>
      </c>
      <c r="AB154" s="220"/>
      <c r="AC154" s="221">
        <f>IF(AB154+AB158=0,0,IF(AB154=AB158,2,IF(AB154&gt;AB158,3,1)))</f>
        <v>0</v>
      </c>
      <c r="AD154" s="222">
        <f>AB154-AB158</f>
        <v>0</v>
      </c>
    </row>
    <row r="155" spans="1:30" ht="16.5" thickBot="1">
      <c r="A155" s="133">
        <v>37</v>
      </c>
      <c r="B155" s="143">
        <f>'Joueurs et TirageV'!P43</f>
        <v>0</v>
      </c>
      <c r="C155" s="129">
        <f>IF(ISTEXT(B155),C154,0)</f>
        <v>0</v>
      </c>
      <c r="D155" s="130">
        <f>IF(ISTEXT(B155),D154,0)</f>
        <v>0</v>
      </c>
      <c r="E155" s="144">
        <f>IF(ISTEXT(B155),E154,0)</f>
        <v>0</v>
      </c>
      <c r="F155" s="18"/>
      <c r="G155" s="158">
        <f>'Joueurs et TirageV'!S43</f>
        <v>0</v>
      </c>
      <c r="H155" s="129">
        <f>IF(ISTEXT(G155),H154,0)</f>
        <v>0</v>
      </c>
      <c r="I155" s="130">
        <f>IF(ISTEXT(G155),I154,0)</f>
        <v>0</v>
      </c>
      <c r="J155" s="159">
        <f>IF(ISTEXT(G155),J154,0)</f>
        <v>0</v>
      </c>
      <c r="K155" s="18"/>
      <c r="L155" s="181">
        <f>'Joueurs et TirageV'!V43</f>
        <v>0</v>
      </c>
      <c r="M155" s="129">
        <f>IF(ISTEXT(L155),M154,0)</f>
        <v>0</v>
      </c>
      <c r="N155" s="130">
        <f>IF(ISTEXT(L155),N154,0)</f>
        <v>0</v>
      </c>
      <c r="O155" s="182">
        <f>IF(ISTEXT(L155),O154,0)</f>
        <v>0</v>
      </c>
      <c r="Q155" s="202">
        <f>'Joueurs et TirageV'!Y43</f>
        <v>0</v>
      </c>
      <c r="R155" s="129">
        <f>IF(ISTEXT(Q155),R154,0)</f>
        <v>0</v>
      </c>
      <c r="S155" s="130">
        <f>IF(ISTEXT(Q155),S154,0)</f>
        <v>0</v>
      </c>
      <c r="T155" s="203">
        <f>IF(ISTEXT(Q155),T154,0)</f>
        <v>0</v>
      </c>
      <c r="V155" s="217">
        <f>'Joueurs et TirageV'!AB43</f>
        <v>0</v>
      </c>
      <c r="W155" s="129">
        <f>IF(ISTEXT(V155),W154,0)</f>
        <v>0</v>
      </c>
      <c r="X155" s="130">
        <f>IF(ISTEXT(V155),X154,0)</f>
        <v>0</v>
      </c>
      <c r="Y155" s="159">
        <f>IF(ISTEXT(V155),Y154,0)</f>
        <v>0</v>
      </c>
      <c r="AA155" s="239">
        <f>'Joueurs et TirageV'!AE43</f>
        <v>0</v>
      </c>
      <c r="AB155" s="129">
        <f>IF(ISTEXT(AA155),AB154,0)</f>
        <v>0</v>
      </c>
      <c r="AC155" s="130">
        <f>IF(ISTEXT(AA155),AC154,0)</f>
        <v>0</v>
      </c>
      <c r="AD155" s="224">
        <f>IF(ISTEXT(AA155),AD154,0)</f>
        <v>0</v>
      </c>
    </row>
    <row r="156" spans="1:30">
      <c r="A156" s="133"/>
      <c r="B156" s="143">
        <f>+'Joueurs et TirageV'!Q43</f>
        <v>0</v>
      </c>
      <c r="C156" s="127">
        <f>IF(ISTEXT(B156),C154,0)</f>
        <v>0</v>
      </c>
      <c r="D156" s="128">
        <f>IF(ISTEXT(B156),D154,0)</f>
        <v>0</v>
      </c>
      <c r="E156" s="145">
        <f>IF(ISTEXT(B156),E154,0)</f>
        <v>0</v>
      </c>
      <c r="F156" s="18"/>
      <c r="G156" s="158">
        <f>+'Joueurs et TirageV'!T43</f>
        <v>0</v>
      </c>
      <c r="H156" s="25">
        <f>IF(ISTEXT(G156),H154,0)</f>
        <v>0</v>
      </c>
      <c r="I156" s="26">
        <f>IF(ISTEXT(G156),I154,0)</f>
        <v>0</v>
      </c>
      <c r="J156" s="160">
        <f>IF(ISTEXT(G156),J154,0)</f>
        <v>0</v>
      </c>
      <c r="K156" s="18"/>
      <c r="L156" s="181">
        <f>+'Joueurs et TirageV'!W43</f>
        <v>0</v>
      </c>
      <c r="M156" s="11">
        <f>IF(ISTEXT(L156),M154,0)</f>
        <v>0</v>
      </c>
      <c r="N156" s="26">
        <f>IF(ISTEXT(L156),N154,0)</f>
        <v>0</v>
      </c>
      <c r="O156" s="183">
        <f>IF(ISTEXT(L156),O154,0)</f>
        <v>0</v>
      </c>
      <c r="Q156" s="202">
        <f>+'Joueurs et TirageV'!Z43</f>
        <v>0</v>
      </c>
      <c r="R156" s="11">
        <f>IF(ISTEXT(Q156),R154,0)</f>
        <v>0</v>
      </c>
      <c r="S156" s="26">
        <f>IF(ISTEXT(Q156),S154,0)</f>
        <v>0</v>
      </c>
      <c r="T156" s="204">
        <f>IF(ISTEXT(Q156),T154,0)</f>
        <v>0</v>
      </c>
      <c r="V156" s="217">
        <f>+'Joueurs et TirageV'!AC43</f>
        <v>0</v>
      </c>
      <c r="W156" s="11">
        <f>IF(ISTEXT(V156),W154,0)</f>
        <v>0</v>
      </c>
      <c r="X156" s="26">
        <f>IF(ISTEXT(V156),X154,0)</f>
        <v>0</v>
      </c>
      <c r="Y156" s="160">
        <f>IF(ISTEXT(V156),Y154,0)</f>
        <v>0</v>
      </c>
      <c r="AA156" s="239">
        <f>+'Joueurs et TirageV'!AF43</f>
        <v>0</v>
      </c>
      <c r="AB156" s="11">
        <f>IF(ISTEXT(AA156),AB154,0)</f>
        <v>0</v>
      </c>
      <c r="AC156" s="26">
        <f>IF(ISTEXT(AA156),AC154,0)</f>
        <v>0</v>
      </c>
      <c r="AD156" s="225">
        <f>IF(ISTEXT(AA156),AD154,0)</f>
        <v>0</v>
      </c>
    </row>
    <row r="157" spans="1:30">
      <c r="A157" s="133"/>
      <c r="B157" s="146"/>
      <c r="C157" s="137" t="s">
        <v>8</v>
      </c>
      <c r="D157" s="138"/>
      <c r="E157" s="147"/>
      <c r="F157" s="19"/>
      <c r="G157" s="169"/>
      <c r="H157" s="170" t="s">
        <v>8</v>
      </c>
      <c r="I157" s="171"/>
      <c r="J157" s="172"/>
      <c r="K157" s="19"/>
      <c r="L157" s="190"/>
      <c r="M157" s="191" t="s">
        <v>8</v>
      </c>
      <c r="N157" s="192"/>
      <c r="O157" s="193"/>
      <c r="P157" s="23"/>
      <c r="Q157" s="205"/>
      <c r="R157" s="196" t="s">
        <v>8</v>
      </c>
      <c r="S157" s="197"/>
      <c r="T157" s="206"/>
      <c r="U157" s="23"/>
      <c r="V157" s="215"/>
      <c r="W157" s="194" t="s">
        <v>8</v>
      </c>
      <c r="X157" s="195"/>
      <c r="Y157" s="216"/>
      <c r="Z157" s="23"/>
      <c r="AA157" s="232"/>
      <c r="AB157" s="233" t="s">
        <v>8</v>
      </c>
      <c r="AC157" s="234"/>
      <c r="AD157" s="235"/>
    </row>
    <row r="158" spans="1:30">
      <c r="A158" s="133"/>
      <c r="B158" s="143">
        <f>'Joueurs et TirageV'!O44</f>
        <v>0</v>
      </c>
      <c r="C158" s="28"/>
      <c r="D158" s="26">
        <f>IF(C154+C158=0,0,IF(C154=C158,2,IF(C154&lt;C158,3,1)))</f>
        <v>0</v>
      </c>
      <c r="E158" s="148">
        <f>C158-C154</f>
        <v>0</v>
      </c>
      <c r="F158" s="18"/>
      <c r="G158" s="158">
        <f>'Joueurs et TirageV'!R44</f>
        <v>0</v>
      </c>
      <c r="H158" s="131"/>
      <c r="I158" s="26">
        <f>IF(H154+H158=0,0,IF(H154=H158,2,IF(H154&lt;H158,3,1)))</f>
        <v>0</v>
      </c>
      <c r="J158" s="163">
        <f>H158-H154</f>
        <v>0</v>
      </c>
      <c r="K158" s="18"/>
      <c r="L158" s="181">
        <f>'Joueurs et TirageV'!U44</f>
        <v>0</v>
      </c>
      <c r="M158" s="29"/>
      <c r="N158" s="26">
        <f>IF(M154+M158=0,0,IF(M154=M158,2,IF(M154&lt;M158,3,1)))</f>
        <v>0</v>
      </c>
      <c r="O158" s="184">
        <f>M158-M154</f>
        <v>0</v>
      </c>
      <c r="Q158" s="202">
        <f>'Joueurs et TirageV'!X44</f>
        <v>0</v>
      </c>
      <c r="R158" s="30"/>
      <c r="S158" s="26">
        <f>IF(R154+R158=0,0,IF(R154=R158,2,IF(R154&lt;R158,3,1)))</f>
        <v>0</v>
      </c>
      <c r="T158" s="207">
        <f>R158-R154</f>
        <v>0</v>
      </c>
      <c r="V158" s="217">
        <f>'Joueurs et TirageV'!AA44</f>
        <v>0</v>
      </c>
      <c r="W158" s="31"/>
      <c r="X158" s="26">
        <f>IF(W154+W158=0,0,IF(W154=W158,2,IF(W154&lt;W158,3,1)))</f>
        <v>0</v>
      </c>
      <c r="Y158" s="163">
        <f>W158-W154</f>
        <v>0</v>
      </c>
      <c r="AA158" s="239">
        <f>'Joueurs et TirageV'!AD44</f>
        <v>0</v>
      </c>
      <c r="AB158" s="32"/>
      <c r="AC158" s="26">
        <f>IF(AB154+AB158=0,0,IF(AB154=AB158,2,IF(AB154&lt;AB158,3,1)))</f>
        <v>0</v>
      </c>
      <c r="AD158" s="226">
        <f>AB158-AB154</f>
        <v>0</v>
      </c>
    </row>
    <row r="159" spans="1:30" ht="16.5" thickBot="1">
      <c r="A159" s="133">
        <v>38</v>
      </c>
      <c r="B159" s="143">
        <f>'Joueurs et TirageV'!P44</f>
        <v>0</v>
      </c>
      <c r="C159" s="47">
        <f>IF(ISTEXT(B159),C158,0)</f>
        <v>0</v>
      </c>
      <c r="D159" s="13">
        <f>IF(ISTEXT(B159),D158,0)</f>
        <v>0</v>
      </c>
      <c r="E159" s="149">
        <f>IF(ISTEXT(B159),E158,0)</f>
        <v>0</v>
      </c>
      <c r="F159" s="10"/>
      <c r="G159" s="158">
        <f>'Joueurs et TirageV'!S44</f>
        <v>0</v>
      </c>
      <c r="H159" s="47">
        <f>IF(ISTEXT(G159),H158,0)</f>
        <v>0</v>
      </c>
      <c r="I159" s="13">
        <f>IF(ISTEXT(G159),I158,0)</f>
        <v>0</v>
      </c>
      <c r="J159" s="164">
        <f>IF(ISTEXT(G159),J158,0)</f>
        <v>0</v>
      </c>
      <c r="K159" s="10"/>
      <c r="L159" s="181">
        <f>'Joueurs et TirageV'!V44</f>
        <v>0</v>
      </c>
      <c r="M159" s="47">
        <f>IF(ISTEXT(L159),M158,0)</f>
        <v>0</v>
      </c>
      <c r="N159" s="13">
        <f>IF(ISTEXT(L159),N158,0)</f>
        <v>0</v>
      </c>
      <c r="O159" s="185">
        <f>IF(ISTEXT(L159),O158,0)</f>
        <v>0</v>
      </c>
      <c r="P159" s="9"/>
      <c r="Q159" s="202">
        <f>'Joueurs et TirageV'!Y44</f>
        <v>0</v>
      </c>
      <c r="R159" s="47">
        <f>IF(ISTEXT(Q159),R158,0)</f>
        <v>0</v>
      </c>
      <c r="S159" s="13">
        <f>IF(ISTEXT(Q159),S158,0)</f>
        <v>0</v>
      </c>
      <c r="T159" s="208">
        <f>IF(ISTEXT(Q159),T158,0)</f>
        <v>0</v>
      </c>
      <c r="U159" s="9"/>
      <c r="V159" s="217">
        <f>'Joueurs et TirageV'!AB44</f>
        <v>0</v>
      </c>
      <c r="W159" s="47">
        <f>IF(ISTEXT(V159),W158,0)</f>
        <v>0</v>
      </c>
      <c r="X159" s="13">
        <f>IF(ISTEXT(V159),X158,0)</f>
        <v>0</v>
      </c>
      <c r="Y159" s="164">
        <f>IF(ISTEXT(V159),Y158,0)</f>
        <v>0</v>
      </c>
      <c r="Z159" s="9"/>
      <c r="AA159" s="239">
        <f>'Joueurs et TirageV'!AE44</f>
        <v>0</v>
      </c>
      <c r="AB159" s="47">
        <f>IF(ISTEXT(AA159),AB158,0)</f>
        <v>0</v>
      </c>
      <c r="AC159" s="13">
        <f>IF(ISTEXT(AA159),AC158,0)</f>
        <v>0</v>
      </c>
      <c r="AD159" s="227">
        <f>IF(ISTEXT(AA159),AD158,0)</f>
        <v>0</v>
      </c>
    </row>
    <row r="160" spans="1:30" ht="16.5" thickBot="1">
      <c r="A160" s="133"/>
      <c r="B160" s="150">
        <f>+'Joueurs et TirageV'!Q44</f>
        <v>0</v>
      </c>
      <c r="C160" s="151">
        <f>IF(ISTEXT(B160),C158,0)</f>
        <v>0</v>
      </c>
      <c r="D160" s="152">
        <f>IF(ISTEXT(B160),D158,0)</f>
        <v>0</v>
      </c>
      <c r="E160" s="153">
        <f>IF(ISTEXT(B160),E158,0)</f>
        <v>0</v>
      </c>
      <c r="F160" s="10"/>
      <c r="G160" s="165">
        <f>+'Joueurs et TirageV'!T44</f>
        <v>0</v>
      </c>
      <c r="H160" s="166">
        <f>IF(ISTEXT(G160),H158,0)</f>
        <v>0</v>
      </c>
      <c r="I160" s="167">
        <f>IF(ISTEXT(G160),I158,0)</f>
        <v>0</v>
      </c>
      <c r="J160" s="168">
        <f>IF(ISTEXT(G160),J158,0)</f>
        <v>0</v>
      </c>
      <c r="K160" s="10"/>
      <c r="L160" s="186">
        <f>+'Joueurs et TirageV'!W44</f>
        <v>0</v>
      </c>
      <c r="M160" s="187">
        <f>IF(ISTEXT(L160),M158,0)</f>
        <v>0</v>
      </c>
      <c r="N160" s="188">
        <f>IF(ISTEXT(L160),N158,0)</f>
        <v>0</v>
      </c>
      <c r="O160" s="189">
        <f>IF(ISTEXT(L160),O158,0)</f>
        <v>0</v>
      </c>
      <c r="P160" s="9"/>
      <c r="Q160" s="209">
        <f>+'Joueurs et TirageV'!Z44</f>
        <v>0</v>
      </c>
      <c r="R160" s="210">
        <f>IF(ISTEXT(Q160),R158,0)</f>
        <v>0</v>
      </c>
      <c r="S160" s="211">
        <f>IF(ISTEXT(Q160),S158,0)</f>
        <v>0</v>
      </c>
      <c r="T160" s="212">
        <f>IF(ISTEXT(Q160),T158,0)</f>
        <v>0</v>
      </c>
      <c r="U160" s="9"/>
      <c r="V160" s="218">
        <f>+'Joueurs et TirageV'!AC44</f>
        <v>0</v>
      </c>
      <c r="W160" s="166">
        <f>IF(ISTEXT(V160),W158,0)</f>
        <v>0</v>
      </c>
      <c r="X160" s="167">
        <f>IF(ISTEXT(V160),X158,0)</f>
        <v>0</v>
      </c>
      <c r="Y160" s="168">
        <f>IF(ISTEXT(V160),Y158,0)</f>
        <v>0</v>
      </c>
      <c r="Z160" s="9"/>
      <c r="AA160" s="240">
        <f>+'Joueurs et TirageV'!AF44</f>
        <v>0</v>
      </c>
      <c r="AB160" s="229">
        <f>IF(ISTEXT(AA160),AB158,0)</f>
        <v>0</v>
      </c>
      <c r="AC160" s="230">
        <f>IF(ISTEXT(AA160),AC158,0)</f>
        <v>0</v>
      </c>
      <c r="AD160" s="231">
        <f>IF(ISTEXT(AA160),AD158,0)</f>
        <v>0</v>
      </c>
    </row>
    <row r="161" spans="1:30" ht="17.25" thickTop="1" thickBot="1">
      <c r="A161" s="133"/>
      <c r="B161" s="12"/>
      <c r="C161" s="278"/>
      <c r="D161" s="12"/>
      <c r="E161" s="10"/>
      <c r="F161" s="10"/>
      <c r="G161" s="12"/>
      <c r="H161" s="10"/>
      <c r="I161" s="12"/>
      <c r="J161" s="10"/>
      <c r="K161" s="10"/>
      <c r="L161" s="12"/>
      <c r="M161" s="10"/>
      <c r="N161" s="12"/>
      <c r="O161" s="10"/>
      <c r="P161" s="9"/>
      <c r="Q161" s="12"/>
      <c r="R161" s="10"/>
      <c r="S161" s="12"/>
      <c r="T161" s="10"/>
      <c r="U161" s="9"/>
      <c r="V161" s="10"/>
      <c r="W161" s="10"/>
      <c r="X161" s="12"/>
      <c r="Y161" s="10"/>
      <c r="Z161" s="9"/>
      <c r="AA161" s="10"/>
      <c r="AB161" s="10"/>
      <c r="AC161" s="12"/>
      <c r="AD161" s="10"/>
    </row>
    <row r="162" spans="1:30" ht="16.5" thickTop="1">
      <c r="A162" s="133"/>
      <c r="B162" s="139">
        <f>'Joueurs et TirageV'!O45</f>
        <v>0</v>
      </c>
      <c r="C162" s="140"/>
      <c r="D162" s="141">
        <f>IF(C162+C166=0,0,IF(C162=C166,2,IF(C162&gt;C166,3,1)))</f>
        <v>0</v>
      </c>
      <c r="E162" s="142">
        <f>C162-C166</f>
        <v>0</v>
      </c>
      <c r="F162" s="18"/>
      <c r="G162" s="154">
        <f>'Joueurs et TirageV'!R45</f>
        <v>0</v>
      </c>
      <c r="H162" s="155"/>
      <c r="I162" s="156">
        <f>IF(H162+H166=0,0,IF(H162=H166,2,IF(H162&gt;H166,3,1)))</f>
        <v>0</v>
      </c>
      <c r="J162" s="157">
        <f>H162-H166</f>
        <v>0</v>
      </c>
      <c r="K162" s="18"/>
      <c r="L162" s="177">
        <f>'Joueurs et TirageV'!U45</f>
        <v>0</v>
      </c>
      <c r="M162" s="178"/>
      <c r="N162" s="179">
        <f>IF(M162+M166=0,0,IF(M162=M166,2,IF(M162&gt;M166,3,1)))</f>
        <v>0</v>
      </c>
      <c r="O162" s="180">
        <f>M162-M166</f>
        <v>0</v>
      </c>
      <c r="Q162" s="198">
        <f>'Joueurs et TirageV'!X45</f>
        <v>0</v>
      </c>
      <c r="R162" s="199"/>
      <c r="S162" s="200">
        <f>IF(R162+R166=0,0,IF(R162=R166,2,IF(R162&gt;R166,3,1)))</f>
        <v>0</v>
      </c>
      <c r="T162" s="201">
        <f>R162-R166</f>
        <v>0</v>
      </c>
      <c r="V162" s="213">
        <f>'Joueurs et TirageV'!AA45</f>
        <v>0</v>
      </c>
      <c r="W162" s="214"/>
      <c r="X162" s="156">
        <f>IF(W162+W166=0,0,IF(W162=W166,2,IF(W162&gt;W166,3,1)))</f>
        <v>0</v>
      </c>
      <c r="Y162" s="157">
        <f>W162-W166</f>
        <v>0</v>
      </c>
      <c r="AA162" s="236">
        <f>'Joueurs et TirageV'!AD45</f>
        <v>0</v>
      </c>
      <c r="AB162" s="220"/>
      <c r="AC162" s="221">
        <f>IF(AB162+AB166=0,0,IF(AB162=AB166,2,IF(AB162&gt;AB166,3,1)))</f>
        <v>0</v>
      </c>
      <c r="AD162" s="222">
        <f>AB162-AB166</f>
        <v>0</v>
      </c>
    </row>
    <row r="163" spans="1:30" ht="16.5" thickBot="1">
      <c r="A163" s="133">
        <v>39</v>
      </c>
      <c r="B163" s="143">
        <f>'Joueurs et TirageV'!P45</f>
        <v>0</v>
      </c>
      <c r="C163" s="129">
        <f>IF(ISTEXT(B163),C162,0)</f>
        <v>0</v>
      </c>
      <c r="D163" s="130">
        <f>IF(ISTEXT(B163),D162,0)</f>
        <v>0</v>
      </c>
      <c r="E163" s="144">
        <f>IF(ISTEXT(B163),E162,0)</f>
        <v>0</v>
      </c>
      <c r="F163" s="18"/>
      <c r="G163" s="158">
        <f>'Joueurs et TirageV'!S45</f>
        <v>0</v>
      </c>
      <c r="H163" s="129">
        <f>IF(ISTEXT(G163),H162,0)</f>
        <v>0</v>
      </c>
      <c r="I163" s="130">
        <f>IF(ISTEXT(G163),I162,0)</f>
        <v>0</v>
      </c>
      <c r="J163" s="159">
        <f>IF(ISTEXT(G163),J162,0)</f>
        <v>0</v>
      </c>
      <c r="K163" s="18"/>
      <c r="L163" s="181">
        <f>'Joueurs et TirageV'!V45</f>
        <v>0</v>
      </c>
      <c r="M163" s="129">
        <f>IF(ISTEXT(L163),M162,0)</f>
        <v>0</v>
      </c>
      <c r="N163" s="130">
        <f>IF(ISTEXT(L163),N162,0)</f>
        <v>0</v>
      </c>
      <c r="O163" s="182">
        <f>IF(ISTEXT(L163),O162,0)</f>
        <v>0</v>
      </c>
      <c r="Q163" s="202">
        <f>'Joueurs et TirageV'!Y45</f>
        <v>0</v>
      </c>
      <c r="R163" s="129">
        <f>IF(ISTEXT(Q163),R162,0)</f>
        <v>0</v>
      </c>
      <c r="S163" s="130">
        <f>IF(ISTEXT(Q163),S162,0)</f>
        <v>0</v>
      </c>
      <c r="T163" s="203">
        <f>IF(ISTEXT(Q163),T162,0)</f>
        <v>0</v>
      </c>
      <c r="V163" s="217">
        <f>'Joueurs et TirageV'!AB45</f>
        <v>0</v>
      </c>
      <c r="W163" s="129">
        <f>IF(ISTEXT(V163),W162,0)</f>
        <v>0</v>
      </c>
      <c r="X163" s="130">
        <f>IF(ISTEXT(V163),X162,0)</f>
        <v>0</v>
      </c>
      <c r="Y163" s="159">
        <f>IF(ISTEXT(V163),Y162,0)</f>
        <v>0</v>
      </c>
      <c r="AA163" s="239">
        <f>'Joueurs et TirageV'!AE45</f>
        <v>0</v>
      </c>
      <c r="AB163" s="129">
        <f>IF(ISTEXT(AA163),AB162,0)</f>
        <v>0</v>
      </c>
      <c r="AC163" s="130">
        <f>IF(ISTEXT(AA163),AC162,0)</f>
        <v>0</v>
      </c>
      <c r="AD163" s="224">
        <f>IF(ISTEXT(AA163),AD162,0)</f>
        <v>0</v>
      </c>
    </row>
    <row r="164" spans="1:30">
      <c r="A164" s="133"/>
      <c r="B164" s="143">
        <f>+'Joueurs et TirageV'!Q45</f>
        <v>0</v>
      </c>
      <c r="C164" s="127">
        <f>IF(ISTEXT(B164),C162,0)</f>
        <v>0</v>
      </c>
      <c r="D164" s="128">
        <f>IF(ISTEXT(B164),D162,0)</f>
        <v>0</v>
      </c>
      <c r="E164" s="145">
        <f>IF(ISTEXT(B164),E162,0)</f>
        <v>0</v>
      </c>
      <c r="F164" s="18"/>
      <c r="G164" s="158">
        <f>+'Joueurs et TirageV'!T45</f>
        <v>0</v>
      </c>
      <c r="H164" s="25">
        <f>IF(ISTEXT(G164),H162,0)</f>
        <v>0</v>
      </c>
      <c r="I164" s="26">
        <f>IF(ISTEXT(G164),I162,0)</f>
        <v>0</v>
      </c>
      <c r="J164" s="160">
        <f>IF(ISTEXT(G164),J162,0)</f>
        <v>0</v>
      </c>
      <c r="K164" s="18"/>
      <c r="L164" s="181">
        <f>+'Joueurs et TirageV'!W45</f>
        <v>0</v>
      </c>
      <c r="M164" s="11">
        <f>IF(ISTEXT(L164),M162,0)</f>
        <v>0</v>
      </c>
      <c r="N164" s="26">
        <f>IF(ISTEXT(L164),N162,0)</f>
        <v>0</v>
      </c>
      <c r="O164" s="183">
        <f>IF(ISTEXT(L164),O162,0)</f>
        <v>0</v>
      </c>
      <c r="Q164" s="202">
        <f>+'Joueurs et TirageV'!Z45</f>
        <v>0</v>
      </c>
      <c r="R164" s="11">
        <f>IF(ISTEXT(Q164),R162,0)</f>
        <v>0</v>
      </c>
      <c r="S164" s="26">
        <f>IF(ISTEXT(Q164),S162,0)</f>
        <v>0</v>
      </c>
      <c r="T164" s="204">
        <f>IF(ISTEXT(Q164),T162,0)</f>
        <v>0</v>
      </c>
      <c r="V164" s="217">
        <f>+'Joueurs et TirageV'!AC45</f>
        <v>0</v>
      </c>
      <c r="W164" s="11">
        <f>IF(ISTEXT(V164),W162,0)</f>
        <v>0</v>
      </c>
      <c r="X164" s="26">
        <f>IF(ISTEXT(V164),X162,0)</f>
        <v>0</v>
      </c>
      <c r="Y164" s="160">
        <f>IF(ISTEXT(V164),Y162,0)</f>
        <v>0</v>
      </c>
      <c r="AA164" s="239">
        <f>+'Joueurs et TirageV'!AF45</f>
        <v>0</v>
      </c>
      <c r="AB164" s="11">
        <f>IF(ISTEXT(AA164),AB162,0)</f>
        <v>0</v>
      </c>
      <c r="AC164" s="26">
        <f>IF(ISTEXT(AA164),AC162,0)</f>
        <v>0</v>
      </c>
      <c r="AD164" s="225">
        <f>IF(ISTEXT(AA164),AD162,0)</f>
        <v>0</v>
      </c>
    </row>
    <row r="165" spans="1:30">
      <c r="A165" s="133"/>
      <c r="B165" s="146"/>
      <c r="C165" s="137" t="s">
        <v>8</v>
      </c>
      <c r="D165" s="138"/>
      <c r="E165" s="147"/>
      <c r="F165" s="19"/>
      <c r="G165" s="169"/>
      <c r="H165" s="170" t="s">
        <v>8</v>
      </c>
      <c r="I165" s="171"/>
      <c r="J165" s="172"/>
      <c r="K165" s="19"/>
      <c r="L165" s="190"/>
      <c r="M165" s="191" t="s">
        <v>8</v>
      </c>
      <c r="N165" s="192"/>
      <c r="O165" s="193"/>
      <c r="P165" s="23"/>
      <c r="Q165" s="205"/>
      <c r="R165" s="196" t="s">
        <v>8</v>
      </c>
      <c r="S165" s="197"/>
      <c r="T165" s="206"/>
      <c r="U165" s="23"/>
      <c r="V165" s="215"/>
      <c r="W165" s="194" t="s">
        <v>8</v>
      </c>
      <c r="X165" s="195"/>
      <c r="Y165" s="216"/>
      <c r="Z165" s="23"/>
      <c r="AA165" s="232"/>
      <c r="AB165" s="233" t="s">
        <v>8</v>
      </c>
      <c r="AC165" s="234"/>
      <c r="AD165" s="235"/>
    </row>
    <row r="166" spans="1:30">
      <c r="A166" s="133"/>
      <c r="B166" s="143">
        <f>'Joueurs et TirageV'!O46</f>
        <v>0</v>
      </c>
      <c r="C166" s="28"/>
      <c r="D166" s="26">
        <f>IF(C162+C166=0,0,IF(C162=C166,2,IF(C162&lt;C166,3,1)))</f>
        <v>0</v>
      </c>
      <c r="E166" s="148">
        <f>C166-C162</f>
        <v>0</v>
      </c>
      <c r="F166" s="18"/>
      <c r="G166" s="158">
        <f>'Joueurs et TirageV'!R46</f>
        <v>0</v>
      </c>
      <c r="H166" s="131"/>
      <c r="I166" s="26">
        <f>IF(H162+H166=0,0,IF(H162=H166,2,IF(H162&lt;H166,3,1)))</f>
        <v>0</v>
      </c>
      <c r="J166" s="163">
        <f>H166-H162</f>
        <v>0</v>
      </c>
      <c r="K166" s="18"/>
      <c r="L166" s="181">
        <f>'Joueurs et TirageV'!U46</f>
        <v>0</v>
      </c>
      <c r="M166" s="29"/>
      <c r="N166" s="26">
        <f>IF(M162+M166=0,0,IF(M162=M166,2,IF(M162&lt;M166,3,1)))</f>
        <v>0</v>
      </c>
      <c r="O166" s="184">
        <f>M166-M162</f>
        <v>0</v>
      </c>
      <c r="Q166" s="202">
        <f>'Joueurs et TirageV'!X46</f>
        <v>0</v>
      </c>
      <c r="R166" s="30"/>
      <c r="S166" s="26">
        <f>IF(R162+R166=0,0,IF(R162=R166,2,IF(R162&lt;R166,3,1)))</f>
        <v>0</v>
      </c>
      <c r="T166" s="207">
        <f>R166-R162</f>
        <v>0</v>
      </c>
      <c r="V166" s="217">
        <f>'Joueurs et TirageV'!AA46</f>
        <v>0</v>
      </c>
      <c r="W166" s="31"/>
      <c r="X166" s="26">
        <f>IF(W162+W166=0,0,IF(W162=W166,2,IF(W162&lt;W166,3,1)))</f>
        <v>0</v>
      </c>
      <c r="Y166" s="163">
        <f>W166-W162</f>
        <v>0</v>
      </c>
      <c r="AA166" s="239">
        <f>'Joueurs et TirageV'!AD46</f>
        <v>0</v>
      </c>
      <c r="AB166" s="32"/>
      <c r="AC166" s="26">
        <f>IF(AB162+AB166=0,0,IF(AB162=AB166,2,IF(AB162&lt;AB166,3,1)))</f>
        <v>0</v>
      </c>
      <c r="AD166" s="226">
        <f>AB166-AB162</f>
        <v>0</v>
      </c>
    </row>
    <row r="167" spans="1:30" ht="16.5" thickBot="1">
      <c r="A167" s="133">
        <v>40</v>
      </c>
      <c r="B167" s="143">
        <f>'Joueurs et TirageV'!P46</f>
        <v>0</v>
      </c>
      <c r="C167" s="47">
        <f>IF(ISTEXT(B167),C166,0)</f>
        <v>0</v>
      </c>
      <c r="D167" s="13">
        <f>IF(ISTEXT(B167),D166,0)</f>
        <v>0</v>
      </c>
      <c r="E167" s="149">
        <f>IF(ISTEXT(B167),E166,0)</f>
        <v>0</v>
      </c>
      <c r="F167" s="10"/>
      <c r="G167" s="158">
        <f>'Joueurs et TirageV'!S46</f>
        <v>0</v>
      </c>
      <c r="H167" s="47">
        <f>IF(ISTEXT(G167),H166,0)</f>
        <v>0</v>
      </c>
      <c r="I167" s="13">
        <f>IF(ISTEXT(G167),I166,0)</f>
        <v>0</v>
      </c>
      <c r="J167" s="164">
        <f>IF(ISTEXT(G167),J166,0)</f>
        <v>0</v>
      </c>
      <c r="K167" s="10"/>
      <c r="L167" s="181">
        <f>'Joueurs et TirageV'!V46</f>
        <v>0</v>
      </c>
      <c r="M167" s="47">
        <f>IF(ISTEXT(L167),M166,0)</f>
        <v>0</v>
      </c>
      <c r="N167" s="13">
        <f>IF(ISTEXT(L167),N166,0)</f>
        <v>0</v>
      </c>
      <c r="O167" s="185">
        <f>IF(ISTEXT(L167),O166,0)</f>
        <v>0</v>
      </c>
      <c r="P167" s="9"/>
      <c r="Q167" s="202">
        <f>'Joueurs et TirageV'!Y46</f>
        <v>0</v>
      </c>
      <c r="R167" s="47">
        <f>IF(ISTEXT(Q167),R166,0)</f>
        <v>0</v>
      </c>
      <c r="S167" s="13">
        <f>IF(ISTEXT(Q167),S166,0)</f>
        <v>0</v>
      </c>
      <c r="T167" s="208">
        <f>IF(ISTEXT(Q167),T166,0)</f>
        <v>0</v>
      </c>
      <c r="U167" s="9"/>
      <c r="V167" s="217">
        <f>'Joueurs et TirageV'!AB46</f>
        <v>0</v>
      </c>
      <c r="W167" s="47">
        <f>IF(ISTEXT(V167),W166,0)</f>
        <v>0</v>
      </c>
      <c r="X167" s="13">
        <f>IF(ISTEXT(V167),X166,0)</f>
        <v>0</v>
      </c>
      <c r="Y167" s="164">
        <f>IF(ISTEXT(V167),Y166,0)</f>
        <v>0</v>
      </c>
      <c r="Z167" s="9"/>
      <c r="AA167" s="239">
        <f>'Joueurs et TirageV'!AE46</f>
        <v>0</v>
      </c>
      <c r="AB167" s="47">
        <f>IF(ISTEXT(AA167),AB166,0)</f>
        <v>0</v>
      </c>
      <c r="AC167" s="13">
        <f>IF(ISTEXT(AA167),AC166,0)</f>
        <v>0</v>
      </c>
      <c r="AD167" s="227">
        <f>IF(ISTEXT(AA167),AD166,0)</f>
        <v>0</v>
      </c>
    </row>
    <row r="168" spans="1:30" ht="16.5" thickBot="1">
      <c r="A168" s="133"/>
      <c r="B168" s="150">
        <f>+'Joueurs et TirageV'!Q46</f>
        <v>0</v>
      </c>
      <c r="C168" s="151">
        <f>IF(ISTEXT(B168),C166,0)</f>
        <v>0</v>
      </c>
      <c r="D168" s="152">
        <f>IF(ISTEXT(B168),D166,0)</f>
        <v>0</v>
      </c>
      <c r="E168" s="153">
        <f>IF(ISTEXT(B168),E166,0)</f>
        <v>0</v>
      </c>
      <c r="F168" s="10"/>
      <c r="G168" s="165">
        <f>+'Joueurs et TirageV'!T46</f>
        <v>0</v>
      </c>
      <c r="H168" s="166">
        <f>IF(ISTEXT(G168),H166,0)</f>
        <v>0</v>
      </c>
      <c r="I168" s="167">
        <f>IF(ISTEXT(G168),I166,0)</f>
        <v>0</v>
      </c>
      <c r="J168" s="168">
        <f>IF(ISTEXT(G168),J166,0)</f>
        <v>0</v>
      </c>
      <c r="K168" s="10"/>
      <c r="L168" s="186">
        <f>+'Joueurs et TirageV'!W46</f>
        <v>0</v>
      </c>
      <c r="M168" s="187">
        <f>IF(ISTEXT(L168),M166,0)</f>
        <v>0</v>
      </c>
      <c r="N168" s="188">
        <f>IF(ISTEXT(L168),N166,0)</f>
        <v>0</v>
      </c>
      <c r="O168" s="189">
        <f>IF(ISTEXT(L168),O166,0)</f>
        <v>0</v>
      </c>
      <c r="P168" s="9"/>
      <c r="Q168" s="209">
        <f>+'Joueurs et TirageV'!Z46</f>
        <v>0</v>
      </c>
      <c r="R168" s="210">
        <f>IF(ISTEXT(Q168),R166,0)</f>
        <v>0</v>
      </c>
      <c r="S168" s="211">
        <f>IF(ISTEXT(Q168),S166,0)</f>
        <v>0</v>
      </c>
      <c r="T168" s="212">
        <f>IF(ISTEXT(Q168),T166,0)</f>
        <v>0</v>
      </c>
      <c r="U168" s="9"/>
      <c r="V168" s="218">
        <f>+'Joueurs et TirageV'!AC46</f>
        <v>0</v>
      </c>
      <c r="W168" s="166">
        <f>IF(ISTEXT(V168),W166,0)</f>
        <v>0</v>
      </c>
      <c r="X168" s="167">
        <f>IF(ISTEXT(V168),X166,0)</f>
        <v>0</v>
      </c>
      <c r="Y168" s="168">
        <f>IF(ISTEXT(V168),Y166,0)</f>
        <v>0</v>
      </c>
      <c r="Z168" s="9"/>
      <c r="AA168" s="240">
        <f>+'Joueurs et TirageV'!AF46</f>
        <v>0</v>
      </c>
      <c r="AB168" s="229">
        <f>IF(ISTEXT(AA168),AB166,0)</f>
        <v>0</v>
      </c>
      <c r="AC168" s="230">
        <f>IF(ISTEXT(AA168),AC166,0)</f>
        <v>0</v>
      </c>
      <c r="AD168" s="231">
        <f>IF(ISTEXT(AA168),AD166,0)</f>
        <v>0</v>
      </c>
    </row>
    <row r="169" spans="1:30" ht="17.25" thickTop="1" thickBot="1">
      <c r="A169" s="133"/>
      <c r="B169" s="12"/>
      <c r="C169" s="278"/>
      <c r="D169" s="12"/>
      <c r="E169" s="10"/>
      <c r="F169" s="10"/>
      <c r="G169" s="12"/>
      <c r="H169" s="10"/>
      <c r="I169" s="12"/>
      <c r="J169" s="10"/>
      <c r="K169" s="10"/>
      <c r="L169" s="12"/>
      <c r="M169" s="10"/>
      <c r="N169" s="12"/>
      <c r="O169" s="10"/>
      <c r="P169" s="9"/>
      <c r="Q169" s="12"/>
      <c r="R169" s="10"/>
      <c r="S169" s="12"/>
      <c r="T169" s="10"/>
      <c r="U169" s="9"/>
      <c r="V169" s="10"/>
      <c r="W169" s="10"/>
      <c r="X169" s="12"/>
      <c r="Y169" s="10"/>
      <c r="Z169" s="9"/>
      <c r="AA169" s="10"/>
      <c r="AB169" s="10"/>
      <c r="AC169" s="12"/>
      <c r="AD169" s="10"/>
    </row>
    <row r="170" spans="1:30" ht="16.5" thickTop="1">
      <c r="A170" s="133"/>
      <c r="B170" s="139">
        <f>'Joueurs et TirageV'!O47</f>
        <v>0</v>
      </c>
      <c r="C170" s="140">
        <v>0</v>
      </c>
      <c r="D170" s="141">
        <f>IF(C170+C174=0,0,IF(C170=C174,2,IF(C170&gt;C174,3,1)))</f>
        <v>0</v>
      </c>
      <c r="E170" s="142">
        <f>C170-C174</f>
        <v>0</v>
      </c>
      <c r="F170" s="18"/>
      <c r="G170" s="154">
        <f>'Joueurs et TirageV'!R47</f>
        <v>0</v>
      </c>
      <c r="H170" s="155"/>
      <c r="I170" s="156">
        <f>IF(H170+H174=0,0,IF(H170=H174,2,IF(H170&gt;H174,3,1)))</f>
        <v>0</v>
      </c>
      <c r="J170" s="157">
        <f>H170-H174</f>
        <v>0</v>
      </c>
      <c r="K170" s="18"/>
      <c r="L170" s="177">
        <f>'Joueurs et TirageV'!U47</f>
        <v>0</v>
      </c>
      <c r="M170" s="178"/>
      <c r="N170" s="179">
        <f>IF(M170+M174=0,0,IF(M170=M174,2,IF(M170&gt;M174,3,1)))</f>
        <v>0</v>
      </c>
      <c r="O170" s="180">
        <f>M170-M174</f>
        <v>0</v>
      </c>
      <c r="Q170" s="198">
        <f>'Joueurs et TirageV'!X47</f>
        <v>0</v>
      </c>
      <c r="R170" s="199"/>
      <c r="S170" s="200">
        <f>IF(R170+R174=0,0,IF(R170=R174,2,IF(R170&gt;R174,3,1)))</f>
        <v>0</v>
      </c>
      <c r="T170" s="201">
        <f>R170-R174</f>
        <v>0</v>
      </c>
      <c r="V170" s="213">
        <f>'Joueurs et TirageV'!AA47</f>
        <v>0</v>
      </c>
      <c r="W170" s="214"/>
      <c r="X170" s="156">
        <f>IF(W170+W174=0,0,IF(W170=W174,2,IF(W170&gt;W174,3,1)))</f>
        <v>0</v>
      </c>
      <c r="Y170" s="157">
        <f>W170-W174</f>
        <v>0</v>
      </c>
      <c r="AA170" s="236">
        <f>'Joueurs et TirageV'!AD47</f>
        <v>0</v>
      </c>
      <c r="AB170" s="220"/>
      <c r="AC170" s="221">
        <f>IF(AB170+AB174=0,0,IF(AB170=AB174,2,IF(AB170&gt;AB174,3,1)))</f>
        <v>0</v>
      </c>
      <c r="AD170" s="222">
        <f>AB170-AB174</f>
        <v>0</v>
      </c>
    </row>
    <row r="171" spans="1:30" ht="16.5" thickBot="1">
      <c r="A171" s="133">
        <v>41</v>
      </c>
      <c r="B171" s="143">
        <f>'Joueurs et TirageV'!P47</f>
        <v>0</v>
      </c>
      <c r="C171" s="129">
        <f>IF(ISTEXT(B171),C170,0)</f>
        <v>0</v>
      </c>
      <c r="D171" s="130">
        <f>IF(ISTEXT(B171),D170,0)</f>
        <v>0</v>
      </c>
      <c r="E171" s="144">
        <f>IF(ISTEXT(B171),E170,0)</f>
        <v>0</v>
      </c>
      <c r="F171" s="18"/>
      <c r="G171" s="158">
        <f>'Joueurs et TirageV'!S47</f>
        <v>0</v>
      </c>
      <c r="H171" s="129">
        <f>IF(ISTEXT(G171),H170,0)</f>
        <v>0</v>
      </c>
      <c r="I171" s="130">
        <f>IF(ISTEXT(G171),I170,0)</f>
        <v>0</v>
      </c>
      <c r="J171" s="159">
        <f>IF(ISTEXT(G171),J170,0)</f>
        <v>0</v>
      </c>
      <c r="K171" s="18"/>
      <c r="L171" s="181">
        <f>'Joueurs et TirageV'!V47</f>
        <v>0</v>
      </c>
      <c r="M171" s="129">
        <f>IF(ISTEXT(L171),M170,0)</f>
        <v>0</v>
      </c>
      <c r="N171" s="130">
        <f>IF(ISTEXT(L171),N170,0)</f>
        <v>0</v>
      </c>
      <c r="O171" s="182">
        <f>IF(ISTEXT(L171),O170,0)</f>
        <v>0</v>
      </c>
      <c r="Q171" s="202">
        <f>'Joueurs et TirageV'!Y47</f>
        <v>0</v>
      </c>
      <c r="R171" s="129">
        <f>IF(ISTEXT(Q171),R170,0)</f>
        <v>0</v>
      </c>
      <c r="S171" s="130">
        <f>IF(ISTEXT(Q171),S170,0)</f>
        <v>0</v>
      </c>
      <c r="T171" s="203">
        <f>IF(ISTEXT(Q171),T170,0)</f>
        <v>0</v>
      </c>
      <c r="V171" s="217">
        <f>'Joueurs et TirageV'!AB47</f>
        <v>0</v>
      </c>
      <c r="W171" s="129">
        <f>IF(ISTEXT(V171),W170,0)</f>
        <v>0</v>
      </c>
      <c r="X171" s="130">
        <f>IF(ISTEXT(V171),X170,0)</f>
        <v>0</v>
      </c>
      <c r="Y171" s="159">
        <f>IF(ISTEXT(V171),Y170,0)</f>
        <v>0</v>
      </c>
      <c r="AA171" s="239">
        <f>'Joueurs et TirageV'!AE47</f>
        <v>0</v>
      </c>
      <c r="AB171" s="129">
        <f>IF(ISTEXT(AA171),AB170,0)</f>
        <v>0</v>
      </c>
      <c r="AC171" s="130">
        <f>IF(ISTEXT(AA171),AC170,0)</f>
        <v>0</v>
      </c>
      <c r="AD171" s="224">
        <f>IF(ISTEXT(AA171),AD170,0)</f>
        <v>0</v>
      </c>
    </row>
    <row r="172" spans="1:30">
      <c r="A172" s="133"/>
      <c r="B172" s="143">
        <f>+'Joueurs et TirageV'!Q47</f>
        <v>0</v>
      </c>
      <c r="C172" s="127">
        <f>IF(ISTEXT(B172),C170,0)</f>
        <v>0</v>
      </c>
      <c r="D172" s="128">
        <f>IF(ISTEXT(B172),D170,0)</f>
        <v>0</v>
      </c>
      <c r="E172" s="145">
        <f>IF(ISTEXT(B172),E170,0)</f>
        <v>0</v>
      </c>
      <c r="F172" s="18"/>
      <c r="G172" s="158">
        <f>+'Joueurs et TirageV'!T47</f>
        <v>0</v>
      </c>
      <c r="H172" s="25">
        <f>IF(ISTEXT(G172),H170,0)</f>
        <v>0</v>
      </c>
      <c r="I172" s="26">
        <f>IF(ISTEXT(G172),I170,0)</f>
        <v>0</v>
      </c>
      <c r="J172" s="160">
        <f>IF(ISTEXT(G172),J170,0)</f>
        <v>0</v>
      </c>
      <c r="K172" s="18"/>
      <c r="L172" s="181">
        <f>+'Joueurs et TirageV'!W47</f>
        <v>0</v>
      </c>
      <c r="M172" s="11">
        <f>IF(ISTEXT(L172),M170,0)</f>
        <v>0</v>
      </c>
      <c r="N172" s="26">
        <f>IF(ISTEXT(L172),N170,0)</f>
        <v>0</v>
      </c>
      <c r="O172" s="183">
        <f>IF(ISTEXT(L172),O170,0)</f>
        <v>0</v>
      </c>
      <c r="Q172" s="202">
        <f>+'Joueurs et TirageV'!Z47</f>
        <v>0</v>
      </c>
      <c r="R172" s="11">
        <f>IF(ISTEXT(Q172),R170,0)</f>
        <v>0</v>
      </c>
      <c r="S172" s="26">
        <f>IF(ISTEXT(Q172),S170,0)</f>
        <v>0</v>
      </c>
      <c r="T172" s="204">
        <f>IF(ISTEXT(Q172),T170,0)</f>
        <v>0</v>
      </c>
      <c r="V172" s="217">
        <f>+'Joueurs et TirageV'!AC47</f>
        <v>0</v>
      </c>
      <c r="W172" s="11">
        <f>IF(ISTEXT(V172),W170,0)</f>
        <v>0</v>
      </c>
      <c r="X172" s="26">
        <f>IF(ISTEXT(V172),X170,0)</f>
        <v>0</v>
      </c>
      <c r="Y172" s="160">
        <f>IF(ISTEXT(V172),Y170,0)</f>
        <v>0</v>
      </c>
      <c r="AA172" s="239">
        <f>+'Joueurs et TirageV'!AF47</f>
        <v>0</v>
      </c>
      <c r="AB172" s="11">
        <f>IF(ISTEXT(AA172),AB170,0)</f>
        <v>0</v>
      </c>
      <c r="AC172" s="26">
        <f>IF(ISTEXT(AA172),AC170,0)</f>
        <v>0</v>
      </c>
      <c r="AD172" s="225">
        <f>IF(ISTEXT(AA172),AD170,0)</f>
        <v>0</v>
      </c>
    </row>
    <row r="173" spans="1:30">
      <c r="A173" s="133"/>
      <c r="B173" s="146"/>
      <c r="C173" s="137" t="s">
        <v>8</v>
      </c>
      <c r="D173" s="138"/>
      <c r="E173" s="147"/>
      <c r="F173" s="19"/>
      <c r="G173" s="169"/>
      <c r="H173" s="170" t="s">
        <v>8</v>
      </c>
      <c r="I173" s="171"/>
      <c r="J173" s="172"/>
      <c r="K173" s="19"/>
      <c r="L173" s="190"/>
      <c r="M173" s="191" t="s">
        <v>8</v>
      </c>
      <c r="N173" s="192"/>
      <c r="O173" s="193"/>
      <c r="P173" s="23"/>
      <c r="Q173" s="205"/>
      <c r="R173" s="196" t="s">
        <v>8</v>
      </c>
      <c r="S173" s="197"/>
      <c r="T173" s="206"/>
      <c r="U173" s="23"/>
      <c r="V173" s="215"/>
      <c r="W173" s="194" t="s">
        <v>8</v>
      </c>
      <c r="X173" s="195"/>
      <c r="Y173" s="216"/>
      <c r="Z173" s="23"/>
      <c r="AA173" s="232"/>
      <c r="AB173" s="233" t="s">
        <v>8</v>
      </c>
      <c r="AC173" s="234"/>
      <c r="AD173" s="235"/>
    </row>
    <row r="174" spans="1:30">
      <c r="A174" s="133"/>
      <c r="B174" s="143">
        <f>'Joueurs et TirageV'!O48</f>
        <v>0</v>
      </c>
      <c r="C174" s="28"/>
      <c r="D174" s="26">
        <f>IF(C170+C174=0,0,IF(C170=C174,2,IF(C170&lt;C174,3,1)))</f>
        <v>0</v>
      </c>
      <c r="E174" s="148">
        <f>C174-C170</f>
        <v>0</v>
      </c>
      <c r="F174" s="18"/>
      <c r="G174" s="158">
        <f>'Joueurs et TirageV'!R48</f>
        <v>0</v>
      </c>
      <c r="H174" s="131"/>
      <c r="I174" s="26">
        <f>IF(H170+H174=0,0,IF(H170=H174,2,IF(H170&lt;H174,3,1)))</f>
        <v>0</v>
      </c>
      <c r="J174" s="163">
        <f>H174-H170</f>
        <v>0</v>
      </c>
      <c r="K174" s="18"/>
      <c r="L174" s="181">
        <f>'Joueurs et TirageV'!U48</f>
        <v>0</v>
      </c>
      <c r="M174" s="29"/>
      <c r="N174" s="26">
        <f>IF(M170+M174=0,0,IF(M170=M174,2,IF(M170&lt;M174,3,1)))</f>
        <v>0</v>
      </c>
      <c r="O174" s="184">
        <f>M174-M170</f>
        <v>0</v>
      </c>
      <c r="Q174" s="202">
        <f>'Joueurs et TirageV'!X48</f>
        <v>0</v>
      </c>
      <c r="R174" s="30"/>
      <c r="S174" s="26">
        <f>IF(R170+R174=0,0,IF(R170=R174,2,IF(R170&lt;R174,3,1)))</f>
        <v>0</v>
      </c>
      <c r="T174" s="207">
        <f>R174-R170</f>
        <v>0</v>
      </c>
      <c r="V174" s="217">
        <f>'Joueurs et TirageV'!AA48</f>
        <v>0</v>
      </c>
      <c r="W174" s="31"/>
      <c r="X174" s="26">
        <f>IF(W170+W174=0,0,IF(W170=W174,2,IF(W170&lt;W174,3,1)))</f>
        <v>0</v>
      </c>
      <c r="Y174" s="163">
        <f>W174-W170</f>
        <v>0</v>
      </c>
      <c r="AA174" s="239">
        <f>'Joueurs et TirageV'!AD48</f>
        <v>0</v>
      </c>
      <c r="AB174" s="32"/>
      <c r="AC174" s="26">
        <f>IF(AB170+AB174=0,0,IF(AB170=AB174,2,IF(AB170&lt;AB174,3,1)))</f>
        <v>0</v>
      </c>
      <c r="AD174" s="226">
        <f>AB174-AB170</f>
        <v>0</v>
      </c>
    </row>
    <row r="175" spans="1:30" ht="16.5" thickBot="1">
      <c r="A175" s="133">
        <v>42</v>
      </c>
      <c r="B175" s="143">
        <f>'Joueurs et TirageV'!P48</f>
        <v>0</v>
      </c>
      <c r="C175" s="47">
        <f>IF(ISTEXT(B175),C174,0)</f>
        <v>0</v>
      </c>
      <c r="D175" s="13">
        <f>IF(ISTEXT(B175),D174,0)</f>
        <v>0</v>
      </c>
      <c r="E175" s="149">
        <f>IF(ISTEXT(B175),E174,0)</f>
        <v>0</v>
      </c>
      <c r="F175" s="10"/>
      <c r="G175" s="158">
        <f>'Joueurs et TirageV'!S48</f>
        <v>0</v>
      </c>
      <c r="H175" s="47">
        <f>IF(ISTEXT(G175),H174,0)</f>
        <v>0</v>
      </c>
      <c r="I175" s="13">
        <f>IF(ISTEXT(G175),I174,0)</f>
        <v>0</v>
      </c>
      <c r="J175" s="164">
        <f>IF(ISTEXT(G175),J174,0)</f>
        <v>0</v>
      </c>
      <c r="K175" s="10"/>
      <c r="L175" s="181">
        <f>'Joueurs et TirageV'!V48</f>
        <v>0</v>
      </c>
      <c r="M175" s="47">
        <f>IF(ISTEXT(L175),M174,0)</f>
        <v>0</v>
      </c>
      <c r="N175" s="13">
        <f>IF(ISTEXT(L175),N174,0)</f>
        <v>0</v>
      </c>
      <c r="O175" s="185">
        <f>IF(ISTEXT(L175),O174,0)</f>
        <v>0</v>
      </c>
      <c r="P175" s="9"/>
      <c r="Q175" s="202">
        <f>'Joueurs et TirageV'!Y48</f>
        <v>0</v>
      </c>
      <c r="R175" s="47">
        <f>IF(ISTEXT(Q175),R174,0)</f>
        <v>0</v>
      </c>
      <c r="S175" s="13">
        <f>IF(ISTEXT(Q175),S174,0)</f>
        <v>0</v>
      </c>
      <c r="T175" s="208">
        <f>IF(ISTEXT(Q175),T174,0)</f>
        <v>0</v>
      </c>
      <c r="U175" s="9"/>
      <c r="V175" s="217">
        <f>'Joueurs et TirageV'!AB48</f>
        <v>0</v>
      </c>
      <c r="W175" s="47">
        <f>IF(ISTEXT(V175),W174,0)</f>
        <v>0</v>
      </c>
      <c r="X175" s="13">
        <f>IF(ISTEXT(V175),X174,0)</f>
        <v>0</v>
      </c>
      <c r="Y175" s="164">
        <f>IF(ISTEXT(V175),Y174,0)</f>
        <v>0</v>
      </c>
      <c r="Z175" s="9"/>
      <c r="AA175" s="239">
        <f>'Joueurs et TirageV'!AE48</f>
        <v>0</v>
      </c>
      <c r="AB175" s="47">
        <f>IF(ISTEXT(AA175),AB174,0)</f>
        <v>0</v>
      </c>
      <c r="AC175" s="13">
        <f>IF(ISTEXT(AA175),AC174,0)</f>
        <v>0</v>
      </c>
      <c r="AD175" s="227">
        <f>IF(ISTEXT(AA175),AD174,0)</f>
        <v>0</v>
      </c>
    </row>
    <row r="176" spans="1:30" ht="16.5" thickBot="1">
      <c r="A176" s="133"/>
      <c r="B176" s="150">
        <f>+'Joueurs et TirageV'!Q48</f>
        <v>0</v>
      </c>
      <c r="C176" s="151">
        <f>IF(ISTEXT(B176),C174,0)</f>
        <v>0</v>
      </c>
      <c r="D176" s="152">
        <f>IF(ISTEXT(B176),D174,0)</f>
        <v>0</v>
      </c>
      <c r="E176" s="153">
        <f>IF(ISTEXT(B176),E174,0)</f>
        <v>0</v>
      </c>
      <c r="F176" s="10"/>
      <c r="G176" s="165">
        <f>+'Joueurs et TirageV'!T48</f>
        <v>0</v>
      </c>
      <c r="H176" s="166">
        <f>IF(ISTEXT(G176),H174,0)</f>
        <v>0</v>
      </c>
      <c r="I176" s="167">
        <f>IF(ISTEXT(G176),I174,0)</f>
        <v>0</v>
      </c>
      <c r="J176" s="168">
        <f>IF(ISTEXT(G176),J174,0)</f>
        <v>0</v>
      </c>
      <c r="K176" s="10"/>
      <c r="L176" s="186">
        <f>+'Joueurs et TirageV'!W48</f>
        <v>0</v>
      </c>
      <c r="M176" s="187">
        <f>IF(ISTEXT(L176),M174,0)</f>
        <v>0</v>
      </c>
      <c r="N176" s="188">
        <f>IF(ISTEXT(L176),N174,0)</f>
        <v>0</v>
      </c>
      <c r="O176" s="189">
        <f>IF(ISTEXT(L176),O174,0)</f>
        <v>0</v>
      </c>
      <c r="P176" s="9"/>
      <c r="Q176" s="209">
        <f>+'Joueurs et TirageV'!Z48</f>
        <v>0</v>
      </c>
      <c r="R176" s="210">
        <f>IF(ISTEXT(Q176),R174,0)</f>
        <v>0</v>
      </c>
      <c r="S176" s="211">
        <f>IF(ISTEXT(Q176),S174,0)</f>
        <v>0</v>
      </c>
      <c r="T176" s="212">
        <f>IF(ISTEXT(Q176),T174,0)</f>
        <v>0</v>
      </c>
      <c r="U176" s="9"/>
      <c r="V176" s="218">
        <f>+'Joueurs et TirageV'!AC48</f>
        <v>0</v>
      </c>
      <c r="W176" s="166">
        <f>IF(ISTEXT(V176),W174,0)</f>
        <v>0</v>
      </c>
      <c r="X176" s="167">
        <f>IF(ISTEXT(V176),X174,0)</f>
        <v>0</v>
      </c>
      <c r="Y176" s="168">
        <f>IF(ISTEXT(V176),Y174,0)</f>
        <v>0</v>
      </c>
      <c r="Z176" s="9"/>
      <c r="AA176" s="240">
        <f>+'Joueurs et TirageV'!AF48</f>
        <v>0</v>
      </c>
      <c r="AB176" s="229">
        <f>IF(ISTEXT(AA176),AB174,0)</f>
        <v>0</v>
      </c>
      <c r="AC176" s="230">
        <f>IF(ISTEXT(AA176),AC174,0)</f>
        <v>0</v>
      </c>
      <c r="AD176" s="231">
        <f>IF(ISTEXT(AA176),AD174,0)</f>
        <v>0</v>
      </c>
    </row>
    <row r="177" spans="1:30" ht="17.25" thickTop="1" thickBot="1">
      <c r="A177" s="62"/>
      <c r="B177" s="14"/>
      <c r="D177" s="9"/>
      <c r="E177" s="9"/>
      <c r="G177" s="14"/>
      <c r="I177" s="9"/>
      <c r="J177" s="9"/>
      <c r="L177" s="14"/>
      <c r="N177" s="9"/>
      <c r="O177" s="9"/>
      <c r="Q177" s="14"/>
      <c r="S177" s="9"/>
      <c r="T177" s="9"/>
      <c r="V177" s="9"/>
      <c r="X177" s="9"/>
      <c r="Y177" s="9"/>
      <c r="AA177" s="9"/>
      <c r="AC177" s="9"/>
      <c r="AD177" s="9"/>
    </row>
    <row r="178" spans="1:30" ht="16.5" thickTop="1">
      <c r="A178" s="62"/>
      <c r="B178" s="139">
        <f>'Joueurs et TirageV'!O49</f>
        <v>0</v>
      </c>
      <c r="C178" s="140"/>
      <c r="D178" s="141">
        <f>IF(C178+C182=0,0,IF(C178=C182,2,IF(C178&gt;C182,3,1)))</f>
        <v>0</v>
      </c>
      <c r="E178" s="142">
        <f>C178-C182</f>
        <v>0</v>
      </c>
      <c r="F178" s="18"/>
      <c r="G178" s="154">
        <f>'Joueurs et TirageV'!R49</f>
        <v>0</v>
      </c>
      <c r="H178" s="155"/>
      <c r="I178" s="156">
        <f>IF(H178+H182=0,0,IF(H178=H182,2,IF(H178&gt;H182,3,1)))</f>
        <v>0</v>
      </c>
      <c r="J178" s="157">
        <f>H178-H182</f>
        <v>0</v>
      </c>
      <c r="K178" s="18"/>
      <c r="L178" s="177">
        <f>'Joueurs et TirageV'!U49</f>
        <v>0</v>
      </c>
      <c r="M178" s="178"/>
      <c r="N178" s="179">
        <f>IF(M178+M182=0,0,IF(M178=M182,2,IF(M178&gt;M182,3,1)))</f>
        <v>0</v>
      </c>
      <c r="O178" s="180">
        <f>M178-M182</f>
        <v>0</v>
      </c>
      <c r="Q178" s="198">
        <f>'Joueurs et TirageV'!X49</f>
        <v>0</v>
      </c>
      <c r="R178" s="199"/>
      <c r="S178" s="200">
        <f>IF(R178+R182=0,0,IF(R178=R182,2,IF(R178&gt;R182,3,1)))</f>
        <v>0</v>
      </c>
      <c r="T178" s="201">
        <f>R178-R182</f>
        <v>0</v>
      </c>
      <c r="V178" s="213">
        <f>'Joueurs et TirageV'!AA49</f>
        <v>0</v>
      </c>
      <c r="W178" s="214"/>
      <c r="X178" s="156">
        <f>IF(W178+W182=0,0,IF(W178=W182,2,IF(W178&gt;W182,3,1)))</f>
        <v>0</v>
      </c>
      <c r="Y178" s="157">
        <f>W178-W182</f>
        <v>0</v>
      </c>
      <c r="AA178" s="236">
        <f>'Joueurs et TirageV'!AD49</f>
        <v>0</v>
      </c>
      <c r="AB178" s="220"/>
      <c r="AC178" s="221">
        <f>IF(AB178+AB182=0,0,IF(AB178=AB182,2,IF(AB178&gt;AB182,3,1)))</f>
        <v>0</v>
      </c>
      <c r="AD178" s="222">
        <f>AB178-AB182</f>
        <v>0</v>
      </c>
    </row>
    <row r="179" spans="1:30" ht="16.5" thickBot="1">
      <c r="A179" s="62">
        <v>43</v>
      </c>
      <c r="B179" s="143">
        <f>'Joueurs et TirageV'!P49</f>
        <v>0</v>
      </c>
      <c r="C179" s="129">
        <f>IF(ISTEXT(B179),C178,0)</f>
        <v>0</v>
      </c>
      <c r="D179" s="130">
        <f>IF(ISTEXT(B179),D178,0)</f>
        <v>0</v>
      </c>
      <c r="E179" s="144">
        <f>IF(ISTEXT(B179),E178,0)</f>
        <v>0</v>
      </c>
      <c r="F179" s="18"/>
      <c r="G179" s="158">
        <f>'Joueurs et TirageV'!S49</f>
        <v>0</v>
      </c>
      <c r="H179" s="129">
        <f>IF(ISTEXT(G179),H178,0)</f>
        <v>0</v>
      </c>
      <c r="I179" s="130">
        <f>IF(ISTEXT(G179),I178,0)</f>
        <v>0</v>
      </c>
      <c r="J179" s="159">
        <f>IF(ISTEXT(G179),J178,0)</f>
        <v>0</v>
      </c>
      <c r="K179" s="18"/>
      <c r="L179" s="181">
        <f>'Joueurs et TirageV'!V49</f>
        <v>0</v>
      </c>
      <c r="M179" s="129">
        <f>IF(ISTEXT(L179),M178,0)</f>
        <v>0</v>
      </c>
      <c r="N179" s="130">
        <f>IF(ISTEXT(L179),N178,0)</f>
        <v>0</v>
      </c>
      <c r="O179" s="182">
        <f>IF(ISTEXT(L179),O178,0)</f>
        <v>0</v>
      </c>
      <c r="Q179" s="202">
        <f>'Joueurs et TirageV'!Y49</f>
        <v>0</v>
      </c>
      <c r="R179" s="129">
        <f>IF(ISTEXT(Q179),R178,0)</f>
        <v>0</v>
      </c>
      <c r="S179" s="130">
        <f>IF(ISTEXT(Q179),S178,0)</f>
        <v>0</v>
      </c>
      <c r="T179" s="203">
        <f>IF(ISTEXT(Q179),T178,0)</f>
        <v>0</v>
      </c>
      <c r="V179" s="217">
        <f>'Joueurs et TirageV'!AB49</f>
        <v>0</v>
      </c>
      <c r="W179" s="129">
        <f>IF(ISTEXT(V179),W178,0)</f>
        <v>0</v>
      </c>
      <c r="X179" s="130">
        <f>IF(ISTEXT(V179),X178,0)</f>
        <v>0</v>
      </c>
      <c r="Y179" s="159">
        <f>IF(ISTEXT(V179),Y178,0)</f>
        <v>0</v>
      </c>
      <c r="AA179" s="239">
        <f>'Joueurs et TirageV'!AE49</f>
        <v>0</v>
      </c>
      <c r="AB179" s="129">
        <f>IF(ISTEXT(AA179),AB178,0)</f>
        <v>0</v>
      </c>
      <c r="AC179" s="130">
        <f>IF(ISTEXT(AA179),AC178,0)</f>
        <v>0</v>
      </c>
      <c r="AD179" s="224">
        <f>IF(ISTEXT(AA179),AD178,0)</f>
        <v>0</v>
      </c>
    </row>
    <row r="180" spans="1:30">
      <c r="A180" s="62"/>
      <c r="B180" s="143">
        <f>+'Joueurs et TirageV'!Q49</f>
        <v>0</v>
      </c>
      <c r="C180" s="127">
        <f>IF(ISTEXT(B180),C178,0)</f>
        <v>0</v>
      </c>
      <c r="D180" s="128">
        <f>IF(ISTEXT(B180),D178,0)</f>
        <v>0</v>
      </c>
      <c r="E180" s="145">
        <f>IF(ISTEXT(B180),E178,0)</f>
        <v>0</v>
      </c>
      <c r="F180" s="18"/>
      <c r="G180" s="158">
        <f>+'Joueurs et TirageV'!T49</f>
        <v>0</v>
      </c>
      <c r="H180" s="25">
        <f>IF(ISTEXT(G180),H178,0)</f>
        <v>0</v>
      </c>
      <c r="I180" s="26">
        <f>IF(ISTEXT(G180),I178,0)</f>
        <v>0</v>
      </c>
      <c r="J180" s="160">
        <f>IF(ISTEXT(G180),J178,0)</f>
        <v>0</v>
      </c>
      <c r="K180" s="18"/>
      <c r="L180" s="181">
        <f>+'Joueurs et TirageV'!W49</f>
        <v>0</v>
      </c>
      <c r="M180" s="11">
        <f>IF(ISTEXT(L180),M178,0)</f>
        <v>0</v>
      </c>
      <c r="N180" s="26">
        <f>IF(ISTEXT(L180),N178,0)</f>
        <v>0</v>
      </c>
      <c r="O180" s="183">
        <f>IF(ISTEXT(L180),O178,0)</f>
        <v>0</v>
      </c>
      <c r="Q180" s="202">
        <f>+'Joueurs et TirageV'!Z49</f>
        <v>0</v>
      </c>
      <c r="R180" s="11">
        <f>IF(ISTEXT(Q180),R178,0)</f>
        <v>0</v>
      </c>
      <c r="S180" s="26">
        <f>IF(ISTEXT(Q180),S178,0)</f>
        <v>0</v>
      </c>
      <c r="T180" s="204">
        <f>IF(ISTEXT(Q180),T178,0)</f>
        <v>0</v>
      </c>
      <c r="V180" s="217">
        <f>+'Joueurs et TirageV'!AC49</f>
        <v>0</v>
      </c>
      <c r="W180" s="11">
        <f>IF(ISTEXT(V180),W178,0)</f>
        <v>0</v>
      </c>
      <c r="X180" s="26">
        <f>IF(ISTEXT(V180),X178,0)</f>
        <v>0</v>
      </c>
      <c r="Y180" s="160">
        <f>IF(ISTEXT(V180),Y178,0)</f>
        <v>0</v>
      </c>
      <c r="AA180" s="239">
        <f>+'Joueurs et TirageV'!AF49</f>
        <v>0</v>
      </c>
      <c r="AB180" s="11">
        <f>IF(ISTEXT(AA180),AB178,0)</f>
        <v>0</v>
      </c>
      <c r="AC180" s="26">
        <f>IF(ISTEXT(AA180),AC178,0)</f>
        <v>0</v>
      </c>
      <c r="AD180" s="225">
        <f>IF(ISTEXT(AA180),AD178,0)</f>
        <v>0</v>
      </c>
    </row>
    <row r="181" spans="1:30">
      <c r="A181" s="62"/>
      <c r="B181" s="146"/>
      <c r="C181" s="137" t="s">
        <v>8</v>
      </c>
      <c r="D181" s="138"/>
      <c r="E181" s="147"/>
      <c r="F181" s="19"/>
      <c r="G181" s="169"/>
      <c r="H181" s="170" t="s">
        <v>8</v>
      </c>
      <c r="I181" s="171"/>
      <c r="J181" s="172"/>
      <c r="K181" s="19"/>
      <c r="L181" s="190"/>
      <c r="M181" s="191" t="s">
        <v>8</v>
      </c>
      <c r="N181" s="192"/>
      <c r="O181" s="193"/>
      <c r="P181" s="23"/>
      <c r="Q181" s="205"/>
      <c r="R181" s="196" t="s">
        <v>8</v>
      </c>
      <c r="S181" s="197"/>
      <c r="T181" s="206"/>
      <c r="U181" s="23"/>
      <c r="V181" s="215"/>
      <c r="W181" s="194" t="s">
        <v>8</v>
      </c>
      <c r="X181" s="195"/>
      <c r="Y181" s="216"/>
      <c r="Z181" s="23"/>
      <c r="AA181" s="232"/>
      <c r="AB181" s="233" t="s">
        <v>8</v>
      </c>
      <c r="AC181" s="234"/>
      <c r="AD181" s="235"/>
    </row>
    <row r="182" spans="1:30">
      <c r="A182" s="62">
        <v>44</v>
      </c>
      <c r="B182" s="143">
        <f>'Joueurs et TirageV'!O50</f>
        <v>0</v>
      </c>
      <c r="C182" s="28">
        <v>0</v>
      </c>
      <c r="D182" s="26">
        <f>IF(C178+C182=0,0,IF(C178=C182,2,IF(C178&lt;C182,3,1)))</f>
        <v>0</v>
      </c>
      <c r="E182" s="148">
        <f>C182-C178</f>
        <v>0</v>
      </c>
      <c r="F182" s="18"/>
      <c r="G182" s="158">
        <f>'Joueurs et TirageV'!R50</f>
        <v>0</v>
      </c>
      <c r="H182" s="131"/>
      <c r="I182" s="26">
        <f>IF(H178+H182=0,0,IF(H178=H182,2,IF(H178&lt;H182,3,1)))</f>
        <v>0</v>
      </c>
      <c r="J182" s="163">
        <f>H182-H178</f>
        <v>0</v>
      </c>
      <c r="K182" s="18"/>
      <c r="L182" s="181">
        <f>'Joueurs et TirageV'!U50</f>
        <v>0</v>
      </c>
      <c r="M182" s="29"/>
      <c r="N182" s="26">
        <f>IF(M178+M182=0,0,IF(M178=M182,2,IF(M178&lt;M182,3,1)))</f>
        <v>0</v>
      </c>
      <c r="O182" s="184">
        <f>M182-M178</f>
        <v>0</v>
      </c>
      <c r="Q182" s="202">
        <f>'Joueurs et TirageV'!X50</f>
        <v>0</v>
      </c>
      <c r="R182" s="30"/>
      <c r="S182" s="26">
        <f>IF(R178+R182=0,0,IF(R178=R182,2,IF(R178&lt;R182,3,1)))</f>
        <v>0</v>
      </c>
      <c r="T182" s="207">
        <f>R182-R178</f>
        <v>0</v>
      </c>
      <c r="V182" s="217">
        <f>'Joueurs et TirageV'!AA50</f>
        <v>0</v>
      </c>
      <c r="W182" s="31"/>
      <c r="X182" s="26">
        <f>IF(W178+W182=0,0,IF(W178=W182,2,IF(W178&lt;W182,3,1)))</f>
        <v>0</v>
      </c>
      <c r="Y182" s="163">
        <f>W182-W178</f>
        <v>0</v>
      </c>
      <c r="AA182" s="239">
        <f>'Joueurs et TirageV'!AD50</f>
        <v>0</v>
      </c>
      <c r="AB182" s="32"/>
      <c r="AC182" s="26">
        <f>IF(AB178+AB182=0,0,IF(AB178=AB182,2,IF(AB178&lt;AB182,3,1)))</f>
        <v>0</v>
      </c>
      <c r="AD182" s="226">
        <f>AB182-AB178</f>
        <v>0</v>
      </c>
    </row>
    <row r="183" spans="1:30" ht="16.5" thickBot="1">
      <c r="A183" s="62"/>
      <c r="B183" s="143">
        <f>'Joueurs et TirageV'!P50</f>
        <v>0</v>
      </c>
      <c r="C183" s="47">
        <f>IF(ISTEXT(B183),C182,0)</f>
        <v>0</v>
      </c>
      <c r="D183" s="13">
        <f>IF(ISTEXT(B183),D182,0)</f>
        <v>0</v>
      </c>
      <c r="E183" s="149">
        <f>IF(ISTEXT(B183),E182,0)</f>
        <v>0</v>
      </c>
      <c r="F183" s="10"/>
      <c r="G183" s="158">
        <f>'Joueurs et TirageV'!S50</f>
        <v>0</v>
      </c>
      <c r="H183" s="47">
        <f>IF(ISTEXT(G183),H182,0)</f>
        <v>0</v>
      </c>
      <c r="I183" s="13">
        <f>IF(ISTEXT(G183),I182,0)</f>
        <v>0</v>
      </c>
      <c r="J183" s="164">
        <f>IF(ISTEXT(G183),J182,0)</f>
        <v>0</v>
      </c>
      <c r="K183" s="10"/>
      <c r="L183" s="181">
        <f>'Joueurs et TirageV'!V50</f>
        <v>0</v>
      </c>
      <c r="M183" s="47">
        <f>IF(ISTEXT(L183),M182,0)</f>
        <v>0</v>
      </c>
      <c r="N183" s="13">
        <f>IF(ISTEXT(L183),N182,0)</f>
        <v>0</v>
      </c>
      <c r="O183" s="185">
        <f>IF(ISTEXT(L183),O182,0)</f>
        <v>0</v>
      </c>
      <c r="P183" s="9"/>
      <c r="Q183" s="202">
        <f>'Joueurs et TirageV'!Y50</f>
        <v>0</v>
      </c>
      <c r="R183" s="47">
        <f>IF(ISTEXT(Q183),R182,0)</f>
        <v>0</v>
      </c>
      <c r="S183" s="13">
        <f>IF(ISTEXT(Q183),S182,0)</f>
        <v>0</v>
      </c>
      <c r="T183" s="208">
        <f>IF(ISTEXT(Q183),T182,0)</f>
        <v>0</v>
      </c>
      <c r="U183" s="9"/>
      <c r="V183" s="217">
        <f>'Joueurs et TirageV'!AB50</f>
        <v>0</v>
      </c>
      <c r="W183" s="47">
        <f>IF(ISTEXT(V183),W182,0)</f>
        <v>0</v>
      </c>
      <c r="X183" s="13">
        <f>IF(ISTEXT(V183),X182,0)</f>
        <v>0</v>
      </c>
      <c r="Y183" s="164">
        <f>IF(ISTEXT(V183),Y182,0)</f>
        <v>0</v>
      </c>
      <c r="Z183" s="9"/>
      <c r="AA183" s="239">
        <f>'Joueurs et TirageV'!AE50</f>
        <v>0</v>
      </c>
      <c r="AB183" s="47">
        <f>IF(ISTEXT(AA183),AB182,0)</f>
        <v>0</v>
      </c>
      <c r="AC183" s="13">
        <f>IF(ISTEXT(AA183),AC182,0)</f>
        <v>0</v>
      </c>
      <c r="AD183" s="227">
        <f>IF(ISTEXT(AA183),AD182,0)</f>
        <v>0</v>
      </c>
    </row>
    <row r="184" spans="1:30" ht="16.5" thickBot="1">
      <c r="A184" s="62"/>
      <c r="B184" s="150">
        <f>+'Joueurs et TirageV'!Q50</f>
        <v>0</v>
      </c>
      <c r="C184" s="151">
        <f>IF(ISTEXT(B184),C182,0)</f>
        <v>0</v>
      </c>
      <c r="D184" s="152">
        <f>IF(ISTEXT(B184),D182,0)</f>
        <v>0</v>
      </c>
      <c r="E184" s="153">
        <f>IF(ISTEXT(B184),E182,0)</f>
        <v>0</v>
      </c>
      <c r="F184" s="10"/>
      <c r="G184" s="165">
        <f>+'Joueurs et TirageV'!T50</f>
        <v>0</v>
      </c>
      <c r="H184" s="166">
        <f>IF(ISTEXT(G184),H182,0)</f>
        <v>0</v>
      </c>
      <c r="I184" s="167">
        <f>IF(ISTEXT(G184),I182,0)</f>
        <v>0</v>
      </c>
      <c r="J184" s="168">
        <f>IF(ISTEXT(G184),J182,0)</f>
        <v>0</v>
      </c>
      <c r="K184" s="10"/>
      <c r="L184" s="186">
        <f>+'Joueurs et TirageV'!W50</f>
        <v>0</v>
      </c>
      <c r="M184" s="187">
        <f>IF(ISTEXT(L184),M182,0)</f>
        <v>0</v>
      </c>
      <c r="N184" s="188">
        <f>IF(ISTEXT(L184),N182,0)</f>
        <v>0</v>
      </c>
      <c r="O184" s="189">
        <f>IF(ISTEXT(L184),O182,0)</f>
        <v>0</v>
      </c>
      <c r="P184" s="9"/>
      <c r="Q184" s="209">
        <f>+'Joueurs et TirageV'!Z50</f>
        <v>0</v>
      </c>
      <c r="R184" s="210">
        <f>IF(ISTEXT(Q184),R182,0)</f>
        <v>0</v>
      </c>
      <c r="S184" s="211">
        <f>IF(ISTEXT(Q184),S182,0)</f>
        <v>0</v>
      </c>
      <c r="T184" s="212">
        <f>IF(ISTEXT(Q184),T182,0)</f>
        <v>0</v>
      </c>
      <c r="U184" s="9"/>
      <c r="V184" s="218">
        <f>+'Joueurs et TirageV'!AC50</f>
        <v>0</v>
      </c>
      <c r="W184" s="166">
        <f>IF(ISTEXT(V184),W182,0)</f>
        <v>0</v>
      </c>
      <c r="X184" s="167">
        <f>IF(ISTEXT(V184),X182,0)</f>
        <v>0</v>
      </c>
      <c r="Y184" s="168">
        <f>IF(ISTEXT(V184),Y182,0)</f>
        <v>0</v>
      </c>
      <c r="Z184" s="9"/>
      <c r="AA184" s="240">
        <f>+'Joueurs et TirageV'!AF50</f>
        <v>0</v>
      </c>
      <c r="AB184" s="229">
        <f>IF(ISTEXT(AA184),AB182,0)</f>
        <v>0</v>
      </c>
      <c r="AC184" s="230">
        <f>IF(ISTEXT(AA184),AC182,0)</f>
        <v>0</v>
      </c>
      <c r="AD184" s="231">
        <f>IF(ISTEXT(AA184),AD182,0)</f>
        <v>0</v>
      </c>
    </row>
    <row r="185" spans="1:30" ht="17.25" thickTop="1" thickBot="1">
      <c r="A185" s="133"/>
      <c r="B185" s="12"/>
      <c r="C185" s="278"/>
      <c r="D185" s="12"/>
      <c r="E185" s="10"/>
      <c r="F185" s="10"/>
      <c r="G185" s="12"/>
      <c r="H185" s="10"/>
      <c r="I185" s="12"/>
      <c r="J185" s="10"/>
      <c r="K185" s="10"/>
      <c r="L185" s="12"/>
      <c r="M185" s="10"/>
      <c r="N185" s="12"/>
      <c r="O185" s="10"/>
      <c r="P185" s="9"/>
      <c r="Q185" s="12"/>
      <c r="R185" s="10"/>
      <c r="S185" s="12"/>
      <c r="T185" s="10"/>
      <c r="U185" s="9"/>
      <c r="V185" s="10"/>
      <c r="W185" s="10"/>
      <c r="X185" s="12"/>
      <c r="Y185" s="10"/>
      <c r="Z185" s="9"/>
      <c r="AA185" s="10"/>
      <c r="AB185" s="10"/>
      <c r="AC185" s="12"/>
      <c r="AD185" s="10"/>
    </row>
    <row r="186" spans="1:30" ht="16.5" thickTop="1">
      <c r="A186" s="133"/>
      <c r="B186" s="139">
        <f>'Joueurs et TirageV'!O51</f>
        <v>0</v>
      </c>
      <c r="C186" s="140">
        <v>0</v>
      </c>
      <c r="D186" s="141">
        <f>IF(C186+C190=0,0,IF(C186=C190,2,IF(C186&gt;C190,3,1)))</f>
        <v>0</v>
      </c>
      <c r="E186" s="142">
        <f>C186-C190</f>
        <v>0</v>
      </c>
      <c r="F186" s="18"/>
      <c r="G186" s="154">
        <f>'Joueurs et TirageV'!R51</f>
        <v>0</v>
      </c>
      <c r="H186" s="155"/>
      <c r="I186" s="156">
        <f>IF(H186+H190=0,0,IF(H186=H190,2,IF(H186&gt;H190,3,1)))</f>
        <v>0</v>
      </c>
      <c r="J186" s="157">
        <f>H186-H190</f>
        <v>0</v>
      </c>
      <c r="K186" s="18"/>
      <c r="L186" s="177">
        <f>'Joueurs et TirageV'!U51</f>
        <v>0</v>
      </c>
      <c r="M186" s="178"/>
      <c r="N186" s="179">
        <f>IF(M186+M190=0,0,IF(M186=M190,2,IF(M186&gt;M190,3,1)))</f>
        <v>0</v>
      </c>
      <c r="O186" s="180">
        <f>M186-M190</f>
        <v>0</v>
      </c>
      <c r="Q186" s="198">
        <f>'Joueurs et TirageV'!X51</f>
        <v>0</v>
      </c>
      <c r="R186" s="199"/>
      <c r="S186" s="200">
        <f>IF(R186+R190=0,0,IF(R186=R190,2,IF(R186&gt;R190,3,1)))</f>
        <v>0</v>
      </c>
      <c r="T186" s="201">
        <f>R186-R190</f>
        <v>0</v>
      </c>
      <c r="V186" s="213">
        <f>'Joueurs et TirageV'!AA51</f>
        <v>0</v>
      </c>
      <c r="W186" s="214"/>
      <c r="X186" s="156">
        <f>IF(W186+W190=0,0,IF(W186=W190,2,IF(W186&gt;W190,3,1)))</f>
        <v>0</v>
      </c>
      <c r="Y186" s="157">
        <f>W186-W190</f>
        <v>0</v>
      </c>
      <c r="AA186" s="236">
        <f>'Joueurs et TirageV'!AD51</f>
        <v>0</v>
      </c>
      <c r="AB186" s="220"/>
      <c r="AC186" s="221">
        <f>IF(AB186+AB190=0,0,IF(AB186=AB190,2,IF(AB186&gt;AB190,3,1)))</f>
        <v>0</v>
      </c>
      <c r="AD186" s="222">
        <f>AB186-AB190</f>
        <v>0</v>
      </c>
    </row>
    <row r="187" spans="1:30" ht="16.5" thickBot="1">
      <c r="A187" s="133">
        <v>45</v>
      </c>
      <c r="B187" s="143">
        <f>'Joueurs et TirageV'!P51</f>
        <v>0</v>
      </c>
      <c r="C187" s="129">
        <f>IF(ISTEXT(B187),C186,0)</f>
        <v>0</v>
      </c>
      <c r="D187" s="130">
        <f>IF(ISTEXT(B187),D186,0)</f>
        <v>0</v>
      </c>
      <c r="E187" s="144">
        <f>IF(ISTEXT(B187),E186,0)</f>
        <v>0</v>
      </c>
      <c r="F187" s="18"/>
      <c r="G187" s="158">
        <f>'Joueurs et TirageV'!S51</f>
        <v>0</v>
      </c>
      <c r="H187" s="129">
        <f>IF(ISTEXT(G187),H186,0)</f>
        <v>0</v>
      </c>
      <c r="I187" s="130">
        <f>IF(ISTEXT(G187),I186,0)</f>
        <v>0</v>
      </c>
      <c r="J187" s="159">
        <f>IF(ISTEXT(G187),J186,0)</f>
        <v>0</v>
      </c>
      <c r="K187" s="18"/>
      <c r="L187" s="181">
        <f>'Joueurs et TirageV'!V51</f>
        <v>0</v>
      </c>
      <c r="M187" s="129">
        <f>IF(ISTEXT(L187),M186,0)</f>
        <v>0</v>
      </c>
      <c r="N187" s="130">
        <f>IF(ISTEXT(L187),N186,0)</f>
        <v>0</v>
      </c>
      <c r="O187" s="182">
        <f>IF(ISTEXT(L187),O186,0)</f>
        <v>0</v>
      </c>
      <c r="Q187" s="202">
        <f>'Joueurs et TirageV'!Y51</f>
        <v>0</v>
      </c>
      <c r="R187" s="129">
        <f>IF(ISTEXT(Q187),R186,0)</f>
        <v>0</v>
      </c>
      <c r="S187" s="130">
        <f>IF(ISTEXT(Q187),S186,0)</f>
        <v>0</v>
      </c>
      <c r="T187" s="203">
        <f>IF(ISTEXT(Q187),T186,0)</f>
        <v>0</v>
      </c>
      <c r="V187" s="217">
        <f>'Joueurs et TirageV'!AB51</f>
        <v>0</v>
      </c>
      <c r="W187" s="129">
        <f>IF(ISTEXT(V187),W186,0)</f>
        <v>0</v>
      </c>
      <c r="X187" s="130">
        <f>IF(ISTEXT(V187),X186,0)</f>
        <v>0</v>
      </c>
      <c r="Y187" s="159">
        <f>IF(ISTEXT(V187),Y186,0)</f>
        <v>0</v>
      </c>
      <c r="AA187" s="239">
        <f>'Joueurs et TirageV'!AE51</f>
        <v>0</v>
      </c>
      <c r="AB187" s="129">
        <f>IF(ISTEXT(AA187),AB186,0)</f>
        <v>0</v>
      </c>
      <c r="AC187" s="130">
        <f>IF(ISTEXT(AA187),AC186,0)</f>
        <v>0</v>
      </c>
      <c r="AD187" s="224">
        <f>IF(ISTEXT(AA187),AD186,0)</f>
        <v>0</v>
      </c>
    </row>
    <row r="188" spans="1:30">
      <c r="A188" s="133"/>
      <c r="B188" s="143">
        <f>+'Joueurs et TirageV'!Q51</f>
        <v>0</v>
      </c>
      <c r="C188" s="127">
        <f>IF(ISTEXT(B188),C186,0)</f>
        <v>0</v>
      </c>
      <c r="D188" s="128">
        <f>IF(ISTEXT(B188),D186,0)</f>
        <v>0</v>
      </c>
      <c r="E188" s="145">
        <f>IF(ISTEXT(B188),E186,0)</f>
        <v>0</v>
      </c>
      <c r="F188" s="18"/>
      <c r="G188" s="158">
        <f>+'Joueurs et TirageV'!T51</f>
        <v>0</v>
      </c>
      <c r="H188" s="25">
        <f>IF(ISTEXT(G188),H186,0)</f>
        <v>0</v>
      </c>
      <c r="I188" s="26">
        <f>IF(ISTEXT(G188),I186,0)</f>
        <v>0</v>
      </c>
      <c r="J188" s="160">
        <f>IF(ISTEXT(G188),J186,0)</f>
        <v>0</v>
      </c>
      <c r="K188" s="18"/>
      <c r="L188" s="181">
        <f>+'Joueurs et TirageV'!W51</f>
        <v>0</v>
      </c>
      <c r="M188" s="11">
        <f>IF(ISTEXT(L188),M186,0)</f>
        <v>0</v>
      </c>
      <c r="N188" s="26">
        <f>IF(ISTEXT(L188),N186,0)</f>
        <v>0</v>
      </c>
      <c r="O188" s="183">
        <f>IF(ISTEXT(L188),O186,0)</f>
        <v>0</v>
      </c>
      <c r="Q188" s="202">
        <f>+'Joueurs et TirageV'!Z51</f>
        <v>0</v>
      </c>
      <c r="R188" s="11">
        <f>IF(ISTEXT(Q188),R186,0)</f>
        <v>0</v>
      </c>
      <c r="S188" s="26">
        <f>IF(ISTEXT(Q188),S186,0)</f>
        <v>0</v>
      </c>
      <c r="T188" s="204">
        <f>IF(ISTEXT(Q188),T186,0)</f>
        <v>0</v>
      </c>
      <c r="V188" s="217">
        <f>+'Joueurs et TirageV'!AC51</f>
        <v>0</v>
      </c>
      <c r="W188" s="11">
        <f>IF(ISTEXT(V188),W186,0)</f>
        <v>0</v>
      </c>
      <c r="X188" s="26">
        <f>IF(ISTEXT(V188),X186,0)</f>
        <v>0</v>
      </c>
      <c r="Y188" s="160">
        <f>IF(ISTEXT(V188),Y186,0)</f>
        <v>0</v>
      </c>
      <c r="AA188" s="239">
        <f>+'Joueurs et TirageV'!AF51</f>
        <v>0</v>
      </c>
      <c r="AB188" s="11">
        <f>IF(ISTEXT(AA188),AB186,0)</f>
        <v>0</v>
      </c>
      <c r="AC188" s="26">
        <f>IF(ISTEXT(AA188),AC186,0)</f>
        <v>0</v>
      </c>
      <c r="AD188" s="225">
        <f>IF(ISTEXT(AA188),AD186,0)</f>
        <v>0</v>
      </c>
    </row>
    <row r="189" spans="1:30">
      <c r="A189" s="133"/>
      <c r="B189" s="146"/>
      <c r="C189" s="137" t="s">
        <v>8</v>
      </c>
      <c r="D189" s="138"/>
      <c r="E189" s="147"/>
      <c r="F189" s="19"/>
      <c r="G189" s="169"/>
      <c r="H189" s="170" t="s">
        <v>8</v>
      </c>
      <c r="I189" s="171"/>
      <c r="J189" s="172"/>
      <c r="K189" s="19"/>
      <c r="L189" s="190"/>
      <c r="M189" s="191" t="s">
        <v>8</v>
      </c>
      <c r="N189" s="192"/>
      <c r="O189" s="193"/>
      <c r="P189" s="23"/>
      <c r="Q189" s="205"/>
      <c r="R189" s="196" t="s">
        <v>8</v>
      </c>
      <c r="S189" s="197"/>
      <c r="T189" s="206"/>
      <c r="U189" s="23"/>
      <c r="V189" s="215"/>
      <c r="W189" s="194" t="s">
        <v>8</v>
      </c>
      <c r="X189" s="195"/>
      <c r="Y189" s="216"/>
      <c r="Z189" s="23"/>
      <c r="AA189" s="232"/>
      <c r="AB189" s="233" t="s">
        <v>8</v>
      </c>
      <c r="AC189" s="234"/>
      <c r="AD189" s="235"/>
    </row>
    <row r="190" spans="1:30">
      <c r="A190" s="133">
        <v>46</v>
      </c>
      <c r="B190" s="143">
        <f>'Joueurs et TirageV'!O52</f>
        <v>0</v>
      </c>
      <c r="C190" s="28"/>
      <c r="D190" s="26">
        <f>IF(C186+C190=0,0,IF(C186=C190,2,IF(C186&lt;C190,3,1)))</f>
        <v>0</v>
      </c>
      <c r="E190" s="148">
        <f>C190-C186</f>
        <v>0</v>
      </c>
      <c r="F190" s="18"/>
      <c r="G190" s="158">
        <f>'Joueurs et TirageV'!R52</f>
        <v>0</v>
      </c>
      <c r="H190" s="131"/>
      <c r="I190" s="26">
        <f>IF(H186+H190=0,0,IF(H186=H190,2,IF(H186&lt;H190,3,1)))</f>
        <v>0</v>
      </c>
      <c r="J190" s="163">
        <f>H190-H186</f>
        <v>0</v>
      </c>
      <c r="K190" s="18"/>
      <c r="L190" s="181">
        <f>'Joueurs et TirageV'!U52</f>
        <v>0</v>
      </c>
      <c r="M190" s="29"/>
      <c r="N190" s="26">
        <f>IF(M186+M190=0,0,IF(M186=M190,2,IF(M186&lt;M190,3,1)))</f>
        <v>0</v>
      </c>
      <c r="O190" s="184">
        <f>M190-M186</f>
        <v>0</v>
      </c>
      <c r="Q190" s="202">
        <f>'Joueurs et TirageV'!X52</f>
        <v>0</v>
      </c>
      <c r="R190" s="30"/>
      <c r="S190" s="26">
        <f>IF(R186+R190=0,0,IF(R186=R190,2,IF(R186&lt;R190,3,1)))</f>
        <v>0</v>
      </c>
      <c r="T190" s="207">
        <f>R190-R186</f>
        <v>0</v>
      </c>
      <c r="V190" s="217">
        <f>'Joueurs et TirageV'!AA52</f>
        <v>0</v>
      </c>
      <c r="W190" s="31"/>
      <c r="X190" s="26">
        <f>IF(W186+W190=0,0,IF(W186=W190,2,IF(W186&lt;W190,3,1)))</f>
        <v>0</v>
      </c>
      <c r="Y190" s="163">
        <f>W190-W186</f>
        <v>0</v>
      </c>
      <c r="AA190" s="239">
        <f>'Joueurs et TirageV'!AD52</f>
        <v>0</v>
      </c>
      <c r="AB190" s="32"/>
      <c r="AC190" s="26">
        <f>IF(AB186+AB190=0,0,IF(AB186=AB190,2,IF(AB186&lt;AB190,3,1)))</f>
        <v>0</v>
      </c>
      <c r="AD190" s="226">
        <f>AB190-AB186</f>
        <v>0</v>
      </c>
    </row>
    <row r="191" spans="1:30" ht="16.5" thickBot="1">
      <c r="A191" s="133"/>
      <c r="B191" s="143">
        <f>'Joueurs et TirageV'!P52</f>
        <v>0</v>
      </c>
      <c r="C191" s="47">
        <f>IF(ISTEXT(B191),C190,0)</f>
        <v>0</v>
      </c>
      <c r="D191" s="13">
        <f>IF(ISTEXT(B191),D190,0)</f>
        <v>0</v>
      </c>
      <c r="E191" s="149">
        <f>IF(ISTEXT(B191),E190,0)</f>
        <v>0</v>
      </c>
      <c r="F191" s="10"/>
      <c r="G191" s="158">
        <f>'Joueurs et TirageV'!S52</f>
        <v>0</v>
      </c>
      <c r="H191" s="47">
        <f>IF(ISTEXT(G191),H190,0)</f>
        <v>0</v>
      </c>
      <c r="I191" s="13">
        <f>IF(ISTEXT(G191),I190,0)</f>
        <v>0</v>
      </c>
      <c r="J191" s="164">
        <f>IF(ISTEXT(G191),J190,0)</f>
        <v>0</v>
      </c>
      <c r="K191" s="10"/>
      <c r="L191" s="181">
        <f>'Joueurs et TirageV'!V52</f>
        <v>0</v>
      </c>
      <c r="M191" s="47">
        <f>IF(ISTEXT(L191),M190,0)</f>
        <v>0</v>
      </c>
      <c r="N191" s="13">
        <f>IF(ISTEXT(L191),N190,0)</f>
        <v>0</v>
      </c>
      <c r="O191" s="185">
        <f>IF(ISTEXT(L191),O190,0)</f>
        <v>0</v>
      </c>
      <c r="P191" s="9"/>
      <c r="Q191" s="202">
        <f>'Joueurs et TirageV'!Y52</f>
        <v>0</v>
      </c>
      <c r="R191" s="47">
        <f>IF(ISTEXT(Q191),R190,0)</f>
        <v>0</v>
      </c>
      <c r="S191" s="13">
        <f>IF(ISTEXT(Q191),S190,0)</f>
        <v>0</v>
      </c>
      <c r="T191" s="208">
        <f>IF(ISTEXT(Q191),T190,0)</f>
        <v>0</v>
      </c>
      <c r="U191" s="9"/>
      <c r="V191" s="217">
        <f>'Joueurs et TirageV'!AB52</f>
        <v>0</v>
      </c>
      <c r="W191" s="47">
        <f>IF(ISTEXT(V191),W190,0)</f>
        <v>0</v>
      </c>
      <c r="X191" s="13">
        <f>IF(ISTEXT(V191),X190,0)</f>
        <v>0</v>
      </c>
      <c r="Y191" s="164">
        <f>IF(ISTEXT(V191),Y190,0)</f>
        <v>0</v>
      </c>
      <c r="Z191" s="9"/>
      <c r="AA191" s="239">
        <f>'Joueurs et TirageV'!AE52</f>
        <v>0</v>
      </c>
      <c r="AB191" s="47">
        <f>IF(ISTEXT(AA191),AB190,0)</f>
        <v>0</v>
      </c>
      <c r="AC191" s="13">
        <f>IF(ISTEXT(AA191),AC190,0)</f>
        <v>0</v>
      </c>
      <c r="AD191" s="227">
        <f>IF(ISTEXT(AA191),AD190,0)</f>
        <v>0</v>
      </c>
    </row>
    <row r="192" spans="1:30" ht="16.5" thickBot="1">
      <c r="A192" s="133"/>
      <c r="B192" s="150">
        <f>+'Joueurs et TirageV'!Q52</f>
        <v>0</v>
      </c>
      <c r="C192" s="151">
        <f>IF(ISTEXT(B192),C190,0)</f>
        <v>0</v>
      </c>
      <c r="D192" s="152">
        <f>IF(ISTEXT(B192),D190,0)</f>
        <v>0</v>
      </c>
      <c r="E192" s="153">
        <f>IF(ISTEXT(B192),E190,0)</f>
        <v>0</v>
      </c>
      <c r="F192" s="10"/>
      <c r="G192" s="165">
        <f>+'Joueurs et TirageV'!T52</f>
        <v>0</v>
      </c>
      <c r="H192" s="166">
        <f>IF(ISTEXT(G192),H190,0)</f>
        <v>0</v>
      </c>
      <c r="I192" s="167">
        <f>IF(ISTEXT(G192),I190,0)</f>
        <v>0</v>
      </c>
      <c r="J192" s="168">
        <f>IF(ISTEXT(G192),J190,0)</f>
        <v>0</v>
      </c>
      <c r="K192" s="10"/>
      <c r="L192" s="186">
        <f>+'Joueurs et TirageV'!W52</f>
        <v>0</v>
      </c>
      <c r="M192" s="187">
        <f>IF(ISTEXT(L192),M190,0)</f>
        <v>0</v>
      </c>
      <c r="N192" s="188">
        <f>IF(ISTEXT(L192),N190,0)</f>
        <v>0</v>
      </c>
      <c r="O192" s="189">
        <f>IF(ISTEXT(L192),O190,0)</f>
        <v>0</v>
      </c>
      <c r="P192" s="9"/>
      <c r="Q192" s="209">
        <f>+'Joueurs et TirageV'!Z52</f>
        <v>0</v>
      </c>
      <c r="R192" s="210">
        <f>IF(ISTEXT(Q192),R190,0)</f>
        <v>0</v>
      </c>
      <c r="S192" s="211">
        <f>IF(ISTEXT(Q192),S190,0)</f>
        <v>0</v>
      </c>
      <c r="T192" s="212">
        <f>IF(ISTEXT(Q192),T190,0)</f>
        <v>0</v>
      </c>
      <c r="U192" s="9"/>
      <c r="V192" s="218">
        <f>+'Joueurs et TirageV'!AC52</f>
        <v>0</v>
      </c>
      <c r="W192" s="166">
        <f>IF(ISTEXT(V192),W190,0)</f>
        <v>0</v>
      </c>
      <c r="X192" s="167">
        <f>IF(ISTEXT(V192),X190,0)</f>
        <v>0</v>
      </c>
      <c r="Y192" s="168">
        <f>IF(ISTEXT(V192),Y190,0)</f>
        <v>0</v>
      </c>
      <c r="Z192" s="9"/>
      <c r="AA192" s="240">
        <f>+'Joueurs et TirageV'!AF52</f>
        <v>0</v>
      </c>
      <c r="AB192" s="229">
        <f>IF(ISTEXT(AA192),AB190,0)</f>
        <v>0</v>
      </c>
      <c r="AC192" s="230">
        <f>IF(ISTEXT(AA192),AC190,0)</f>
        <v>0</v>
      </c>
      <c r="AD192" s="231">
        <f>IF(ISTEXT(AA192),AD190,0)</f>
        <v>0</v>
      </c>
    </row>
    <row r="193" spans="1:30" ht="17.25" thickTop="1" thickBot="1">
      <c r="A193" s="133"/>
      <c r="B193" s="12"/>
      <c r="C193" s="278"/>
      <c r="D193" s="12"/>
      <c r="E193" s="10"/>
      <c r="F193" s="10"/>
      <c r="G193" s="12"/>
      <c r="H193" s="10"/>
      <c r="I193" s="12"/>
      <c r="J193" s="10"/>
      <c r="K193" s="10"/>
      <c r="L193" s="12"/>
      <c r="M193" s="10"/>
      <c r="N193" s="12"/>
      <c r="O193" s="10"/>
      <c r="P193" s="9"/>
      <c r="Q193" s="12"/>
      <c r="R193" s="10"/>
      <c r="S193" s="12"/>
      <c r="T193" s="10"/>
      <c r="U193" s="9"/>
      <c r="V193" s="10"/>
      <c r="W193" s="10"/>
      <c r="X193" s="12"/>
      <c r="Y193" s="10"/>
      <c r="Z193" s="9"/>
      <c r="AA193" s="10"/>
      <c r="AB193" s="10"/>
      <c r="AC193" s="12"/>
      <c r="AD193" s="10"/>
    </row>
    <row r="194" spans="1:30" ht="16.5" thickTop="1">
      <c r="A194" s="133"/>
      <c r="B194" s="139">
        <f>'Joueurs et TirageV'!O53</f>
        <v>0</v>
      </c>
      <c r="C194" s="140"/>
      <c r="D194" s="141">
        <f>IF(C194+C198=0,0,IF(C194=C198,2,IF(C194&gt;C198,3,1)))</f>
        <v>0</v>
      </c>
      <c r="E194" s="142">
        <f>C194-C198</f>
        <v>0</v>
      </c>
      <c r="F194" s="18"/>
      <c r="G194" s="154">
        <f>'Joueurs et TirageV'!R53</f>
        <v>0</v>
      </c>
      <c r="H194" s="155"/>
      <c r="I194" s="156">
        <f>IF(H194+H198=0,0,IF(H194=H198,2,IF(H194&gt;H198,3,1)))</f>
        <v>0</v>
      </c>
      <c r="J194" s="157">
        <f>H194-H198</f>
        <v>0</v>
      </c>
      <c r="K194" s="18"/>
      <c r="L194" s="177">
        <f>'Joueurs et TirageV'!U53</f>
        <v>0</v>
      </c>
      <c r="M194" s="178"/>
      <c r="N194" s="179">
        <f>IF(M194+M198=0,0,IF(M194=M198,2,IF(M194&gt;M198,3,1)))</f>
        <v>0</v>
      </c>
      <c r="O194" s="180">
        <f>M194-M198</f>
        <v>0</v>
      </c>
      <c r="Q194" s="198">
        <f>'Joueurs et TirageV'!X53</f>
        <v>0</v>
      </c>
      <c r="R194" s="199"/>
      <c r="S194" s="200">
        <f>IF(R194+R198=0,0,IF(R194=R198,2,IF(R194&gt;R198,3,1)))</f>
        <v>0</v>
      </c>
      <c r="T194" s="201">
        <f>R194-R198</f>
        <v>0</v>
      </c>
      <c r="V194" s="213">
        <f>'Joueurs et TirageV'!AA53</f>
        <v>0</v>
      </c>
      <c r="W194" s="214"/>
      <c r="X194" s="156">
        <f>IF(W194+W198=0,0,IF(W194=W198,2,IF(W194&gt;W198,3,1)))</f>
        <v>0</v>
      </c>
      <c r="Y194" s="157">
        <f>W194-W198</f>
        <v>0</v>
      </c>
      <c r="AA194" s="236">
        <f>'Joueurs et TirageV'!AD53</f>
        <v>0</v>
      </c>
      <c r="AB194" s="220"/>
      <c r="AC194" s="221">
        <f>IF(AB194+AB198=0,0,IF(AB194=AB198,2,IF(AB194&gt;AB198,3,1)))</f>
        <v>0</v>
      </c>
      <c r="AD194" s="222">
        <f>AB194-AB198</f>
        <v>0</v>
      </c>
    </row>
    <row r="195" spans="1:30" ht="16.5" thickBot="1">
      <c r="A195" s="133">
        <v>47</v>
      </c>
      <c r="B195" s="143">
        <f>'Joueurs et TirageV'!P53</f>
        <v>0</v>
      </c>
      <c r="C195" s="129">
        <f>IF(ISTEXT(B195),C194,0)</f>
        <v>0</v>
      </c>
      <c r="D195" s="130">
        <f>IF(ISTEXT(B195),D194,0)</f>
        <v>0</v>
      </c>
      <c r="E195" s="144">
        <f>IF(ISTEXT(B195),E194,0)</f>
        <v>0</v>
      </c>
      <c r="F195" s="18"/>
      <c r="G195" s="158">
        <f>'Joueurs et TirageV'!S53</f>
        <v>0</v>
      </c>
      <c r="H195" s="129">
        <f>IF(ISTEXT(G195),H194,0)</f>
        <v>0</v>
      </c>
      <c r="I195" s="130">
        <f>IF(ISTEXT(G195),I194,0)</f>
        <v>0</v>
      </c>
      <c r="J195" s="159">
        <f>IF(ISTEXT(G195),J194,0)</f>
        <v>0</v>
      </c>
      <c r="K195" s="18"/>
      <c r="L195" s="181">
        <f>'Joueurs et TirageV'!V53</f>
        <v>0</v>
      </c>
      <c r="M195" s="129">
        <f>IF(ISTEXT(L195),M194,0)</f>
        <v>0</v>
      </c>
      <c r="N195" s="130">
        <f>IF(ISTEXT(L195),N194,0)</f>
        <v>0</v>
      </c>
      <c r="O195" s="182">
        <f>IF(ISTEXT(L195),O194,0)</f>
        <v>0</v>
      </c>
      <c r="Q195" s="202">
        <f>'Joueurs et TirageV'!Y53</f>
        <v>0</v>
      </c>
      <c r="R195" s="129">
        <f>IF(ISTEXT(Q195),R194,0)</f>
        <v>0</v>
      </c>
      <c r="S195" s="130">
        <f>IF(ISTEXT(Q195),S194,0)</f>
        <v>0</v>
      </c>
      <c r="T195" s="203">
        <f>IF(ISTEXT(Q195),T194,0)</f>
        <v>0</v>
      </c>
      <c r="V195" s="217">
        <f>'Joueurs et TirageV'!AB53</f>
        <v>0</v>
      </c>
      <c r="W195" s="129">
        <f>IF(ISTEXT(V195),W194,0)</f>
        <v>0</v>
      </c>
      <c r="X195" s="130">
        <f>IF(ISTEXT(V195),X194,0)</f>
        <v>0</v>
      </c>
      <c r="Y195" s="159">
        <f>IF(ISTEXT(V195),Y194,0)</f>
        <v>0</v>
      </c>
      <c r="AA195" s="239">
        <f>'Joueurs et TirageV'!AE53</f>
        <v>0</v>
      </c>
      <c r="AB195" s="129">
        <f>IF(ISTEXT(AA195),AB194,0)</f>
        <v>0</v>
      </c>
      <c r="AC195" s="130">
        <f>IF(ISTEXT(AA195),AC194,0)</f>
        <v>0</v>
      </c>
      <c r="AD195" s="224">
        <f>IF(ISTEXT(AA195),AD194,0)</f>
        <v>0</v>
      </c>
    </row>
    <row r="196" spans="1:30">
      <c r="A196" s="133"/>
      <c r="B196" s="143">
        <f>+'Joueurs et TirageV'!Q53</f>
        <v>0</v>
      </c>
      <c r="C196" s="127">
        <f>IF(ISTEXT(B196),C194,0)</f>
        <v>0</v>
      </c>
      <c r="D196" s="128">
        <f>IF(ISTEXT(B196),D194,0)</f>
        <v>0</v>
      </c>
      <c r="E196" s="145">
        <f>IF(ISTEXT(B196),E194,0)</f>
        <v>0</v>
      </c>
      <c r="F196" s="18"/>
      <c r="G196" s="158">
        <f>+'Joueurs et TirageV'!T53</f>
        <v>0</v>
      </c>
      <c r="H196" s="25">
        <f>IF(ISTEXT(G196),H194,0)</f>
        <v>0</v>
      </c>
      <c r="I196" s="26">
        <f>IF(ISTEXT(G196),I194,0)</f>
        <v>0</v>
      </c>
      <c r="J196" s="160">
        <f>IF(ISTEXT(G196),J194,0)</f>
        <v>0</v>
      </c>
      <c r="K196" s="18"/>
      <c r="L196" s="181">
        <f>+'Joueurs et TirageV'!W53</f>
        <v>0</v>
      </c>
      <c r="M196" s="11">
        <f>IF(ISTEXT(L196),M194,0)</f>
        <v>0</v>
      </c>
      <c r="N196" s="26">
        <f>IF(ISTEXT(L196),N194,0)</f>
        <v>0</v>
      </c>
      <c r="O196" s="183">
        <f>IF(ISTEXT(L196),O194,0)</f>
        <v>0</v>
      </c>
      <c r="Q196" s="202">
        <f>+'Joueurs et TirageV'!Z53</f>
        <v>0</v>
      </c>
      <c r="R196" s="11">
        <f>IF(ISTEXT(Q196),R194,0)</f>
        <v>0</v>
      </c>
      <c r="S196" s="26">
        <f>IF(ISTEXT(Q196),S194,0)</f>
        <v>0</v>
      </c>
      <c r="T196" s="204">
        <f>IF(ISTEXT(Q196),T194,0)</f>
        <v>0</v>
      </c>
      <c r="V196" s="217">
        <f>+'Joueurs et TirageV'!AC53</f>
        <v>0</v>
      </c>
      <c r="W196" s="11">
        <f>IF(ISTEXT(V196),W194,0)</f>
        <v>0</v>
      </c>
      <c r="X196" s="26">
        <f>IF(ISTEXT(V196),X194,0)</f>
        <v>0</v>
      </c>
      <c r="Y196" s="160">
        <f>IF(ISTEXT(V196),Y194,0)</f>
        <v>0</v>
      </c>
      <c r="AA196" s="239">
        <f>+'Joueurs et TirageV'!AF53</f>
        <v>0</v>
      </c>
      <c r="AB196" s="11">
        <f>IF(ISTEXT(AA196),AB194,0)</f>
        <v>0</v>
      </c>
      <c r="AC196" s="26">
        <f>IF(ISTEXT(AA196),AC194,0)</f>
        <v>0</v>
      </c>
      <c r="AD196" s="225">
        <f>IF(ISTEXT(AA196),AD194,0)</f>
        <v>0</v>
      </c>
    </row>
    <row r="197" spans="1:30">
      <c r="A197" s="133"/>
      <c r="B197" s="146"/>
      <c r="C197" s="137" t="s">
        <v>8</v>
      </c>
      <c r="D197" s="138"/>
      <c r="E197" s="147"/>
      <c r="F197" s="19"/>
      <c r="G197" s="169"/>
      <c r="H197" s="170" t="s">
        <v>8</v>
      </c>
      <c r="I197" s="171"/>
      <c r="J197" s="172"/>
      <c r="K197" s="19"/>
      <c r="L197" s="190"/>
      <c r="M197" s="191" t="s">
        <v>8</v>
      </c>
      <c r="N197" s="192"/>
      <c r="O197" s="193"/>
      <c r="P197" s="23"/>
      <c r="Q197" s="205"/>
      <c r="R197" s="196" t="s">
        <v>8</v>
      </c>
      <c r="S197" s="197"/>
      <c r="T197" s="206"/>
      <c r="U197" s="23"/>
      <c r="V197" s="215"/>
      <c r="W197" s="194" t="s">
        <v>8</v>
      </c>
      <c r="X197" s="195"/>
      <c r="Y197" s="216"/>
      <c r="Z197" s="23"/>
      <c r="AA197" s="232"/>
      <c r="AB197" s="233" t="s">
        <v>8</v>
      </c>
      <c r="AC197" s="234"/>
      <c r="AD197" s="235"/>
    </row>
    <row r="198" spans="1:30">
      <c r="A198" s="133">
        <v>48</v>
      </c>
      <c r="B198" s="143">
        <f>'Joueurs et TirageV'!O54</f>
        <v>0</v>
      </c>
      <c r="C198" s="28"/>
      <c r="D198" s="26">
        <f>IF(C194+C198=0,0,IF(C194=C198,2,IF(C194&lt;C198,3,1)))</f>
        <v>0</v>
      </c>
      <c r="E198" s="148">
        <f>C198-C194</f>
        <v>0</v>
      </c>
      <c r="F198" s="18"/>
      <c r="G198" s="158">
        <f>'Joueurs et TirageV'!R54</f>
        <v>0</v>
      </c>
      <c r="H198" s="131"/>
      <c r="I198" s="26">
        <f>IF(H194+H198=0,0,IF(H194=H198,2,IF(H194&lt;H198,3,1)))</f>
        <v>0</v>
      </c>
      <c r="J198" s="163">
        <f>H198-H194</f>
        <v>0</v>
      </c>
      <c r="K198" s="18"/>
      <c r="L198" s="181">
        <f>'Joueurs et TirageV'!U54</f>
        <v>0</v>
      </c>
      <c r="M198" s="29"/>
      <c r="N198" s="26">
        <f>IF(M194+M198=0,0,IF(M194=M198,2,IF(M194&lt;M198,3,1)))</f>
        <v>0</v>
      </c>
      <c r="O198" s="184">
        <f>M198-M194</f>
        <v>0</v>
      </c>
      <c r="Q198" s="202">
        <f>'Joueurs et TirageV'!X54</f>
        <v>0</v>
      </c>
      <c r="R198" s="30"/>
      <c r="S198" s="26">
        <f>IF(R194+R198=0,0,IF(R194=R198,2,IF(R194&lt;R198,3,1)))</f>
        <v>0</v>
      </c>
      <c r="T198" s="207">
        <f>R198-R194</f>
        <v>0</v>
      </c>
      <c r="V198" s="217">
        <f>'Joueurs et TirageV'!AA54</f>
        <v>0</v>
      </c>
      <c r="W198" s="31"/>
      <c r="X198" s="26">
        <f>IF(W194+W198=0,0,IF(W194=W198,2,IF(W194&lt;W198,3,1)))</f>
        <v>0</v>
      </c>
      <c r="Y198" s="163">
        <f>W198-W194</f>
        <v>0</v>
      </c>
      <c r="AA198" s="239">
        <f>'Joueurs et TirageV'!AD54</f>
        <v>0</v>
      </c>
      <c r="AB198" s="32"/>
      <c r="AC198" s="26">
        <f>IF(AB194+AB198=0,0,IF(AB194=AB198,2,IF(AB194&lt;AB198,3,1)))</f>
        <v>0</v>
      </c>
      <c r="AD198" s="226">
        <f>AB198-AB194</f>
        <v>0</v>
      </c>
    </row>
    <row r="199" spans="1:30" ht="16.5" thickBot="1">
      <c r="A199" s="133"/>
      <c r="B199" s="143">
        <f>'Joueurs et TirageV'!P54</f>
        <v>0</v>
      </c>
      <c r="C199" s="47">
        <f>IF(ISTEXT(B199),C198,0)</f>
        <v>0</v>
      </c>
      <c r="D199" s="13">
        <f>IF(ISTEXT(B199),D198,0)</f>
        <v>0</v>
      </c>
      <c r="E199" s="149">
        <f>IF(ISTEXT(B199),E198,0)</f>
        <v>0</v>
      </c>
      <c r="F199" s="10"/>
      <c r="G199" s="158">
        <f>'Joueurs et TirageV'!S54</f>
        <v>0</v>
      </c>
      <c r="H199" s="47">
        <f>IF(ISTEXT(G199),H198,0)</f>
        <v>0</v>
      </c>
      <c r="I199" s="13">
        <f>IF(ISTEXT(G199),I198,0)</f>
        <v>0</v>
      </c>
      <c r="J199" s="164">
        <f>IF(ISTEXT(G199),J198,0)</f>
        <v>0</v>
      </c>
      <c r="K199" s="10"/>
      <c r="L199" s="181">
        <f>'Joueurs et TirageV'!V54</f>
        <v>0</v>
      </c>
      <c r="M199" s="47">
        <f>IF(ISTEXT(L199),M198,0)</f>
        <v>0</v>
      </c>
      <c r="N199" s="13">
        <f>IF(ISTEXT(L199),N198,0)</f>
        <v>0</v>
      </c>
      <c r="O199" s="185">
        <f>IF(ISTEXT(L199),O198,0)</f>
        <v>0</v>
      </c>
      <c r="P199" s="9"/>
      <c r="Q199" s="202">
        <f>'Joueurs et TirageV'!Y54</f>
        <v>0</v>
      </c>
      <c r="R199" s="47">
        <f>IF(ISTEXT(Q199),R198,0)</f>
        <v>0</v>
      </c>
      <c r="S199" s="13">
        <f>IF(ISTEXT(Q199),S198,0)</f>
        <v>0</v>
      </c>
      <c r="T199" s="208">
        <f>IF(ISTEXT(Q199),T198,0)</f>
        <v>0</v>
      </c>
      <c r="U199" s="9"/>
      <c r="V199" s="217">
        <f>'Joueurs et TirageV'!AB54</f>
        <v>0</v>
      </c>
      <c r="W199" s="47">
        <f>IF(ISTEXT(V199),W198,0)</f>
        <v>0</v>
      </c>
      <c r="X199" s="13">
        <f>IF(ISTEXT(V199),X198,0)</f>
        <v>0</v>
      </c>
      <c r="Y199" s="164">
        <f>IF(ISTEXT(V199),Y198,0)</f>
        <v>0</v>
      </c>
      <c r="Z199" s="9"/>
      <c r="AA199" s="239">
        <f>'Joueurs et TirageV'!AE54</f>
        <v>0</v>
      </c>
      <c r="AB199" s="47">
        <f>IF(ISTEXT(AA199),AB198,0)</f>
        <v>0</v>
      </c>
      <c r="AC199" s="13">
        <f>IF(ISTEXT(AA199),AC198,0)</f>
        <v>0</v>
      </c>
      <c r="AD199" s="227">
        <f>IF(ISTEXT(AA199),AD198,0)</f>
        <v>0</v>
      </c>
    </row>
    <row r="200" spans="1:30" ht="16.5" thickBot="1">
      <c r="A200" s="133"/>
      <c r="B200" s="150">
        <f>+'Joueurs et TirageV'!Q54</f>
        <v>0</v>
      </c>
      <c r="C200" s="151">
        <f>IF(ISTEXT(B200),C198,0)</f>
        <v>0</v>
      </c>
      <c r="D200" s="152">
        <f>IF(ISTEXT(B200),D198,0)</f>
        <v>0</v>
      </c>
      <c r="E200" s="153">
        <f>IF(ISTEXT(B200),E198,0)</f>
        <v>0</v>
      </c>
      <c r="F200" s="10"/>
      <c r="G200" s="165">
        <f>+'Joueurs et TirageV'!T54</f>
        <v>0</v>
      </c>
      <c r="H200" s="166">
        <f>IF(ISTEXT(G200),H198,0)</f>
        <v>0</v>
      </c>
      <c r="I200" s="167">
        <f>IF(ISTEXT(G200),I198,0)</f>
        <v>0</v>
      </c>
      <c r="J200" s="168">
        <f>IF(ISTEXT(G200),J198,0)</f>
        <v>0</v>
      </c>
      <c r="K200" s="10"/>
      <c r="L200" s="186">
        <f>+'Joueurs et TirageV'!W54</f>
        <v>0</v>
      </c>
      <c r="M200" s="187">
        <f>IF(ISTEXT(L200),M198,0)</f>
        <v>0</v>
      </c>
      <c r="N200" s="188">
        <f>IF(ISTEXT(L200),N198,0)</f>
        <v>0</v>
      </c>
      <c r="O200" s="189">
        <f>IF(ISTEXT(L200),O198,0)</f>
        <v>0</v>
      </c>
      <c r="P200" s="9"/>
      <c r="Q200" s="209">
        <f>+'Joueurs et TirageV'!Z54</f>
        <v>0</v>
      </c>
      <c r="R200" s="210">
        <f>IF(ISTEXT(Q200),R198,0)</f>
        <v>0</v>
      </c>
      <c r="S200" s="211">
        <f>IF(ISTEXT(Q200),S198,0)</f>
        <v>0</v>
      </c>
      <c r="T200" s="212">
        <f>IF(ISTEXT(Q200),T198,0)</f>
        <v>0</v>
      </c>
      <c r="U200" s="9"/>
      <c r="V200" s="218">
        <f>+'Joueurs et TirageV'!AC54</f>
        <v>0</v>
      </c>
      <c r="W200" s="166">
        <f>IF(ISTEXT(V200),W198,0)</f>
        <v>0</v>
      </c>
      <c r="X200" s="167">
        <f>IF(ISTEXT(V200),X198,0)</f>
        <v>0</v>
      </c>
      <c r="Y200" s="168">
        <f>IF(ISTEXT(V200),Y198,0)</f>
        <v>0</v>
      </c>
      <c r="Z200" s="9"/>
      <c r="AA200" s="240">
        <f>+'Joueurs et TirageV'!AF54</f>
        <v>0</v>
      </c>
      <c r="AB200" s="229">
        <f>IF(ISTEXT(AA200),AB198,0)</f>
        <v>0</v>
      </c>
      <c r="AC200" s="230">
        <f>IF(ISTEXT(AA200),AC198,0)</f>
        <v>0</v>
      </c>
      <c r="AD200" s="231">
        <f>IF(ISTEXT(AA200),AD198,0)</f>
        <v>0</v>
      </c>
    </row>
    <row r="201" spans="1:30" ht="17.25" thickTop="1" thickBot="1">
      <c r="A201" s="133"/>
      <c r="B201" s="12"/>
      <c r="C201" s="278"/>
      <c r="D201" s="12"/>
      <c r="E201" s="10"/>
      <c r="F201" s="10"/>
      <c r="G201" s="12"/>
      <c r="H201" s="10"/>
      <c r="I201" s="12"/>
      <c r="J201" s="10"/>
      <c r="K201" s="10"/>
      <c r="L201" s="12"/>
      <c r="M201" s="10"/>
      <c r="N201" s="12"/>
      <c r="O201" s="10"/>
      <c r="P201" s="9"/>
      <c r="Q201" s="12"/>
      <c r="R201" s="10"/>
      <c r="S201" s="12"/>
      <c r="T201" s="10"/>
      <c r="U201" s="9"/>
      <c r="V201" s="10"/>
      <c r="W201" s="10"/>
      <c r="X201" s="12"/>
      <c r="Y201" s="10"/>
      <c r="Z201" s="9"/>
      <c r="AA201" s="10"/>
      <c r="AB201" s="10"/>
      <c r="AC201" s="12"/>
      <c r="AD201" s="10"/>
    </row>
    <row r="202" spans="1:30" ht="16.5" thickTop="1">
      <c r="A202" s="133"/>
      <c r="B202" s="139">
        <f>'Joueurs et TirageV'!O55</f>
        <v>0</v>
      </c>
      <c r="C202" s="140"/>
      <c r="D202" s="141">
        <f>IF(C202+C206=0,0,IF(C202=C206,2,IF(C202&gt;C206,3,1)))</f>
        <v>0</v>
      </c>
      <c r="E202" s="142">
        <f>C202-C206</f>
        <v>0</v>
      </c>
      <c r="F202" s="18"/>
      <c r="G202" s="154">
        <f>'Joueurs et TirageV'!R55</f>
        <v>0</v>
      </c>
      <c r="H202" s="155"/>
      <c r="I202" s="156">
        <f>IF(H202+H206=0,0,IF(H202=H206,2,IF(H202&gt;H206,3,1)))</f>
        <v>0</v>
      </c>
      <c r="J202" s="157">
        <f>H202-H206</f>
        <v>0</v>
      </c>
      <c r="K202" s="18"/>
      <c r="L202" s="177">
        <f>'Joueurs et TirageV'!U55</f>
        <v>0</v>
      </c>
      <c r="M202" s="178"/>
      <c r="N202" s="179">
        <f>IF(M202+M206=0,0,IF(M202=M206,2,IF(M202&gt;M206,3,1)))</f>
        <v>0</v>
      </c>
      <c r="O202" s="180">
        <f>M202-M206</f>
        <v>0</v>
      </c>
      <c r="Q202" s="198">
        <f>'Joueurs et TirageV'!X55</f>
        <v>0</v>
      </c>
      <c r="R202" s="199"/>
      <c r="S202" s="200">
        <f>IF(R202+R206=0,0,IF(R202=R206,2,IF(R202&gt;R206,3,1)))</f>
        <v>0</v>
      </c>
      <c r="T202" s="201">
        <f>R202-R206</f>
        <v>0</v>
      </c>
      <c r="V202" s="213">
        <f>'Joueurs et TirageV'!AA55</f>
        <v>0</v>
      </c>
      <c r="W202" s="214"/>
      <c r="X202" s="156">
        <f>IF(W202+W206=0,0,IF(W202=W206,2,IF(W202&gt;W206,3,1)))</f>
        <v>0</v>
      </c>
      <c r="Y202" s="157">
        <f>W202-W206</f>
        <v>0</v>
      </c>
      <c r="AA202" s="236">
        <f>'Joueurs et TirageV'!AD55</f>
        <v>0</v>
      </c>
      <c r="AB202" s="220"/>
      <c r="AC202" s="221">
        <f>IF(AB202+AB206=0,0,IF(AB202=AB206,2,IF(AB202&gt;AB206,3,1)))</f>
        <v>0</v>
      </c>
      <c r="AD202" s="222">
        <f>AB202-AB206</f>
        <v>0</v>
      </c>
    </row>
    <row r="203" spans="1:30" ht="16.5" thickBot="1">
      <c r="A203" s="133">
        <v>49</v>
      </c>
      <c r="B203" s="143">
        <f>'Joueurs et TirageV'!P55</f>
        <v>0</v>
      </c>
      <c r="C203" s="129">
        <f>IF(ISTEXT(B203),C202,0)</f>
        <v>0</v>
      </c>
      <c r="D203" s="130">
        <f>IF(ISTEXT(B203),D202,0)</f>
        <v>0</v>
      </c>
      <c r="E203" s="144">
        <f>IF(ISTEXT(B203),E202,0)</f>
        <v>0</v>
      </c>
      <c r="F203" s="18"/>
      <c r="G203" s="158">
        <f>'Joueurs et TirageV'!S55</f>
        <v>0</v>
      </c>
      <c r="H203" s="129">
        <f>IF(ISTEXT(G203),H202,0)</f>
        <v>0</v>
      </c>
      <c r="I203" s="130">
        <f>IF(ISTEXT(G203),I202,0)</f>
        <v>0</v>
      </c>
      <c r="J203" s="159">
        <f>IF(ISTEXT(G203),J202,0)</f>
        <v>0</v>
      </c>
      <c r="K203" s="18"/>
      <c r="L203" s="181">
        <f>'Joueurs et TirageV'!V55</f>
        <v>0</v>
      </c>
      <c r="M203" s="129">
        <f>IF(ISTEXT(L203),M202,0)</f>
        <v>0</v>
      </c>
      <c r="N203" s="130">
        <f>IF(ISTEXT(L203),N202,0)</f>
        <v>0</v>
      </c>
      <c r="O203" s="182">
        <f>IF(ISTEXT(L203),O202,0)</f>
        <v>0</v>
      </c>
      <c r="Q203" s="202">
        <f>'Joueurs et TirageV'!Y55</f>
        <v>0</v>
      </c>
      <c r="R203" s="129">
        <f>IF(ISTEXT(Q203),R202,0)</f>
        <v>0</v>
      </c>
      <c r="S203" s="130">
        <f>IF(ISTEXT(Q203),S202,0)</f>
        <v>0</v>
      </c>
      <c r="T203" s="203">
        <f>IF(ISTEXT(Q203),T202,0)</f>
        <v>0</v>
      </c>
      <c r="V203" s="217">
        <f>'Joueurs et TirageV'!AB55</f>
        <v>0</v>
      </c>
      <c r="W203" s="129">
        <f>IF(ISTEXT(V203),W202,0)</f>
        <v>0</v>
      </c>
      <c r="X203" s="130">
        <f>IF(ISTEXT(V203),X202,0)</f>
        <v>0</v>
      </c>
      <c r="Y203" s="159">
        <f>IF(ISTEXT(V203),Y202,0)</f>
        <v>0</v>
      </c>
      <c r="AA203" s="239">
        <f>'Joueurs et TirageV'!AE55</f>
        <v>0</v>
      </c>
      <c r="AB203" s="129">
        <f>IF(ISTEXT(AA203),AB202,0)</f>
        <v>0</v>
      </c>
      <c r="AC203" s="130">
        <f>IF(ISTEXT(AA203),AC202,0)</f>
        <v>0</v>
      </c>
      <c r="AD203" s="224">
        <f>IF(ISTEXT(AA203),AD202,0)</f>
        <v>0</v>
      </c>
    </row>
    <row r="204" spans="1:30">
      <c r="A204" s="133"/>
      <c r="B204" s="143">
        <f>+'Joueurs et TirageV'!Q55</f>
        <v>0</v>
      </c>
      <c r="C204" s="127">
        <f>IF(ISTEXT(B204),C202,0)</f>
        <v>0</v>
      </c>
      <c r="D204" s="128">
        <f>IF(ISTEXT(B204),D202,0)</f>
        <v>0</v>
      </c>
      <c r="E204" s="145">
        <f>IF(ISTEXT(B204),E202,0)</f>
        <v>0</v>
      </c>
      <c r="F204" s="18"/>
      <c r="G204" s="158">
        <f>+'Joueurs et TirageV'!T55</f>
        <v>0</v>
      </c>
      <c r="H204" s="25">
        <f>IF(ISTEXT(G204),H202,0)</f>
        <v>0</v>
      </c>
      <c r="I204" s="26">
        <f>IF(ISTEXT(G204),I202,0)</f>
        <v>0</v>
      </c>
      <c r="J204" s="160">
        <f>IF(ISTEXT(G204),J202,0)</f>
        <v>0</v>
      </c>
      <c r="K204" s="18"/>
      <c r="L204" s="181">
        <f>+'Joueurs et TirageV'!W55</f>
        <v>0</v>
      </c>
      <c r="M204" s="11">
        <f>IF(ISTEXT(L204),M202,0)</f>
        <v>0</v>
      </c>
      <c r="N204" s="26">
        <f>IF(ISTEXT(L204),N202,0)</f>
        <v>0</v>
      </c>
      <c r="O204" s="183">
        <f>IF(ISTEXT(L204),O202,0)</f>
        <v>0</v>
      </c>
      <c r="Q204" s="202">
        <f>+'Joueurs et TirageV'!Z55</f>
        <v>0</v>
      </c>
      <c r="R204" s="11">
        <f>IF(ISTEXT(Q204),R202,0)</f>
        <v>0</v>
      </c>
      <c r="S204" s="26">
        <f>IF(ISTEXT(Q204),S202,0)</f>
        <v>0</v>
      </c>
      <c r="T204" s="204">
        <f>IF(ISTEXT(Q204),T202,0)</f>
        <v>0</v>
      </c>
      <c r="V204" s="217">
        <f>+'Joueurs et TirageV'!AC55</f>
        <v>0</v>
      </c>
      <c r="W204" s="11">
        <f>IF(ISTEXT(V204),W202,0)</f>
        <v>0</v>
      </c>
      <c r="X204" s="26">
        <f>IF(ISTEXT(V204),X202,0)</f>
        <v>0</v>
      </c>
      <c r="Y204" s="160">
        <f>IF(ISTEXT(V204),Y202,0)</f>
        <v>0</v>
      </c>
      <c r="AA204" s="239">
        <f>+'Joueurs et TirageV'!AF55</f>
        <v>0</v>
      </c>
      <c r="AB204" s="11">
        <f>IF(ISTEXT(AA204),AB202,0)</f>
        <v>0</v>
      </c>
      <c r="AC204" s="26">
        <f>IF(ISTEXT(AA204),AC202,0)</f>
        <v>0</v>
      </c>
      <c r="AD204" s="225">
        <f>IF(ISTEXT(AA204),AD202,0)</f>
        <v>0</v>
      </c>
    </row>
    <row r="205" spans="1:30">
      <c r="A205" s="133"/>
      <c r="B205" s="146"/>
      <c r="C205" s="137" t="s">
        <v>8</v>
      </c>
      <c r="D205" s="138"/>
      <c r="E205" s="147"/>
      <c r="F205" s="19"/>
      <c r="G205" s="169"/>
      <c r="H205" s="170" t="s">
        <v>8</v>
      </c>
      <c r="I205" s="171"/>
      <c r="J205" s="172"/>
      <c r="K205" s="19"/>
      <c r="L205" s="190"/>
      <c r="M205" s="191" t="s">
        <v>8</v>
      </c>
      <c r="N205" s="192"/>
      <c r="O205" s="193"/>
      <c r="P205" s="23"/>
      <c r="Q205" s="205"/>
      <c r="R205" s="196" t="s">
        <v>8</v>
      </c>
      <c r="S205" s="197"/>
      <c r="T205" s="206"/>
      <c r="U205" s="23"/>
      <c r="V205" s="215"/>
      <c r="W205" s="194" t="s">
        <v>8</v>
      </c>
      <c r="X205" s="195"/>
      <c r="Y205" s="216"/>
      <c r="Z205" s="23"/>
      <c r="AA205" s="232"/>
      <c r="AB205" s="233" t="s">
        <v>8</v>
      </c>
      <c r="AC205" s="234"/>
      <c r="AD205" s="235"/>
    </row>
    <row r="206" spans="1:30">
      <c r="A206" s="133">
        <v>50</v>
      </c>
      <c r="B206" s="143">
        <f>'Joueurs et TirageV'!O56</f>
        <v>0</v>
      </c>
      <c r="C206" s="28"/>
      <c r="D206" s="26">
        <f>IF(C202+C206=0,0,IF(C202=C206,2,IF(C202&lt;C206,3,1)))</f>
        <v>0</v>
      </c>
      <c r="E206" s="148">
        <f>C206-C202</f>
        <v>0</v>
      </c>
      <c r="F206" s="18"/>
      <c r="G206" s="158">
        <f>'Joueurs et TirageV'!R56</f>
        <v>0</v>
      </c>
      <c r="H206" s="131"/>
      <c r="I206" s="26">
        <f>IF(H202+H206=0,0,IF(H202=H206,2,IF(H202&lt;H206,3,1)))</f>
        <v>0</v>
      </c>
      <c r="J206" s="163">
        <f>H206-H202</f>
        <v>0</v>
      </c>
      <c r="K206" s="18"/>
      <c r="L206" s="181">
        <f>'Joueurs et TirageV'!U56</f>
        <v>0</v>
      </c>
      <c r="M206" s="29"/>
      <c r="N206" s="26">
        <f>IF(M202+M206=0,0,IF(M202=M206,2,IF(M202&lt;M206,3,1)))</f>
        <v>0</v>
      </c>
      <c r="O206" s="184">
        <f>M206-M202</f>
        <v>0</v>
      </c>
      <c r="Q206" s="202">
        <f>'Joueurs et TirageV'!X56</f>
        <v>0</v>
      </c>
      <c r="R206" s="30"/>
      <c r="S206" s="26">
        <f>IF(R202+R206=0,0,IF(R202=R206,2,IF(R202&lt;R206,3,1)))</f>
        <v>0</v>
      </c>
      <c r="T206" s="207">
        <f>R206-R202</f>
        <v>0</v>
      </c>
      <c r="V206" s="217">
        <f>'Joueurs et TirageV'!AA56</f>
        <v>0</v>
      </c>
      <c r="W206" s="31"/>
      <c r="X206" s="26">
        <f>IF(W202+W206=0,0,IF(W202=W206,2,IF(W202&lt;W206,3,1)))</f>
        <v>0</v>
      </c>
      <c r="Y206" s="163">
        <f>W206-W202</f>
        <v>0</v>
      </c>
      <c r="AA206" s="239">
        <f>'Joueurs et TirageV'!AD56</f>
        <v>0</v>
      </c>
      <c r="AB206" s="32"/>
      <c r="AC206" s="26">
        <f>IF(AB202+AB206=0,0,IF(AB202=AB206,2,IF(AB202&lt;AB206,3,1)))</f>
        <v>0</v>
      </c>
      <c r="AD206" s="226">
        <f>AB206-AB202</f>
        <v>0</v>
      </c>
    </row>
    <row r="207" spans="1:30" ht="16.5" thickBot="1">
      <c r="A207" s="133"/>
      <c r="B207" s="143">
        <f>'Joueurs et TirageV'!P56</f>
        <v>0</v>
      </c>
      <c r="C207" s="47">
        <f>IF(ISTEXT(B207),C206,0)</f>
        <v>0</v>
      </c>
      <c r="D207" s="13">
        <f>IF(ISTEXT(B207),D206,0)</f>
        <v>0</v>
      </c>
      <c r="E207" s="149">
        <f>IF(ISTEXT(B207),E206,0)</f>
        <v>0</v>
      </c>
      <c r="F207" s="10"/>
      <c r="G207" s="158">
        <f>'Joueurs et TirageV'!S56</f>
        <v>0</v>
      </c>
      <c r="H207" s="47">
        <f>IF(ISTEXT(G207),H206,0)</f>
        <v>0</v>
      </c>
      <c r="I207" s="13">
        <f>IF(ISTEXT(G207),I206,0)</f>
        <v>0</v>
      </c>
      <c r="J207" s="164">
        <f>IF(ISTEXT(G207),J206,0)</f>
        <v>0</v>
      </c>
      <c r="K207" s="10"/>
      <c r="L207" s="181">
        <f>'Joueurs et TirageV'!V56</f>
        <v>0</v>
      </c>
      <c r="M207" s="47">
        <f>IF(ISTEXT(L207),M206,0)</f>
        <v>0</v>
      </c>
      <c r="N207" s="13">
        <f>IF(ISTEXT(L207),N206,0)</f>
        <v>0</v>
      </c>
      <c r="O207" s="185">
        <f>IF(ISTEXT(L207),O206,0)</f>
        <v>0</v>
      </c>
      <c r="P207" s="9"/>
      <c r="Q207" s="202">
        <f>'Joueurs et TirageV'!Y56</f>
        <v>0</v>
      </c>
      <c r="R207" s="47">
        <f>IF(ISTEXT(Q207),R206,0)</f>
        <v>0</v>
      </c>
      <c r="S207" s="13">
        <f>IF(ISTEXT(Q207),S206,0)</f>
        <v>0</v>
      </c>
      <c r="T207" s="208">
        <f>IF(ISTEXT(Q207),T206,0)</f>
        <v>0</v>
      </c>
      <c r="U207" s="9"/>
      <c r="V207" s="217">
        <f>'Joueurs et TirageV'!AB56</f>
        <v>0</v>
      </c>
      <c r="W207" s="47">
        <f>IF(ISTEXT(V207),W206,0)</f>
        <v>0</v>
      </c>
      <c r="X207" s="13">
        <f>IF(ISTEXT(V207),X206,0)</f>
        <v>0</v>
      </c>
      <c r="Y207" s="164">
        <f>IF(ISTEXT(V207),Y206,0)</f>
        <v>0</v>
      </c>
      <c r="Z207" s="9"/>
      <c r="AA207" s="239">
        <f>'Joueurs et TirageV'!AE56</f>
        <v>0</v>
      </c>
      <c r="AB207" s="47">
        <f>IF(ISTEXT(AA207),AB206,0)</f>
        <v>0</v>
      </c>
      <c r="AC207" s="13">
        <f>IF(ISTEXT(AA207),AC206,0)</f>
        <v>0</v>
      </c>
      <c r="AD207" s="227">
        <f>IF(ISTEXT(AA207),AD206,0)</f>
        <v>0</v>
      </c>
    </row>
    <row r="208" spans="1:30" ht="16.5" thickBot="1">
      <c r="A208" s="133"/>
      <c r="B208" s="150">
        <f>+'Joueurs et TirageV'!Q56</f>
        <v>0</v>
      </c>
      <c r="C208" s="151">
        <f>IF(ISTEXT(B208),C206,0)</f>
        <v>0</v>
      </c>
      <c r="D208" s="152">
        <f>IF(ISTEXT(B208),D206,0)</f>
        <v>0</v>
      </c>
      <c r="E208" s="153">
        <f>IF(ISTEXT(B208),E206,0)</f>
        <v>0</v>
      </c>
      <c r="F208" s="10"/>
      <c r="G208" s="165">
        <f>+'Joueurs et TirageV'!T56</f>
        <v>0</v>
      </c>
      <c r="H208" s="166">
        <f>IF(ISTEXT(G208),H206,0)</f>
        <v>0</v>
      </c>
      <c r="I208" s="167">
        <f>IF(ISTEXT(G208),I206,0)</f>
        <v>0</v>
      </c>
      <c r="J208" s="168">
        <f>IF(ISTEXT(G208),J206,0)</f>
        <v>0</v>
      </c>
      <c r="K208" s="10"/>
      <c r="L208" s="186">
        <f>+'Joueurs et TirageV'!W56</f>
        <v>0</v>
      </c>
      <c r="M208" s="187">
        <f>IF(ISTEXT(L208),M206,0)</f>
        <v>0</v>
      </c>
      <c r="N208" s="188">
        <f>IF(ISTEXT(L208),N206,0)</f>
        <v>0</v>
      </c>
      <c r="O208" s="189">
        <f>IF(ISTEXT(L208),O206,0)</f>
        <v>0</v>
      </c>
      <c r="P208" s="9"/>
      <c r="Q208" s="209">
        <f>+'Joueurs et TirageV'!Z56</f>
        <v>0</v>
      </c>
      <c r="R208" s="210">
        <f>IF(ISTEXT(Q208),R206,0)</f>
        <v>0</v>
      </c>
      <c r="S208" s="211">
        <f>IF(ISTEXT(Q208),S206,0)</f>
        <v>0</v>
      </c>
      <c r="T208" s="212">
        <f>IF(ISTEXT(Q208),T206,0)</f>
        <v>0</v>
      </c>
      <c r="U208" s="9"/>
      <c r="V208" s="218">
        <f>+'Joueurs et TirageV'!AC56</f>
        <v>0</v>
      </c>
      <c r="W208" s="166">
        <f>IF(ISTEXT(V208),W206,0)</f>
        <v>0</v>
      </c>
      <c r="X208" s="167">
        <f>IF(ISTEXT(V208),X206,0)</f>
        <v>0</v>
      </c>
      <c r="Y208" s="168">
        <f>IF(ISTEXT(V208),Y206,0)</f>
        <v>0</v>
      </c>
      <c r="Z208" s="9"/>
      <c r="AA208" s="240">
        <f>+'Joueurs et TirageV'!AF56</f>
        <v>0</v>
      </c>
      <c r="AB208" s="229">
        <f>IF(ISTEXT(AA208),AB206,0)</f>
        <v>0</v>
      </c>
      <c r="AC208" s="230">
        <f>IF(ISTEXT(AA208),AC206,0)</f>
        <v>0</v>
      </c>
      <c r="AD208" s="231">
        <f>IF(ISTEXT(AA208),AD206,0)</f>
        <v>0</v>
      </c>
    </row>
    <row r="209" spans="1:30" ht="17.25" thickTop="1" thickBot="1">
      <c r="A209" s="62"/>
      <c r="B209" s="14"/>
      <c r="D209" s="9"/>
      <c r="E209" s="9"/>
      <c r="G209" s="14"/>
      <c r="I209" s="9"/>
      <c r="J209" s="9"/>
      <c r="L209" s="14"/>
      <c r="N209" s="9"/>
      <c r="O209" s="9"/>
      <c r="Q209" s="14"/>
      <c r="S209" s="9"/>
      <c r="T209" s="9"/>
      <c r="V209" s="9"/>
      <c r="X209" s="9"/>
      <c r="Y209" s="9"/>
      <c r="AA209" s="9"/>
      <c r="AC209" s="9"/>
      <c r="AD209" s="9"/>
    </row>
    <row r="210" spans="1:30" ht="16.5" thickTop="1">
      <c r="A210" s="62"/>
      <c r="B210" s="139">
        <f>'Joueurs et TirageV'!O57</f>
        <v>0</v>
      </c>
      <c r="C210" s="140"/>
      <c r="D210" s="141">
        <f>IF(C210+C214=0,0,IF(C210=C214,2,IF(C210&gt;C214,3,1)))</f>
        <v>0</v>
      </c>
      <c r="E210" s="142">
        <f>C210-C214</f>
        <v>0</v>
      </c>
      <c r="F210" s="18"/>
      <c r="G210" s="154">
        <f>'Joueurs et TirageV'!R57</f>
        <v>0</v>
      </c>
      <c r="H210" s="155"/>
      <c r="I210" s="156">
        <f>IF(H210+H214=0,0,IF(H210=H214,2,IF(H210&gt;H214,3,1)))</f>
        <v>0</v>
      </c>
      <c r="J210" s="157">
        <f>H210-H214</f>
        <v>0</v>
      </c>
      <c r="K210" s="18"/>
      <c r="L210" s="177">
        <f>'Joueurs et TirageV'!U57</f>
        <v>0</v>
      </c>
      <c r="M210" s="178"/>
      <c r="N210" s="179">
        <f>IF(M210+M214=0,0,IF(M210=M214,2,IF(M210&gt;M214,3,1)))</f>
        <v>0</v>
      </c>
      <c r="O210" s="180">
        <f>M210-M214</f>
        <v>0</v>
      </c>
      <c r="Q210" s="198">
        <f>'Joueurs et TirageV'!X57</f>
        <v>0</v>
      </c>
      <c r="R210" s="199"/>
      <c r="S210" s="200">
        <f>IF(R210+R214=0,0,IF(R210=R214,2,IF(R210&gt;R214,3,1)))</f>
        <v>0</v>
      </c>
      <c r="T210" s="201">
        <f>R210-R214</f>
        <v>0</v>
      </c>
      <c r="V210" s="213">
        <f>'Joueurs et TirageV'!AA57</f>
        <v>0</v>
      </c>
      <c r="W210" s="214"/>
      <c r="X210" s="156">
        <f>IF(W210+W214=0,0,IF(W210=W214,2,IF(W210&gt;W214,3,1)))</f>
        <v>0</v>
      </c>
      <c r="Y210" s="157">
        <f>W210-W214</f>
        <v>0</v>
      </c>
      <c r="AA210" s="236">
        <f>'Joueurs et TirageV'!AD57</f>
        <v>0</v>
      </c>
      <c r="AB210" s="220"/>
      <c r="AC210" s="221">
        <f>IF(AB210+AB214=0,0,IF(AB210=AB214,2,IF(AB210&gt;AB214,3,1)))</f>
        <v>0</v>
      </c>
      <c r="AD210" s="222">
        <f>AB210-AB214</f>
        <v>0</v>
      </c>
    </row>
    <row r="211" spans="1:30" ht="16.5" thickBot="1">
      <c r="A211" s="62">
        <v>49</v>
      </c>
      <c r="B211" s="143">
        <f>'Joueurs et TirageV'!P57</f>
        <v>0</v>
      </c>
      <c r="C211" s="129">
        <f>IF(ISTEXT(B211),C210,0)</f>
        <v>0</v>
      </c>
      <c r="D211" s="130">
        <f>IF(ISTEXT(B211),D210,0)</f>
        <v>0</v>
      </c>
      <c r="E211" s="144">
        <f>IF(ISTEXT(B211),E210,0)</f>
        <v>0</v>
      </c>
      <c r="F211" s="18"/>
      <c r="G211" s="158">
        <f>'Joueurs et TirageV'!S57</f>
        <v>0</v>
      </c>
      <c r="H211" s="129">
        <f>IF(ISTEXT(G211),H210,0)</f>
        <v>0</v>
      </c>
      <c r="I211" s="130">
        <f>IF(ISTEXT(G211),I210,0)</f>
        <v>0</v>
      </c>
      <c r="J211" s="159">
        <f>IF(ISTEXT(G211),J210,0)</f>
        <v>0</v>
      </c>
      <c r="K211" s="18"/>
      <c r="L211" s="181">
        <f>'Joueurs et TirageV'!V57</f>
        <v>0</v>
      </c>
      <c r="M211" s="129">
        <f>IF(ISTEXT(L211),M210,0)</f>
        <v>0</v>
      </c>
      <c r="N211" s="130">
        <f>IF(ISTEXT(L211),N210,0)</f>
        <v>0</v>
      </c>
      <c r="O211" s="182">
        <f>IF(ISTEXT(L211),O210,0)</f>
        <v>0</v>
      </c>
      <c r="Q211" s="202">
        <f>'Joueurs et TirageV'!Y57</f>
        <v>0</v>
      </c>
      <c r="R211" s="129">
        <f>IF(ISTEXT(Q211),R210,0)</f>
        <v>0</v>
      </c>
      <c r="S211" s="130">
        <f>IF(ISTEXT(Q211),S210,0)</f>
        <v>0</v>
      </c>
      <c r="T211" s="203">
        <f>IF(ISTEXT(Q211),T210,0)</f>
        <v>0</v>
      </c>
      <c r="V211" s="217">
        <f>'Joueurs et TirageV'!AB57</f>
        <v>0</v>
      </c>
      <c r="W211" s="129">
        <f>IF(ISTEXT(V211),W210,0)</f>
        <v>0</v>
      </c>
      <c r="X211" s="130">
        <f>IF(ISTEXT(V211),X210,0)</f>
        <v>0</v>
      </c>
      <c r="Y211" s="159">
        <f>IF(ISTEXT(V211),Y210,0)</f>
        <v>0</v>
      </c>
      <c r="AA211" s="239">
        <f>'Joueurs et TirageV'!AE57</f>
        <v>0</v>
      </c>
      <c r="AB211" s="129">
        <f>IF(ISTEXT(AA211),AB210,0)</f>
        <v>0</v>
      </c>
      <c r="AC211" s="130">
        <f>IF(ISTEXT(AA211),AC210,0)</f>
        <v>0</v>
      </c>
      <c r="AD211" s="224">
        <f>IF(ISTEXT(AA211),AD210,0)</f>
        <v>0</v>
      </c>
    </row>
    <row r="212" spans="1:30">
      <c r="A212" s="62">
        <v>51</v>
      </c>
      <c r="B212" s="143">
        <f>+'Joueurs et TirageV'!Q57</f>
        <v>0</v>
      </c>
      <c r="C212" s="127">
        <f>IF(ISTEXT(B212),C210,0)</f>
        <v>0</v>
      </c>
      <c r="D212" s="128">
        <f>IF(ISTEXT(B212),D210,0)</f>
        <v>0</v>
      </c>
      <c r="E212" s="145">
        <f>IF(ISTEXT(B212),E210,0)</f>
        <v>0</v>
      </c>
      <c r="F212" s="18"/>
      <c r="G212" s="158">
        <f>+'Joueurs et TirageV'!T57</f>
        <v>0</v>
      </c>
      <c r="H212" s="25">
        <f>IF(ISTEXT(G212),H210,0)</f>
        <v>0</v>
      </c>
      <c r="I212" s="26">
        <f>IF(ISTEXT(G212),I210,0)</f>
        <v>0</v>
      </c>
      <c r="J212" s="160">
        <f>IF(ISTEXT(G212),J210,0)</f>
        <v>0</v>
      </c>
      <c r="K212" s="18"/>
      <c r="L212" s="181">
        <f>+'Joueurs et TirageV'!W57</f>
        <v>0</v>
      </c>
      <c r="M212" s="11">
        <f>IF(ISTEXT(L212),M210,0)</f>
        <v>0</v>
      </c>
      <c r="N212" s="26">
        <f>IF(ISTEXT(L212),N210,0)</f>
        <v>0</v>
      </c>
      <c r="O212" s="183">
        <f>IF(ISTEXT(L212),O210,0)</f>
        <v>0</v>
      </c>
      <c r="Q212" s="202">
        <f>+'Joueurs et TirageV'!Z57</f>
        <v>0</v>
      </c>
      <c r="R212" s="11">
        <f>IF(ISTEXT(Q212),R210,0)</f>
        <v>0</v>
      </c>
      <c r="S212" s="26">
        <f>IF(ISTEXT(Q212),S210,0)</f>
        <v>0</v>
      </c>
      <c r="T212" s="204">
        <f>IF(ISTEXT(Q212),T210,0)</f>
        <v>0</v>
      </c>
      <c r="V212" s="217">
        <f>+'Joueurs et TirageV'!AC57</f>
        <v>0</v>
      </c>
      <c r="W212" s="11">
        <f>IF(ISTEXT(V212),W210,0)</f>
        <v>0</v>
      </c>
      <c r="X212" s="26">
        <f>IF(ISTEXT(V212),X210,0)</f>
        <v>0</v>
      </c>
      <c r="Y212" s="160">
        <f>IF(ISTEXT(V212),Y210,0)</f>
        <v>0</v>
      </c>
      <c r="AA212" s="239">
        <f>+'Joueurs et TirageV'!AF57</f>
        <v>0</v>
      </c>
      <c r="AB212" s="11">
        <f>IF(ISTEXT(AA212),AB210,0)</f>
        <v>0</v>
      </c>
      <c r="AC212" s="26">
        <f>IF(ISTEXT(AA212),AC210,0)</f>
        <v>0</v>
      </c>
      <c r="AD212" s="225">
        <f>IF(ISTEXT(AA212),AD210,0)</f>
        <v>0</v>
      </c>
    </row>
    <row r="213" spans="1:30">
      <c r="A213" s="62"/>
      <c r="B213" s="146"/>
      <c r="C213" s="137" t="s">
        <v>8</v>
      </c>
      <c r="D213" s="138"/>
      <c r="E213" s="147"/>
      <c r="F213" s="19"/>
      <c r="G213" s="169"/>
      <c r="H213" s="170" t="s">
        <v>8</v>
      </c>
      <c r="I213" s="171"/>
      <c r="J213" s="172"/>
      <c r="K213" s="19"/>
      <c r="L213" s="190"/>
      <c r="M213" s="191" t="s">
        <v>8</v>
      </c>
      <c r="N213" s="192"/>
      <c r="O213" s="193"/>
      <c r="P213" s="23"/>
      <c r="Q213" s="205"/>
      <c r="R213" s="196" t="s">
        <v>8</v>
      </c>
      <c r="S213" s="197"/>
      <c r="T213" s="206"/>
      <c r="U213" s="23"/>
      <c r="V213" s="215"/>
      <c r="W213" s="194" t="s">
        <v>8</v>
      </c>
      <c r="X213" s="195"/>
      <c r="Y213" s="216"/>
      <c r="Z213" s="23"/>
      <c r="AA213" s="232"/>
      <c r="AB213" s="233" t="s">
        <v>8</v>
      </c>
      <c r="AC213" s="234"/>
      <c r="AD213" s="235"/>
    </row>
    <row r="214" spans="1:30">
      <c r="A214" s="62"/>
      <c r="B214" s="143">
        <f>'Joueurs et TirageV'!O58</f>
        <v>0</v>
      </c>
      <c r="C214" s="28"/>
      <c r="D214" s="26">
        <f>IF(C210+C214=0,0,IF(C210=C214,2,IF(C210&lt;C214,3,1)))</f>
        <v>0</v>
      </c>
      <c r="E214" s="148">
        <f>C214-C210</f>
        <v>0</v>
      </c>
      <c r="F214" s="18"/>
      <c r="G214" s="158">
        <f>'Joueurs et TirageV'!R58</f>
        <v>0</v>
      </c>
      <c r="H214" s="131"/>
      <c r="I214" s="26">
        <f>IF(H210+H214=0,0,IF(H210=H214,2,IF(H210&lt;H214,3,1)))</f>
        <v>0</v>
      </c>
      <c r="J214" s="163">
        <f>H214-H210</f>
        <v>0</v>
      </c>
      <c r="K214" s="18"/>
      <c r="L214" s="181">
        <f>'Joueurs et TirageV'!U58</f>
        <v>0</v>
      </c>
      <c r="M214" s="29"/>
      <c r="N214" s="26">
        <f>IF(M210+M214=0,0,IF(M210=M214,2,IF(M210&lt;M214,3,1)))</f>
        <v>0</v>
      </c>
      <c r="O214" s="184">
        <f>M214-M210</f>
        <v>0</v>
      </c>
      <c r="Q214" s="202">
        <f>'Joueurs et TirageV'!X58</f>
        <v>0</v>
      </c>
      <c r="R214" s="30"/>
      <c r="S214" s="26">
        <f>IF(R210+R214=0,0,IF(R210=R214,2,IF(R210&lt;R214,3,1)))</f>
        <v>0</v>
      </c>
      <c r="T214" s="207">
        <f>R214-R210</f>
        <v>0</v>
      </c>
      <c r="V214" s="217">
        <f>'Joueurs et TirageV'!AA58</f>
        <v>0</v>
      </c>
      <c r="W214" s="31"/>
      <c r="X214" s="26">
        <f>IF(W210+W214=0,0,IF(W210=W214,2,IF(W210&lt;W214,3,1)))</f>
        <v>0</v>
      </c>
      <c r="Y214" s="163">
        <f>W214-W210</f>
        <v>0</v>
      </c>
      <c r="AA214" s="239">
        <f>'Joueurs et TirageV'!AD58</f>
        <v>0</v>
      </c>
      <c r="AB214" s="32"/>
      <c r="AC214" s="26">
        <f>IF(AB210+AB214=0,0,IF(AB210=AB214,2,IF(AB210&lt;AB214,3,1)))</f>
        <v>0</v>
      </c>
      <c r="AD214" s="226">
        <f>AB214-AB210</f>
        <v>0</v>
      </c>
    </row>
    <row r="215" spans="1:30" ht="16.5" thickBot="1">
      <c r="A215" s="62">
        <v>52</v>
      </c>
      <c r="B215" s="143">
        <f>'Joueurs et TirageV'!P58</f>
        <v>0</v>
      </c>
      <c r="C215" s="47">
        <f>IF(ISTEXT(B215),C214,0)</f>
        <v>0</v>
      </c>
      <c r="D215" s="13">
        <f>IF(ISTEXT(B215),D214,0)</f>
        <v>0</v>
      </c>
      <c r="E215" s="149">
        <f>IF(ISTEXT(B215),E214,0)</f>
        <v>0</v>
      </c>
      <c r="F215" s="10"/>
      <c r="G215" s="158">
        <f>'Joueurs et TirageV'!S58</f>
        <v>0</v>
      </c>
      <c r="H215" s="47">
        <f>IF(ISTEXT(G215),H214,0)</f>
        <v>0</v>
      </c>
      <c r="I215" s="13">
        <f>IF(ISTEXT(G215),I214,0)</f>
        <v>0</v>
      </c>
      <c r="J215" s="164">
        <f>IF(ISTEXT(G215),J214,0)</f>
        <v>0</v>
      </c>
      <c r="K215" s="10"/>
      <c r="L215" s="181">
        <f>'Joueurs et TirageV'!V58</f>
        <v>0</v>
      </c>
      <c r="M215" s="47">
        <f>IF(ISTEXT(L215),M214,0)</f>
        <v>0</v>
      </c>
      <c r="N215" s="13">
        <f>IF(ISTEXT(L215),N214,0)</f>
        <v>0</v>
      </c>
      <c r="O215" s="185">
        <f>IF(ISTEXT(L215),O214,0)</f>
        <v>0</v>
      </c>
      <c r="P215" s="9"/>
      <c r="Q215" s="202">
        <f>'Joueurs et TirageV'!Y58</f>
        <v>0</v>
      </c>
      <c r="R215" s="47">
        <f>IF(ISTEXT(Q215),R214,0)</f>
        <v>0</v>
      </c>
      <c r="S215" s="13">
        <f>IF(ISTEXT(Q215),S214,0)</f>
        <v>0</v>
      </c>
      <c r="T215" s="208">
        <f>IF(ISTEXT(Q215),T214,0)</f>
        <v>0</v>
      </c>
      <c r="U215" s="9"/>
      <c r="V215" s="217">
        <f>'Joueurs et TirageV'!AB58</f>
        <v>0</v>
      </c>
      <c r="W215" s="47">
        <f>IF(ISTEXT(V215),W214,0)</f>
        <v>0</v>
      </c>
      <c r="X215" s="13">
        <f>IF(ISTEXT(V215),X214,0)</f>
        <v>0</v>
      </c>
      <c r="Y215" s="164">
        <f>IF(ISTEXT(V215),Y214,0)</f>
        <v>0</v>
      </c>
      <c r="Z215" s="9"/>
      <c r="AA215" s="239">
        <f>'Joueurs et TirageV'!AE58</f>
        <v>0</v>
      </c>
      <c r="AB215" s="47">
        <f>IF(ISTEXT(AA215),AB214,0)</f>
        <v>0</v>
      </c>
      <c r="AC215" s="13">
        <f>IF(ISTEXT(AA215),AC214,0)</f>
        <v>0</v>
      </c>
      <c r="AD215" s="227">
        <f>IF(ISTEXT(AA215),AD214,0)</f>
        <v>0</v>
      </c>
    </row>
    <row r="216" spans="1:30" ht="16.5" thickBot="1">
      <c r="A216" s="62"/>
      <c r="B216" s="150">
        <f>+'Joueurs et TirageV'!Q58</f>
        <v>0</v>
      </c>
      <c r="C216" s="151">
        <f>IF(ISTEXT(B216),C214,0)</f>
        <v>0</v>
      </c>
      <c r="D216" s="152">
        <f>IF(ISTEXT(B216),D214,0)</f>
        <v>0</v>
      </c>
      <c r="E216" s="153">
        <f>IF(ISTEXT(B216),E214,0)</f>
        <v>0</v>
      </c>
      <c r="F216" s="10"/>
      <c r="G216" s="165">
        <f>+'Joueurs et TirageV'!T58</f>
        <v>0</v>
      </c>
      <c r="H216" s="166">
        <f>IF(ISTEXT(G216),H214,0)</f>
        <v>0</v>
      </c>
      <c r="I216" s="167">
        <f>IF(ISTEXT(G216),I214,0)</f>
        <v>0</v>
      </c>
      <c r="J216" s="168">
        <f>IF(ISTEXT(G216),J214,0)</f>
        <v>0</v>
      </c>
      <c r="K216" s="10"/>
      <c r="L216" s="186">
        <f>+'Joueurs et TirageV'!W58</f>
        <v>0</v>
      </c>
      <c r="M216" s="187">
        <f>IF(ISTEXT(L216),M214,0)</f>
        <v>0</v>
      </c>
      <c r="N216" s="188">
        <f>IF(ISTEXT(L216),N214,0)</f>
        <v>0</v>
      </c>
      <c r="O216" s="189">
        <f>IF(ISTEXT(L216),O214,0)</f>
        <v>0</v>
      </c>
      <c r="P216" s="9"/>
      <c r="Q216" s="209">
        <f>+'Joueurs et TirageV'!Z58</f>
        <v>0</v>
      </c>
      <c r="R216" s="210">
        <f>IF(ISTEXT(Q216),R214,0)</f>
        <v>0</v>
      </c>
      <c r="S216" s="211">
        <f>IF(ISTEXT(Q216),S214,0)</f>
        <v>0</v>
      </c>
      <c r="T216" s="212">
        <f>IF(ISTEXT(Q216),T214,0)</f>
        <v>0</v>
      </c>
      <c r="U216" s="9"/>
      <c r="V216" s="218">
        <f>+'Joueurs et TirageV'!AC58</f>
        <v>0</v>
      </c>
      <c r="W216" s="166">
        <f>IF(ISTEXT(V216),W214,0)</f>
        <v>0</v>
      </c>
      <c r="X216" s="167">
        <f>IF(ISTEXT(V216),X214,0)</f>
        <v>0</v>
      </c>
      <c r="Y216" s="168">
        <f>IF(ISTEXT(V216),Y214,0)</f>
        <v>0</v>
      </c>
      <c r="Z216" s="9"/>
      <c r="AA216" s="240">
        <f>+'Joueurs et TirageV'!AF58</f>
        <v>0</v>
      </c>
      <c r="AB216" s="229">
        <f>IF(ISTEXT(AA216),AB214,0)</f>
        <v>0</v>
      </c>
      <c r="AC216" s="230">
        <f>IF(ISTEXT(AA216),AC214,0)</f>
        <v>0</v>
      </c>
      <c r="AD216" s="231">
        <f>IF(ISTEXT(AA216),AD214,0)</f>
        <v>0</v>
      </c>
    </row>
    <row r="217" spans="1:30" ht="17.25" thickTop="1" thickBot="1">
      <c r="A217" s="133"/>
      <c r="B217" s="12"/>
      <c r="C217" s="278"/>
      <c r="D217" s="12"/>
      <c r="E217" s="10"/>
      <c r="F217" s="10"/>
      <c r="G217" s="12"/>
      <c r="H217" s="10"/>
      <c r="I217" s="12"/>
      <c r="J217" s="10"/>
      <c r="K217" s="10"/>
      <c r="L217" s="12"/>
      <c r="M217" s="10"/>
      <c r="N217" s="12"/>
      <c r="O217" s="10"/>
      <c r="P217" s="9"/>
      <c r="Q217" s="12"/>
      <c r="R217" s="10"/>
      <c r="S217" s="12"/>
      <c r="T217" s="10"/>
      <c r="U217" s="9"/>
      <c r="V217" s="10"/>
      <c r="W217" s="10"/>
      <c r="X217" s="12"/>
      <c r="Y217" s="10"/>
      <c r="Z217" s="9"/>
      <c r="AA217" s="10"/>
      <c r="AB217" s="10"/>
      <c r="AC217" s="12"/>
      <c r="AD217" s="10"/>
    </row>
    <row r="218" spans="1:30" ht="16.5" thickTop="1">
      <c r="A218" s="133"/>
      <c r="B218" s="139">
        <f>'Joueurs et TirageV'!O59</f>
        <v>0</v>
      </c>
      <c r="C218" s="140">
        <v>0</v>
      </c>
      <c r="D218" s="141">
        <f>IF(C218+C222=0,0,IF(C218=C222,2,IF(C218&gt;C222,3,1)))</f>
        <v>0</v>
      </c>
      <c r="E218" s="142">
        <f>C218-C222</f>
        <v>0</v>
      </c>
      <c r="F218" s="18"/>
      <c r="G218" s="154">
        <f>'Joueurs et TirageV'!R59</f>
        <v>0</v>
      </c>
      <c r="H218" s="155"/>
      <c r="I218" s="156">
        <f>IF(H218+H222=0,0,IF(H218=H222,2,IF(H218&gt;H222,3,1)))</f>
        <v>0</v>
      </c>
      <c r="J218" s="157">
        <f>H218-H222</f>
        <v>0</v>
      </c>
      <c r="K218" s="18"/>
      <c r="L218" s="177">
        <f>'Joueurs et TirageV'!U59</f>
        <v>0</v>
      </c>
      <c r="M218" s="178"/>
      <c r="N218" s="179">
        <f>IF(M218+M222=0,0,IF(M218=M222,2,IF(M218&gt;M222,3,1)))</f>
        <v>0</v>
      </c>
      <c r="O218" s="180">
        <f>M218-M222</f>
        <v>0</v>
      </c>
      <c r="Q218" s="198">
        <f>'Joueurs et TirageV'!X59</f>
        <v>0</v>
      </c>
      <c r="R218" s="199"/>
      <c r="S218" s="200">
        <f>IF(R218+R222=0,0,IF(R218=R222,2,IF(R218&gt;R222,3,1)))</f>
        <v>0</v>
      </c>
      <c r="T218" s="201">
        <f>R218-R222</f>
        <v>0</v>
      </c>
      <c r="V218" s="213">
        <f>'Joueurs et TirageV'!AA59</f>
        <v>0</v>
      </c>
      <c r="W218" s="214"/>
      <c r="X218" s="156">
        <f>IF(W218+W222=0,0,IF(W218=W222,2,IF(W218&gt;W222,3,1)))</f>
        <v>0</v>
      </c>
      <c r="Y218" s="157">
        <f>W218-W222</f>
        <v>0</v>
      </c>
      <c r="AA218" s="236">
        <f>'Joueurs et TirageV'!AD59</f>
        <v>0</v>
      </c>
      <c r="AB218" s="220"/>
      <c r="AC218" s="221">
        <f>IF(AB218+AB222=0,0,IF(AB218=AB222,2,IF(AB218&gt;AB222,3,1)))</f>
        <v>0</v>
      </c>
      <c r="AD218" s="222">
        <f>AB218-AB222</f>
        <v>0</v>
      </c>
    </row>
    <row r="219" spans="1:30" ht="16.5" thickBot="1">
      <c r="A219" s="133">
        <v>53</v>
      </c>
      <c r="B219" s="143">
        <f>'Joueurs et TirageV'!P59</f>
        <v>0</v>
      </c>
      <c r="C219" s="129">
        <f>IF(ISTEXT(B219),C218,0)</f>
        <v>0</v>
      </c>
      <c r="D219" s="130">
        <f>IF(ISTEXT(B219),D218,0)</f>
        <v>0</v>
      </c>
      <c r="E219" s="144">
        <f>IF(ISTEXT(B219),E218,0)</f>
        <v>0</v>
      </c>
      <c r="F219" s="18"/>
      <c r="G219" s="158">
        <f>'Joueurs et TirageV'!S59</f>
        <v>0</v>
      </c>
      <c r="H219" s="129">
        <f>IF(ISTEXT(G219),H218,0)</f>
        <v>0</v>
      </c>
      <c r="I219" s="130">
        <f>IF(ISTEXT(G219),I218,0)</f>
        <v>0</v>
      </c>
      <c r="J219" s="159">
        <f>IF(ISTEXT(G219),J218,0)</f>
        <v>0</v>
      </c>
      <c r="K219" s="18"/>
      <c r="L219" s="181">
        <f>'Joueurs et TirageV'!V59</f>
        <v>0</v>
      </c>
      <c r="M219" s="129">
        <f>IF(ISTEXT(L219),M218,0)</f>
        <v>0</v>
      </c>
      <c r="N219" s="130">
        <f>IF(ISTEXT(L219),N218,0)</f>
        <v>0</v>
      </c>
      <c r="O219" s="182">
        <f>IF(ISTEXT(L219),O218,0)</f>
        <v>0</v>
      </c>
      <c r="Q219" s="202">
        <f>'Joueurs et TirageV'!Y59</f>
        <v>0</v>
      </c>
      <c r="R219" s="129">
        <f>IF(ISTEXT(Q219),R218,0)</f>
        <v>0</v>
      </c>
      <c r="S219" s="130">
        <f>IF(ISTEXT(Q219),S218,0)</f>
        <v>0</v>
      </c>
      <c r="T219" s="203">
        <f>IF(ISTEXT(Q219),T218,0)</f>
        <v>0</v>
      </c>
      <c r="V219" s="217">
        <f>'Joueurs et TirageV'!AB59</f>
        <v>0</v>
      </c>
      <c r="W219" s="129">
        <f>IF(ISTEXT(V219),W218,0)</f>
        <v>0</v>
      </c>
      <c r="X219" s="130">
        <f>IF(ISTEXT(V219),X218,0)</f>
        <v>0</v>
      </c>
      <c r="Y219" s="159">
        <f>IF(ISTEXT(V219),Y218,0)</f>
        <v>0</v>
      </c>
      <c r="AA219" s="239">
        <f>'Joueurs et TirageV'!AE59</f>
        <v>0</v>
      </c>
      <c r="AB219" s="129">
        <f>IF(ISTEXT(AA219),AB218,0)</f>
        <v>0</v>
      </c>
      <c r="AC219" s="130">
        <f>IF(ISTEXT(AA219),AC218,0)</f>
        <v>0</v>
      </c>
      <c r="AD219" s="224">
        <f>IF(ISTEXT(AA219),AD218,0)</f>
        <v>0</v>
      </c>
    </row>
    <row r="220" spans="1:30">
      <c r="A220" s="133"/>
      <c r="B220" s="143">
        <f>+'Joueurs et TirageV'!Q59</f>
        <v>0</v>
      </c>
      <c r="C220" s="127">
        <f>IF(ISTEXT(B220),C218,0)</f>
        <v>0</v>
      </c>
      <c r="D220" s="128">
        <f>IF(ISTEXT(B220),D218,0)</f>
        <v>0</v>
      </c>
      <c r="E220" s="145">
        <f>IF(ISTEXT(B220),E218,0)</f>
        <v>0</v>
      </c>
      <c r="F220" s="18"/>
      <c r="G220" s="158">
        <f>+'Joueurs et TirageV'!T59</f>
        <v>0</v>
      </c>
      <c r="H220" s="25">
        <f>IF(ISTEXT(G220),H218,0)</f>
        <v>0</v>
      </c>
      <c r="I220" s="26">
        <f>IF(ISTEXT(G220),I218,0)</f>
        <v>0</v>
      </c>
      <c r="J220" s="160">
        <f>IF(ISTEXT(G220),J218,0)</f>
        <v>0</v>
      </c>
      <c r="K220" s="18"/>
      <c r="L220" s="181">
        <f>+'Joueurs et TirageV'!W59</f>
        <v>0</v>
      </c>
      <c r="M220" s="11">
        <f>IF(ISTEXT(L220),M218,0)</f>
        <v>0</v>
      </c>
      <c r="N220" s="26">
        <f>IF(ISTEXT(L220),N218,0)</f>
        <v>0</v>
      </c>
      <c r="O220" s="183">
        <f>IF(ISTEXT(L220),O218,0)</f>
        <v>0</v>
      </c>
      <c r="Q220" s="202">
        <f>+'Joueurs et TirageV'!Z59</f>
        <v>0</v>
      </c>
      <c r="R220" s="11">
        <f>IF(ISTEXT(Q220),R218,0)</f>
        <v>0</v>
      </c>
      <c r="S220" s="26">
        <f>IF(ISTEXT(Q220),S218,0)</f>
        <v>0</v>
      </c>
      <c r="T220" s="204">
        <f>IF(ISTEXT(Q220),T218,0)</f>
        <v>0</v>
      </c>
      <c r="V220" s="217">
        <f>+'Joueurs et TirageV'!AC59</f>
        <v>0</v>
      </c>
      <c r="W220" s="11">
        <f>IF(ISTEXT(V220),W218,0)</f>
        <v>0</v>
      </c>
      <c r="X220" s="26">
        <f>IF(ISTEXT(V220),X218,0)</f>
        <v>0</v>
      </c>
      <c r="Y220" s="160">
        <f>IF(ISTEXT(V220),Y218,0)</f>
        <v>0</v>
      </c>
      <c r="AA220" s="239">
        <f>+'Joueurs et TirageV'!AF59</f>
        <v>0</v>
      </c>
      <c r="AB220" s="11">
        <f>IF(ISTEXT(AA220),AB218,0)</f>
        <v>0</v>
      </c>
      <c r="AC220" s="26">
        <f>IF(ISTEXT(AA220),AC218,0)</f>
        <v>0</v>
      </c>
      <c r="AD220" s="225">
        <f>IF(ISTEXT(AA220),AD218,0)</f>
        <v>0</v>
      </c>
    </row>
    <row r="221" spans="1:30">
      <c r="A221" s="133"/>
      <c r="B221" s="146"/>
      <c r="C221" s="137" t="s">
        <v>8</v>
      </c>
      <c r="D221" s="138"/>
      <c r="E221" s="147"/>
      <c r="F221" s="19"/>
      <c r="G221" s="169"/>
      <c r="H221" s="170" t="s">
        <v>8</v>
      </c>
      <c r="I221" s="171"/>
      <c r="J221" s="172"/>
      <c r="K221" s="19"/>
      <c r="L221" s="190"/>
      <c r="M221" s="191" t="s">
        <v>8</v>
      </c>
      <c r="N221" s="192"/>
      <c r="O221" s="193"/>
      <c r="P221" s="23"/>
      <c r="Q221" s="205"/>
      <c r="R221" s="196" t="s">
        <v>8</v>
      </c>
      <c r="S221" s="197"/>
      <c r="T221" s="206"/>
      <c r="U221" s="23"/>
      <c r="V221" s="215"/>
      <c r="W221" s="194" t="s">
        <v>8</v>
      </c>
      <c r="X221" s="195"/>
      <c r="Y221" s="216"/>
      <c r="Z221" s="23"/>
      <c r="AA221" s="232"/>
      <c r="AB221" s="233" t="s">
        <v>8</v>
      </c>
      <c r="AC221" s="234"/>
      <c r="AD221" s="235"/>
    </row>
    <row r="222" spans="1:30">
      <c r="A222" s="133"/>
      <c r="B222" s="143">
        <f>'Joueurs et TirageV'!O60</f>
        <v>0</v>
      </c>
      <c r="C222" s="28"/>
      <c r="D222" s="26">
        <f>IF(C218+C222=0,0,IF(C218=C222,2,IF(C218&lt;C222,3,1)))</f>
        <v>0</v>
      </c>
      <c r="E222" s="148">
        <f>C222-C218</f>
        <v>0</v>
      </c>
      <c r="F222" s="18"/>
      <c r="G222" s="158">
        <f>'Joueurs et TirageV'!R60</f>
        <v>0</v>
      </c>
      <c r="H222" s="131"/>
      <c r="I222" s="26">
        <f>IF(H218+H222=0,0,IF(H218=H222,2,IF(H218&lt;H222,3,1)))</f>
        <v>0</v>
      </c>
      <c r="J222" s="163">
        <f>H222-H218</f>
        <v>0</v>
      </c>
      <c r="K222" s="18"/>
      <c r="L222" s="181">
        <f>'Joueurs et TirageV'!U60</f>
        <v>0</v>
      </c>
      <c r="M222" s="29"/>
      <c r="N222" s="26">
        <f>IF(M218+M222=0,0,IF(M218=M222,2,IF(M218&lt;M222,3,1)))</f>
        <v>0</v>
      </c>
      <c r="O222" s="184">
        <f>M222-M218</f>
        <v>0</v>
      </c>
      <c r="Q222" s="202">
        <f>'Joueurs et TirageV'!X60</f>
        <v>0</v>
      </c>
      <c r="R222" s="30"/>
      <c r="S222" s="26">
        <f>IF(R218+R222=0,0,IF(R218=R222,2,IF(R218&lt;R222,3,1)))</f>
        <v>0</v>
      </c>
      <c r="T222" s="207">
        <f>R222-R218</f>
        <v>0</v>
      </c>
      <c r="V222" s="217">
        <f>'Joueurs et TirageV'!AA60</f>
        <v>0</v>
      </c>
      <c r="W222" s="31"/>
      <c r="X222" s="26">
        <f>IF(W218+W222=0,0,IF(W218=W222,2,IF(W218&lt;W222,3,1)))</f>
        <v>0</v>
      </c>
      <c r="Y222" s="163">
        <f>W222-W218</f>
        <v>0</v>
      </c>
      <c r="AA222" s="239">
        <f>'Joueurs et TirageV'!AD60</f>
        <v>0</v>
      </c>
      <c r="AB222" s="32"/>
      <c r="AC222" s="26">
        <f>IF(AB218+AB222=0,0,IF(AB218=AB222,2,IF(AB218&lt;AB222,3,1)))</f>
        <v>0</v>
      </c>
      <c r="AD222" s="226">
        <f>AB222-AB218</f>
        <v>0</v>
      </c>
    </row>
    <row r="223" spans="1:30" ht="16.5" thickBot="1">
      <c r="A223" s="133">
        <v>54</v>
      </c>
      <c r="B223" s="143">
        <f>'Joueurs et TirageV'!P60</f>
        <v>0</v>
      </c>
      <c r="C223" s="47">
        <f>IF(ISTEXT(B223),C222,0)</f>
        <v>0</v>
      </c>
      <c r="D223" s="13">
        <f>IF(ISTEXT(B223),D222,0)</f>
        <v>0</v>
      </c>
      <c r="E223" s="149">
        <f>IF(ISTEXT(B223),E222,0)</f>
        <v>0</v>
      </c>
      <c r="F223" s="10"/>
      <c r="G223" s="158">
        <f>'Joueurs et TirageV'!S60</f>
        <v>0</v>
      </c>
      <c r="H223" s="47">
        <f>IF(ISTEXT(G223),H222,0)</f>
        <v>0</v>
      </c>
      <c r="I223" s="13">
        <f>IF(ISTEXT(G223),I222,0)</f>
        <v>0</v>
      </c>
      <c r="J223" s="164">
        <f>IF(ISTEXT(G223),J222,0)</f>
        <v>0</v>
      </c>
      <c r="K223" s="10"/>
      <c r="L223" s="181">
        <f>'Joueurs et TirageV'!V60</f>
        <v>0</v>
      </c>
      <c r="M223" s="47">
        <f>IF(ISTEXT(L223),M222,0)</f>
        <v>0</v>
      </c>
      <c r="N223" s="13">
        <f>IF(ISTEXT(L223),N222,0)</f>
        <v>0</v>
      </c>
      <c r="O223" s="185">
        <f>IF(ISTEXT(L223),O222,0)</f>
        <v>0</v>
      </c>
      <c r="P223" s="9"/>
      <c r="Q223" s="202">
        <f>'Joueurs et TirageV'!Y60</f>
        <v>0</v>
      </c>
      <c r="R223" s="47">
        <f>IF(ISTEXT(Q223),R222,0)</f>
        <v>0</v>
      </c>
      <c r="S223" s="13">
        <f>IF(ISTEXT(Q223),S222,0)</f>
        <v>0</v>
      </c>
      <c r="T223" s="208">
        <f>IF(ISTEXT(Q223),T222,0)</f>
        <v>0</v>
      </c>
      <c r="U223" s="9"/>
      <c r="V223" s="217">
        <f>'Joueurs et TirageV'!AB60</f>
        <v>0</v>
      </c>
      <c r="W223" s="47">
        <f>IF(ISTEXT(V223),W222,0)</f>
        <v>0</v>
      </c>
      <c r="X223" s="13">
        <f>IF(ISTEXT(V223),X222,0)</f>
        <v>0</v>
      </c>
      <c r="Y223" s="164">
        <f>IF(ISTEXT(V223),Y222,0)</f>
        <v>0</v>
      </c>
      <c r="Z223" s="9"/>
      <c r="AA223" s="239">
        <f>'Joueurs et TirageV'!AE60</f>
        <v>0</v>
      </c>
      <c r="AB223" s="47">
        <f>IF(ISTEXT(AA223),AB222,0)</f>
        <v>0</v>
      </c>
      <c r="AC223" s="13">
        <f>IF(ISTEXT(AA223),AC222,0)</f>
        <v>0</v>
      </c>
      <c r="AD223" s="227">
        <f>IF(ISTEXT(AA223),AD222,0)</f>
        <v>0</v>
      </c>
    </row>
    <row r="224" spans="1:30" ht="16.5" thickBot="1">
      <c r="A224" s="133"/>
      <c r="B224" s="150">
        <f>+'Joueurs et TirageV'!Q60</f>
        <v>0</v>
      </c>
      <c r="C224" s="151">
        <f>IF(ISTEXT(B224),C222,0)</f>
        <v>0</v>
      </c>
      <c r="D224" s="152">
        <f>IF(ISTEXT(B224),D222,0)</f>
        <v>0</v>
      </c>
      <c r="E224" s="153">
        <f>IF(ISTEXT(B224),E222,0)</f>
        <v>0</v>
      </c>
      <c r="F224" s="10"/>
      <c r="G224" s="165">
        <f>+'Joueurs et TirageV'!T60</f>
        <v>0</v>
      </c>
      <c r="H224" s="166">
        <f>IF(ISTEXT(G224),H222,0)</f>
        <v>0</v>
      </c>
      <c r="I224" s="167">
        <f>IF(ISTEXT(G224),I222,0)</f>
        <v>0</v>
      </c>
      <c r="J224" s="168">
        <f>IF(ISTEXT(G224),J222,0)</f>
        <v>0</v>
      </c>
      <c r="K224" s="10"/>
      <c r="L224" s="186">
        <f>+'Joueurs et TirageV'!W60</f>
        <v>0</v>
      </c>
      <c r="M224" s="187">
        <f>IF(ISTEXT(L224),M222,0)</f>
        <v>0</v>
      </c>
      <c r="N224" s="188">
        <f>IF(ISTEXT(L224),N222,0)</f>
        <v>0</v>
      </c>
      <c r="O224" s="189">
        <f>IF(ISTEXT(L224),O222,0)</f>
        <v>0</v>
      </c>
      <c r="P224" s="9"/>
      <c r="Q224" s="209">
        <f>+'Joueurs et TirageV'!Z60</f>
        <v>0</v>
      </c>
      <c r="R224" s="210">
        <f>IF(ISTEXT(Q224),R222,0)</f>
        <v>0</v>
      </c>
      <c r="S224" s="211">
        <f>IF(ISTEXT(Q224),S222,0)</f>
        <v>0</v>
      </c>
      <c r="T224" s="212">
        <f>IF(ISTEXT(Q224),T222,0)</f>
        <v>0</v>
      </c>
      <c r="U224" s="9"/>
      <c r="V224" s="218">
        <f>+'Joueurs et TirageV'!AC60</f>
        <v>0</v>
      </c>
      <c r="W224" s="166">
        <f>IF(ISTEXT(V224),W222,0)</f>
        <v>0</v>
      </c>
      <c r="X224" s="167">
        <f>IF(ISTEXT(V224),X222,0)</f>
        <v>0</v>
      </c>
      <c r="Y224" s="168">
        <f>IF(ISTEXT(V224),Y222,0)</f>
        <v>0</v>
      </c>
      <c r="Z224" s="9"/>
      <c r="AA224" s="240">
        <f>+'Joueurs et TirageV'!AF60</f>
        <v>0</v>
      </c>
      <c r="AB224" s="229">
        <f>IF(ISTEXT(AA224),AB222,0)</f>
        <v>0</v>
      </c>
      <c r="AC224" s="230">
        <f>IF(ISTEXT(AA224),AC222,0)</f>
        <v>0</v>
      </c>
      <c r="AD224" s="231">
        <f>IF(ISTEXT(AA224),AD222,0)</f>
        <v>0</v>
      </c>
    </row>
    <row r="225" spans="1:30" ht="17.25" thickTop="1" thickBot="1">
      <c r="A225" s="133"/>
      <c r="B225" s="12"/>
      <c r="C225" s="278"/>
      <c r="D225" s="12"/>
      <c r="E225" s="10"/>
      <c r="F225" s="10"/>
      <c r="G225" s="12"/>
      <c r="H225" s="10"/>
      <c r="I225" s="12"/>
      <c r="J225" s="10"/>
      <c r="K225" s="10"/>
      <c r="L225" s="12"/>
      <c r="M225" s="10"/>
      <c r="N225" s="12"/>
      <c r="O225" s="10"/>
      <c r="P225" s="9"/>
      <c r="Q225" s="12"/>
      <c r="R225" s="10"/>
      <c r="S225" s="12"/>
      <c r="T225" s="10"/>
      <c r="U225" s="9"/>
      <c r="V225" s="10"/>
      <c r="W225" s="10"/>
      <c r="X225" s="12"/>
      <c r="Y225" s="10"/>
      <c r="Z225" s="9"/>
      <c r="AA225" s="10"/>
      <c r="AB225" s="10"/>
      <c r="AC225" s="12"/>
      <c r="AD225" s="10"/>
    </row>
    <row r="226" spans="1:30" ht="16.5" thickTop="1">
      <c r="A226" s="133"/>
      <c r="B226" s="139">
        <f>'Joueurs et TirageV'!O61</f>
        <v>0</v>
      </c>
      <c r="C226" s="140"/>
      <c r="D226" s="141">
        <f>IF(C226+C230=0,0,IF(C226=C230,2,IF(C226&gt;C230,3,1)))</f>
        <v>0</v>
      </c>
      <c r="E226" s="142">
        <f>C226-C230</f>
        <v>0</v>
      </c>
      <c r="F226" s="18"/>
      <c r="G226" s="154">
        <f>'Joueurs et TirageV'!R61</f>
        <v>0</v>
      </c>
      <c r="H226" s="155"/>
      <c r="I226" s="156">
        <f>IF(H226+H230=0,0,IF(H226=H230,2,IF(H226&gt;H230,3,1)))</f>
        <v>0</v>
      </c>
      <c r="J226" s="157">
        <f>H226-H230</f>
        <v>0</v>
      </c>
      <c r="K226" s="18"/>
      <c r="L226" s="177">
        <f>'Joueurs et TirageV'!U61</f>
        <v>0</v>
      </c>
      <c r="M226" s="178"/>
      <c r="N226" s="179">
        <f>IF(M226+M230=0,0,IF(M226=M230,2,IF(M226&gt;M230,3,1)))</f>
        <v>0</v>
      </c>
      <c r="O226" s="180">
        <f>M226-M230</f>
        <v>0</v>
      </c>
      <c r="Q226" s="198">
        <f>'Joueurs et TirageV'!X61</f>
        <v>0</v>
      </c>
      <c r="R226" s="199"/>
      <c r="S226" s="200">
        <f>IF(R226+R230=0,0,IF(R226=R230,2,IF(R226&gt;R230,3,1)))</f>
        <v>0</v>
      </c>
      <c r="T226" s="201">
        <f>R226-R230</f>
        <v>0</v>
      </c>
      <c r="V226" s="213">
        <f>'Joueurs et TirageV'!AA61</f>
        <v>0</v>
      </c>
      <c r="W226" s="214"/>
      <c r="X226" s="156">
        <f>IF(W226+W230=0,0,IF(W226=W230,2,IF(W226&gt;W230,3,1)))</f>
        <v>0</v>
      </c>
      <c r="Y226" s="157">
        <f>W226-W230</f>
        <v>0</v>
      </c>
      <c r="AA226" s="236">
        <f>'Joueurs et TirageV'!AD61</f>
        <v>0</v>
      </c>
      <c r="AB226" s="220"/>
      <c r="AC226" s="221">
        <f>IF(AB226+AB230=0,0,IF(AB226=AB230,2,IF(AB226&gt;AB230,3,1)))</f>
        <v>0</v>
      </c>
      <c r="AD226" s="222">
        <f>AB226-AB230</f>
        <v>0</v>
      </c>
    </row>
    <row r="227" spans="1:30" ht="16.5" thickBot="1">
      <c r="A227" s="133">
        <v>55</v>
      </c>
      <c r="B227" s="143">
        <f>'Joueurs et TirageV'!P61</f>
        <v>0</v>
      </c>
      <c r="C227" s="129">
        <f>IF(ISTEXT(B227),C226,0)</f>
        <v>0</v>
      </c>
      <c r="D227" s="130">
        <f>IF(ISTEXT(B227),D226,0)</f>
        <v>0</v>
      </c>
      <c r="E227" s="144">
        <f>IF(ISTEXT(B227),E226,0)</f>
        <v>0</v>
      </c>
      <c r="F227" s="18"/>
      <c r="G227" s="158">
        <f>'Joueurs et TirageV'!S61</f>
        <v>0</v>
      </c>
      <c r="H227" s="129">
        <f>IF(ISTEXT(G227),H226,0)</f>
        <v>0</v>
      </c>
      <c r="I227" s="130">
        <f>IF(ISTEXT(G227),I226,0)</f>
        <v>0</v>
      </c>
      <c r="J227" s="159">
        <f>IF(ISTEXT(G227),J226,0)</f>
        <v>0</v>
      </c>
      <c r="K227" s="18"/>
      <c r="L227" s="181">
        <f>'Joueurs et TirageV'!V61</f>
        <v>0</v>
      </c>
      <c r="M227" s="129">
        <f>IF(ISTEXT(L227),M226,0)</f>
        <v>0</v>
      </c>
      <c r="N227" s="130">
        <f>IF(ISTEXT(L227),N226,0)</f>
        <v>0</v>
      </c>
      <c r="O227" s="182">
        <f>IF(ISTEXT(L227),O226,0)</f>
        <v>0</v>
      </c>
      <c r="Q227" s="202">
        <f>'Joueurs et TirageV'!Y61</f>
        <v>0</v>
      </c>
      <c r="R227" s="129">
        <f>IF(ISTEXT(Q227),R226,0)</f>
        <v>0</v>
      </c>
      <c r="S227" s="130">
        <f>IF(ISTEXT(Q227),S226,0)</f>
        <v>0</v>
      </c>
      <c r="T227" s="203">
        <f>IF(ISTEXT(Q227),T226,0)</f>
        <v>0</v>
      </c>
      <c r="V227" s="217">
        <f>'Joueurs et TirageV'!AB61</f>
        <v>0</v>
      </c>
      <c r="W227" s="129">
        <f>IF(ISTEXT(V227),W226,0)</f>
        <v>0</v>
      </c>
      <c r="X227" s="130">
        <f>IF(ISTEXT(V227),X226,0)</f>
        <v>0</v>
      </c>
      <c r="Y227" s="159">
        <f>IF(ISTEXT(V227),Y226,0)</f>
        <v>0</v>
      </c>
      <c r="AA227" s="239">
        <f>'Joueurs et TirageV'!AE61</f>
        <v>0</v>
      </c>
      <c r="AB227" s="129">
        <f>IF(ISTEXT(AA227),AB226,0)</f>
        <v>0</v>
      </c>
      <c r="AC227" s="130">
        <f>IF(ISTEXT(AA227),AC226,0)</f>
        <v>0</v>
      </c>
      <c r="AD227" s="224">
        <f>IF(ISTEXT(AA227),AD226,0)</f>
        <v>0</v>
      </c>
    </row>
    <row r="228" spans="1:30">
      <c r="A228" s="133"/>
      <c r="B228" s="143">
        <f>+'Joueurs et TirageV'!Q61</f>
        <v>0</v>
      </c>
      <c r="C228" s="127">
        <f>IF(ISTEXT(B228),C226,0)</f>
        <v>0</v>
      </c>
      <c r="D228" s="128">
        <f>IF(ISTEXT(B228),D226,0)</f>
        <v>0</v>
      </c>
      <c r="E228" s="145">
        <f>IF(ISTEXT(B228),E226,0)</f>
        <v>0</v>
      </c>
      <c r="F228" s="18"/>
      <c r="G228" s="158">
        <f>+'Joueurs et TirageV'!T61</f>
        <v>0</v>
      </c>
      <c r="H228" s="25">
        <f>IF(ISTEXT(G228),H226,0)</f>
        <v>0</v>
      </c>
      <c r="I228" s="26">
        <f>IF(ISTEXT(G228),I226,0)</f>
        <v>0</v>
      </c>
      <c r="J228" s="160">
        <f>IF(ISTEXT(G228),J226,0)</f>
        <v>0</v>
      </c>
      <c r="K228" s="18"/>
      <c r="L228" s="181">
        <f>+'Joueurs et TirageV'!W61</f>
        <v>0</v>
      </c>
      <c r="M228" s="11">
        <f>IF(ISTEXT(L228),M226,0)</f>
        <v>0</v>
      </c>
      <c r="N228" s="26">
        <f>IF(ISTEXT(L228),N226,0)</f>
        <v>0</v>
      </c>
      <c r="O228" s="183">
        <f>IF(ISTEXT(L228),O226,0)</f>
        <v>0</v>
      </c>
      <c r="Q228" s="202">
        <f>+'Joueurs et TirageV'!Z61</f>
        <v>0</v>
      </c>
      <c r="R228" s="11">
        <f>IF(ISTEXT(Q228),R226,0)</f>
        <v>0</v>
      </c>
      <c r="S228" s="26">
        <f>IF(ISTEXT(Q228),S226,0)</f>
        <v>0</v>
      </c>
      <c r="T228" s="204">
        <f>IF(ISTEXT(Q228),T226,0)</f>
        <v>0</v>
      </c>
      <c r="V228" s="217">
        <f>+'Joueurs et TirageV'!AC61</f>
        <v>0</v>
      </c>
      <c r="W228" s="11">
        <f>IF(ISTEXT(V228),W226,0)</f>
        <v>0</v>
      </c>
      <c r="X228" s="26">
        <f>IF(ISTEXT(V228),X226,0)</f>
        <v>0</v>
      </c>
      <c r="Y228" s="160">
        <f>IF(ISTEXT(V228),Y226,0)</f>
        <v>0</v>
      </c>
      <c r="AA228" s="239">
        <f>+'Joueurs et TirageV'!AF61</f>
        <v>0</v>
      </c>
      <c r="AB228" s="11">
        <f>IF(ISTEXT(AA228),AB226,0)</f>
        <v>0</v>
      </c>
      <c r="AC228" s="26">
        <f>IF(ISTEXT(AA228),AC226,0)</f>
        <v>0</v>
      </c>
      <c r="AD228" s="225">
        <f>IF(ISTEXT(AA228),AD226,0)</f>
        <v>0</v>
      </c>
    </row>
    <row r="229" spans="1:30">
      <c r="A229" s="133"/>
      <c r="B229" s="146"/>
      <c r="C229" s="137" t="s">
        <v>8</v>
      </c>
      <c r="D229" s="138"/>
      <c r="E229" s="147"/>
      <c r="F229" s="19"/>
      <c r="G229" s="169"/>
      <c r="H229" s="170" t="s">
        <v>8</v>
      </c>
      <c r="I229" s="171"/>
      <c r="J229" s="172"/>
      <c r="K229" s="19"/>
      <c r="L229" s="190"/>
      <c r="M229" s="191" t="s">
        <v>8</v>
      </c>
      <c r="N229" s="192"/>
      <c r="O229" s="193"/>
      <c r="P229" s="23"/>
      <c r="Q229" s="205"/>
      <c r="R229" s="196" t="s">
        <v>8</v>
      </c>
      <c r="S229" s="197"/>
      <c r="T229" s="206"/>
      <c r="U229" s="23"/>
      <c r="V229" s="215"/>
      <c r="W229" s="194" t="s">
        <v>8</v>
      </c>
      <c r="X229" s="195"/>
      <c r="Y229" s="216"/>
      <c r="Z229" s="23"/>
      <c r="AA229" s="232"/>
      <c r="AB229" s="233" t="s">
        <v>8</v>
      </c>
      <c r="AC229" s="234"/>
      <c r="AD229" s="235"/>
    </row>
    <row r="230" spans="1:30">
      <c r="A230" s="133"/>
      <c r="B230" s="143">
        <f>'Joueurs et TirageV'!O62</f>
        <v>0</v>
      </c>
      <c r="C230" s="28"/>
      <c r="D230" s="26">
        <f>IF(C226+C230=0,0,IF(C226=C230,2,IF(C226&lt;C230,3,1)))</f>
        <v>0</v>
      </c>
      <c r="E230" s="148">
        <f>C230-C226</f>
        <v>0</v>
      </c>
      <c r="F230" s="18"/>
      <c r="G230" s="158">
        <f>'Joueurs et TirageV'!R62</f>
        <v>0</v>
      </c>
      <c r="H230" s="131"/>
      <c r="I230" s="26">
        <f>IF(H226+H230=0,0,IF(H226=H230,2,IF(H226&lt;H230,3,1)))</f>
        <v>0</v>
      </c>
      <c r="J230" s="163">
        <f>H230-H226</f>
        <v>0</v>
      </c>
      <c r="K230" s="18"/>
      <c r="L230" s="181">
        <f>'Joueurs et TirageV'!U62</f>
        <v>0</v>
      </c>
      <c r="M230" s="29"/>
      <c r="N230" s="26">
        <f>IF(M226+M230=0,0,IF(M226=M230,2,IF(M226&lt;M230,3,1)))</f>
        <v>0</v>
      </c>
      <c r="O230" s="184">
        <f>M230-M226</f>
        <v>0</v>
      </c>
      <c r="Q230" s="202">
        <f>'Joueurs et TirageV'!X62</f>
        <v>0</v>
      </c>
      <c r="R230" s="30"/>
      <c r="S230" s="26">
        <f>IF(R226+R230=0,0,IF(R226=R230,2,IF(R226&lt;R230,3,1)))</f>
        <v>0</v>
      </c>
      <c r="T230" s="207">
        <f>R230-R226</f>
        <v>0</v>
      </c>
      <c r="V230" s="217">
        <f>'Joueurs et TirageV'!AA62</f>
        <v>0</v>
      </c>
      <c r="W230" s="31"/>
      <c r="X230" s="26">
        <f>IF(W226+W230=0,0,IF(W226=W230,2,IF(W226&lt;W230,3,1)))</f>
        <v>0</v>
      </c>
      <c r="Y230" s="163">
        <f>W230-W226</f>
        <v>0</v>
      </c>
      <c r="AA230" s="239">
        <f>'Joueurs et TirageV'!AD62</f>
        <v>0</v>
      </c>
      <c r="AB230" s="32"/>
      <c r="AC230" s="26">
        <f>IF(AB226+AB230=0,0,IF(AB226=AB230,2,IF(AB226&lt;AB230,3,1)))</f>
        <v>0</v>
      </c>
      <c r="AD230" s="226">
        <f>AB230-AB226</f>
        <v>0</v>
      </c>
    </row>
    <row r="231" spans="1:30" ht="16.5" thickBot="1">
      <c r="A231" s="133">
        <v>56</v>
      </c>
      <c r="B231" s="143">
        <f>'Joueurs et TirageV'!P62</f>
        <v>0</v>
      </c>
      <c r="C231" s="47">
        <f>IF(ISTEXT(B231),C230,0)</f>
        <v>0</v>
      </c>
      <c r="D231" s="13">
        <f>IF(ISTEXT(B231),D230,0)</f>
        <v>0</v>
      </c>
      <c r="E231" s="149">
        <f>IF(ISTEXT(B231),E230,0)</f>
        <v>0</v>
      </c>
      <c r="F231" s="10"/>
      <c r="G231" s="158">
        <f>'Joueurs et TirageV'!S62</f>
        <v>0</v>
      </c>
      <c r="H231" s="47">
        <f>IF(ISTEXT(G231),H230,0)</f>
        <v>0</v>
      </c>
      <c r="I231" s="13">
        <f>IF(ISTEXT(G231),I230,0)</f>
        <v>0</v>
      </c>
      <c r="J231" s="164">
        <f>IF(ISTEXT(G231),J230,0)</f>
        <v>0</v>
      </c>
      <c r="K231" s="10"/>
      <c r="L231" s="181">
        <f>'Joueurs et TirageV'!V62</f>
        <v>0</v>
      </c>
      <c r="M231" s="47">
        <f>IF(ISTEXT(L231),M230,0)</f>
        <v>0</v>
      </c>
      <c r="N231" s="13">
        <f>IF(ISTEXT(L231),N230,0)</f>
        <v>0</v>
      </c>
      <c r="O231" s="185">
        <f>IF(ISTEXT(L231),O230,0)</f>
        <v>0</v>
      </c>
      <c r="P231" s="9"/>
      <c r="Q231" s="202">
        <f>'Joueurs et TirageV'!Y62</f>
        <v>0</v>
      </c>
      <c r="R231" s="47">
        <f>IF(ISTEXT(Q231),R230,0)</f>
        <v>0</v>
      </c>
      <c r="S231" s="13">
        <f>IF(ISTEXT(Q231),S230,0)</f>
        <v>0</v>
      </c>
      <c r="T231" s="208">
        <f>IF(ISTEXT(Q231),T230,0)</f>
        <v>0</v>
      </c>
      <c r="U231" s="9"/>
      <c r="V231" s="217">
        <f>'Joueurs et TirageV'!AB62</f>
        <v>0</v>
      </c>
      <c r="W231" s="47">
        <f>IF(ISTEXT(V231),W230,0)</f>
        <v>0</v>
      </c>
      <c r="X231" s="13">
        <f>IF(ISTEXT(V231),X230,0)</f>
        <v>0</v>
      </c>
      <c r="Y231" s="164">
        <f>IF(ISTEXT(V231),Y230,0)</f>
        <v>0</v>
      </c>
      <c r="Z231" s="9"/>
      <c r="AA231" s="239">
        <f>'Joueurs et TirageV'!AE62</f>
        <v>0</v>
      </c>
      <c r="AB231" s="47">
        <f>IF(ISTEXT(AA231),AB230,0)</f>
        <v>0</v>
      </c>
      <c r="AC231" s="13">
        <f>IF(ISTEXT(AA231),AC230,0)</f>
        <v>0</v>
      </c>
      <c r="AD231" s="227">
        <f>IF(ISTEXT(AA231),AD230,0)</f>
        <v>0</v>
      </c>
    </row>
    <row r="232" spans="1:30" ht="16.5" thickBot="1">
      <c r="A232" s="133"/>
      <c r="B232" s="150">
        <f>+'Joueurs et TirageV'!Q62</f>
        <v>0</v>
      </c>
      <c r="C232" s="151">
        <f>IF(ISTEXT(B232),C230,0)</f>
        <v>0</v>
      </c>
      <c r="D232" s="152">
        <f>IF(ISTEXT(B232),D230,0)</f>
        <v>0</v>
      </c>
      <c r="E232" s="153">
        <f>IF(ISTEXT(B232),E230,0)</f>
        <v>0</v>
      </c>
      <c r="F232" s="10"/>
      <c r="G232" s="165">
        <f>+'Joueurs et TirageV'!T62</f>
        <v>0</v>
      </c>
      <c r="H232" s="166">
        <f>IF(ISTEXT(G232),H230,0)</f>
        <v>0</v>
      </c>
      <c r="I232" s="167">
        <f>IF(ISTEXT(G232),I230,0)</f>
        <v>0</v>
      </c>
      <c r="J232" s="168">
        <f>IF(ISTEXT(G232),J230,0)</f>
        <v>0</v>
      </c>
      <c r="K232" s="10"/>
      <c r="L232" s="186">
        <f>+'Joueurs et TirageV'!W62</f>
        <v>0</v>
      </c>
      <c r="M232" s="187">
        <f>IF(ISTEXT(L232),M230,0)</f>
        <v>0</v>
      </c>
      <c r="N232" s="188">
        <f>IF(ISTEXT(L232),N230,0)</f>
        <v>0</v>
      </c>
      <c r="O232" s="189">
        <f>IF(ISTEXT(L232),O230,0)</f>
        <v>0</v>
      </c>
      <c r="P232" s="9"/>
      <c r="Q232" s="209">
        <f>+'Joueurs et TirageV'!Z62</f>
        <v>0</v>
      </c>
      <c r="R232" s="210">
        <f>IF(ISTEXT(Q232),R230,0)</f>
        <v>0</v>
      </c>
      <c r="S232" s="211">
        <f>IF(ISTEXT(Q232),S230,0)</f>
        <v>0</v>
      </c>
      <c r="T232" s="212">
        <f>IF(ISTEXT(Q232),T230,0)</f>
        <v>0</v>
      </c>
      <c r="U232" s="9"/>
      <c r="V232" s="218">
        <f>+'Joueurs et TirageV'!AC62</f>
        <v>0</v>
      </c>
      <c r="W232" s="166">
        <f>IF(ISTEXT(V232),W230,0)</f>
        <v>0</v>
      </c>
      <c r="X232" s="167">
        <f>IF(ISTEXT(V232),X230,0)</f>
        <v>0</v>
      </c>
      <c r="Y232" s="168">
        <f>IF(ISTEXT(V232),Y230,0)</f>
        <v>0</v>
      </c>
      <c r="Z232" s="9"/>
      <c r="AA232" s="240">
        <f>+'Joueurs et TirageV'!AF62</f>
        <v>0</v>
      </c>
      <c r="AB232" s="229">
        <f>IF(ISTEXT(AA232),AB230,0)</f>
        <v>0</v>
      </c>
      <c r="AC232" s="230">
        <f>IF(ISTEXT(AA232),AC230,0)</f>
        <v>0</v>
      </c>
      <c r="AD232" s="231">
        <f>IF(ISTEXT(AA232),AD230,0)</f>
        <v>0</v>
      </c>
    </row>
    <row r="233" spans="1:30" ht="17.25" thickTop="1" thickBot="1">
      <c r="A233" s="133"/>
      <c r="B233" s="12"/>
      <c r="C233" s="278"/>
      <c r="D233" s="12"/>
      <c r="E233" s="10"/>
      <c r="F233" s="10"/>
      <c r="G233" s="12"/>
      <c r="H233" s="10"/>
      <c r="I233" s="12"/>
      <c r="J233" s="10"/>
      <c r="K233" s="10"/>
      <c r="L233" s="12"/>
      <c r="M233" s="10"/>
      <c r="N233" s="12"/>
      <c r="O233" s="10"/>
      <c r="P233" s="9"/>
      <c r="Q233" s="12"/>
      <c r="R233" s="10"/>
      <c r="S233" s="12"/>
      <c r="T233" s="10"/>
      <c r="U233" s="9"/>
      <c r="V233" s="10"/>
      <c r="W233" s="10"/>
      <c r="X233" s="12"/>
      <c r="Y233" s="10"/>
      <c r="Z233" s="9"/>
      <c r="AA233" s="10"/>
      <c r="AB233" s="10"/>
      <c r="AC233" s="12"/>
      <c r="AD233" s="10"/>
    </row>
    <row r="234" spans="1:30" ht="16.5" thickTop="1">
      <c r="A234" s="133"/>
      <c r="B234" s="139">
        <f>'Joueurs et TirageV'!O63</f>
        <v>0</v>
      </c>
      <c r="C234" s="140">
        <v>0</v>
      </c>
      <c r="D234" s="141">
        <f>IF(C234+C238=0,0,IF(C234=C238,2,IF(C234&gt;C238,3,1)))</f>
        <v>0</v>
      </c>
      <c r="E234" s="142">
        <f>C234-C238</f>
        <v>0</v>
      </c>
      <c r="F234" s="18"/>
      <c r="G234" s="154">
        <f>'Joueurs et TirageV'!R63</f>
        <v>0</v>
      </c>
      <c r="H234" s="155"/>
      <c r="I234" s="156">
        <f>IF(H234+H238=0,0,IF(H234=H238,2,IF(H234&gt;H238,3,1)))</f>
        <v>0</v>
      </c>
      <c r="J234" s="157">
        <f>H234-H238</f>
        <v>0</v>
      </c>
      <c r="K234" s="18"/>
      <c r="L234" s="177">
        <f>'Joueurs et TirageV'!U63</f>
        <v>0</v>
      </c>
      <c r="M234" s="178"/>
      <c r="N234" s="179">
        <f>IF(M234+M238=0,0,IF(M234=M238,2,IF(M234&gt;M238,3,1)))</f>
        <v>0</v>
      </c>
      <c r="O234" s="180">
        <f>M234-M238</f>
        <v>0</v>
      </c>
      <c r="Q234" s="198">
        <f>'Joueurs et TirageV'!X63</f>
        <v>0</v>
      </c>
      <c r="R234" s="199"/>
      <c r="S234" s="200">
        <f>IF(R234+R238=0,0,IF(R234=R238,2,IF(R234&gt;R238,3,1)))</f>
        <v>0</v>
      </c>
      <c r="T234" s="201">
        <f>R234-R238</f>
        <v>0</v>
      </c>
      <c r="V234" s="213">
        <f>'Joueurs et TirageV'!AA63</f>
        <v>0</v>
      </c>
      <c r="W234" s="214"/>
      <c r="X234" s="156">
        <f>IF(W234+W238=0,0,IF(W234=W238,2,IF(W234&gt;W238,3,1)))</f>
        <v>0</v>
      </c>
      <c r="Y234" s="157">
        <f>W234-W238</f>
        <v>0</v>
      </c>
      <c r="AA234" s="236">
        <f>'Joueurs et TirageV'!AD63</f>
        <v>0</v>
      </c>
      <c r="AB234" s="220"/>
      <c r="AC234" s="221">
        <f>IF(AB234+AB238=0,0,IF(AB234=AB238,2,IF(AB234&gt;AB238,3,1)))</f>
        <v>0</v>
      </c>
      <c r="AD234" s="222">
        <f>AB234-AB238</f>
        <v>0</v>
      </c>
    </row>
    <row r="235" spans="1:30" ht="16.5" thickBot="1">
      <c r="A235" s="133">
        <v>57</v>
      </c>
      <c r="B235" s="143">
        <f>'Joueurs et TirageV'!P63</f>
        <v>0</v>
      </c>
      <c r="C235" s="129">
        <f>IF(ISTEXT(B235),C234,0)</f>
        <v>0</v>
      </c>
      <c r="D235" s="130">
        <f>IF(ISTEXT(B235),D234,0)</f>
        <v>0</v>
      </c>
      <c r="E235" s="144">
        <f>IF(ISTEXT(B235),E234,0)</f>
        <v>0</v>
      </c>
      <c r="F235" s="18"/>
      <c r="G235" s="158">
        <f>'Joueurs et TirageV'!S63</f>
        <v>0</v>
      </c>
      <c r="H235" s="129">
        <f>IF(ISTEXT(G235),H234,0)</f>
        <v>0</v>
      </c>
      <c r="I235" s="130">
        <f>IF(ISTEXT(G235),I234,0)</f>
        <v>0</v>
      </c>
      <c r="J235" s="159">
        <f>IF(ISTEXT(G235),J234,0)</f>
        <v>0</v>
      </c>
      <c r="K235" s="18"/>
      <c r="L235" s="181">
        <f>'Joueurs et TirageV'!V63</f>
        <v>0</v>
      </c>
      <c r="M235" s="129">
        <f>IF(ISTEXT(L235),M234,0)</f>
        <v>0</v>
      </c>
      <c r="N235" s="130">
        <f>IF(ISTEXT(L235),N234,0)</f>
        <v>0</v>
      </c>
      <c r="O235" s="182">
        <f>IF(ISTEXT(L235),O234,0)</f>
        <v>0</v>
      </c>
      <c r="Q235" s="202">
        <f>'Joueurs et TirageV'!Y63</f>
        <v>0</v>
      </c>
      <c r="R235" s="129">
        <f>IF(ISTEXT(Q235),R234,0)</f>
        <v>0</v>
      </c>
      <c r="S235" s="130">
        <f>IF(ISTEXT(Q235),S234,0)</f>
        <v>0</v>
      </c>
      <c r="T235" s="203">
        <f>IF(ISTEXT(Q235),T234,0)</f>
        <v>0</v>
      </c>
      <c r="V235" s="217">
        <f>'Joueurs et TirageV'!AB63</f>
        <v>0</v>
      </c>
      <c r="W235" s="129">
        <f>IF(ISTEXT(V235),W234,0)</f>
        <v>0</v>
      </c>
      <c r="X235" s="130">
        <f>IF(ISTEXT(V235),X234,0)</f>
        <v>0</v>
      </c>
      <c r="Y235" s="159">
        <f>IF(ISTEXT(V235),Y234,0)</f>
        <v>0</v>
      </c>
      <c r="AA235" s="239">
        <f>'Joueurs et TirageV'!AE63</f>
        <v>0</v>
      </c>
      <c r="AB235" s="129">
        <f>IF(ISTEXT(AA235),AB234,0)</f>
        <v>0</v>
      </c>
      <c r="AC235" s="130">
        <f>IF(ISTEXT(AA235),AC234,0)</f>
        <v>0</v>
      </c>
      <c r="AD235" s="224">
        <f>IF(ISTEXT(AA235),AD234,0)</f>
        <v>0</v>
      </c>
    </row>
    <row r="236" spans="1:30">
      <c r="A236" s="133"/>
      <c r="B236" s="143">
        <f>+'Joueurs et TirageV'!Q63</f>
        <v>0</v>
      </c>
      <c r="C236" s="127">
        <f>IF(ISTEXT(B236),C234,0)</f>
        <v>0</v>
      </c>
      <c r="D236" s="128">
        <f>IF(ISTEXT(B236),D234,0)</f>
        <v>0</v>
      </c>
      <c r="E236" s="145">
        <f>IF(ISTEXT(B236),E234,0)</f>
        <v>0</v>
      </c>
      <c r="F236" s="18"/>
      <c r="G236" s="158">
        <f>+'Joueurs et TirageV'!T63</f>
        <v>0</v>
      </c>
      <c r="H236" s="25">
        <f>IF(ISTEXT(G236),H234,0)</f>
        <v>0</v>
      </c>
      <c r="I236" s="26">
        <f>IF(ISTEXT(G236),I234,0)</f>
        <v>0</v>
      </c>
      <c r="J236" s="160">
        <f>IF(ISTEXT(G236),J234,0)</f>
        <v>0</v>
      </c>
      <c r="K236" s="18"/>
      <c r="L236" s="181">
        <f>+'Joueurs et TirageV'!W63</f>
        <v>0</v>
      </c>
      <c r="M236" s="11">
        <f>IF(ISTEXT(L236),M234,0)</f>
        <v>0</v>
      </c>
      <c r="N236" s="26">
        <f>IF(ISTEXT(L236),N234,0)</f>
        <v>0</v>
      </c>
      <c r="O236" s="183">
        <f>IF(ISTEXT(L236),O234,0)</f>
        <v>0</v>
      </c>
      <c r="Q236" s="202">
        <f>+'Joueurs et TirageV'!Z63</f>
        <v>0</v>
      </c>
      <c r="R236" s="11">
        <f>IF(ISTEXT(Q236),R234,0)</f>
        <v>0</v>
      </c>
      <c r="S236" s="26">
        <f>IF(ISTEXT(Q236),S234,0)</f>
        <v>0</v>
      </c>
      <c r="T236" s="204">
        <f>IF(ISTEXT(Q236),T234,0)</f>
        <v>0</v>
      </c>
      <c r="V236" s="217">
        <f>+'Joueurs et TirageV'!AC63</f>
        <v>0</v>
      </c>
      <c r="W236" s="11">
        <f>IF(ISTEXT(V236),W234,0)</f>
        <v>0</v>
      </c>
      <c r="X236" s="26">
        <f>IF(ISTEXT(V236),X234,0)</f>
        <v>0</v>
      </c>
      <c r="Y236" s="160">
        <f>IF(ISTEXT(V236),Y234,0)</f>
        <v>0</v>
      </c>
      <c r="AA236" s="239">
        <f>+'Joueurs et TirageV'!AF63</f>
        <v>0</v>
      </c>
      <c r="AB236" s="11">
        <f>IF(ISTEXT(AA236),AB234,0)</f>
        <v>0</v>
      </c>
      <c r="AC236" s="26">
        <f>IF(ISTEXT(AA236),AC234,0)</f>
        <v>0</v>
      </c>
      <c r="AD236" s="225">
        <f>IF(ISTEXT(AA236),AD234,0)</f>
        <v>0</v>
      </c>
    </row>
    <row r="237" spans="1:30">
      <c r="A237" s="133"/>
      <c r="B237" s="146"/>
      <c r="C237" s="137" t="s">
        <v>8</v>
      </c>
      <c r="D237" s="138"/>
      <c r="E237" s="147"/>
      <c r="F237" s="19"/>
      <c r="G237" s="169"/>
      <c r="H237" s="170" t="s">
        <v>8</v>
      </c>
      <c r="I237" s="171"/>
      <c r="J237" s="172"/>
      <c r="K237" s="19"/>
      <c r="L237" s="190"/>
      <c r="M237" s="191" t="s">
        <v>8</v>
      </c>
      <c r="N237" s="192"/>
      <c r="O237" s="193"/>
      <c r="P237" s="23"/>
      <c r="Q237" s="205"/>
      <c r="R237" s="196" t="s">
        <v>8</v>
      </c>
      <c r="S237" s="197"/>
      <c r="T237" s="206"/>
      <c r="U237" s="23"/>
      <c r="V237" s="215"/>
      <c r="W237" s="194" t="s">
        <v>8</v>
      </c>
      <c r="X237" s="195"/>
      <c r="Y237" s="216"/>
      <c r="Z237" s="23"/>
      <c r="AA237" s="232"/>
      <c r="AB237" s="233" t="s">
        <v>8</v>
      </c>
      <c r="AC237" s="234"/>
      <c r="AD237" s="235"/>
    </row>
    <row r="238" spans="1:30">
      <c r="A238" s="133"/>
      <c r="B238" s="143">
        <f>'Joueurs et TirageV'!O64</f>
        <v>0</v>
      </c>
      <c r="C238" s="28"/>
      <c r="D238" s="26">
        <f>IF(C234+C238=0,0,IF(C234=C238,2,IF(C234&lt;C238,3,1)))</f>
        <v>0</v>
      </c>
      <c r="E238" s="148">
        <f>C238-C234</f>
        <v>0</v>
      </c>
      <c r="F238" s="18"/>
      <c r="G238" s="158">
        <f>'Joueurs et TirageV'!R64</f>
        <v>0</v>
      </c>
      <c r="H238" s="131"/>
      <c r="I238" s="26">
        <f>IF(H234+H238=0,0,IF(H234=H238,2,IF(H234&lt;H238,3,1)))</f>
        <v>0</v>
      </c>
      <c r="J238" s="163">
        <f>H238-H234</f>
        <v>0</v>
      </c>
      <c r="K238" s="18"/>
      <c r="L238" s="181">
        <f>'Joueurs et TirageV'!U64</f>
        <v>0</v>
      </c>
      <c r="M238" s="29"/>
      <c r="N238" s="26">
        <f>IF(M234+M238=0,0,IF(M234=M238,2,IF(M234&lt;M238,3,1)))</f>
        <v>0</v>
      </c>
      <c r="O238" s="184">
        <f>M238-M234</f>
        <v>0</v>
      </c>
      <c r="Q238" s="202">
        <f>'Joueurs et TirageV'!X64</f>
        <v>0</v>
      </c>
      <c r="R238" s="30"/>
      <c r="S238" s="26">
        <f>IF(R234+R238=0,0,IF(R234=R238,2,IF(R234&lt;R238,3,1)))</f>
        <v>0</v>
      </c>
      <c r="T238" s="207">
        <f>R238-R234</f>
        <v>0</v>
      </c>
      <c r="V238" s="217">
        <f>'Joueurs et TirageV'!AA64</f>
        <v>0</v>
      </c>
      <c r="W238" s="31"/>
      <c r="X238" s="26">
        <f>IF(W234+W238=0,0,IF(W234=W238,2,IF(W234&lt;W238,3,1)))</f>
        <v>0</v>
      </c>
      <c r="Y238" s="163">
        <f>W238-W234</f>
        <v>0</v>
      </c>
      <c r="AA238" s="239">
        <f>'Joueurs et TirageV'!AD64</f>
        <v>0</v>
      </c>
      <c r="AB238" s="32"/>
      <c r="AC238" s="26">
        <f>IF(AB234+AB238=0,0,IF(AB234=AB238,2,IF(AB234&lt;AB238,3,1)))</f>
        <v>0</v>
      </c>
      <c r="AD238" s="226">
        <f>AB238-AB234</f>
        <v>0</v>
      </c>
    </row>
    <row r="239" spans="1:30" ht="16.5" thickBot="1">
      <c r="A239" s="133">
        <v>58</v>
      </c>
      <c r="B239" s="143">
        <f>'Joueurs et TirageV'!P64</f>
        <v>0</v>
      </c>
      <c r="C239" s="47">
        <f>IF(ISTEXT(B239),C238,0)</f>
        <v>0</v>
      </c>
      <c r="D239" s="13">
        <f>IF(ISTEXT(B239),D238,0)</f>
        <v>0</v>
      </c>
      <c r="E239" s="149">
        <f>IF(ISTEXT(B239),E238,0)</f>
        <v>0</v>
      </c>
      <c r="F239" s="10"/>
      <c r="G239" s="158">
        <f>'Joueurs et TirageV'!S64</f>
        <v>0</v>
      </c>
      <c r="H239" s="47">
        <f>IF(ISTEXT(G239),H238,0)</f>
        <v>0</v>
      </c>
      <c r="I239" s="13">
        <f>IF(ISTEXT(G239),I238,0)</f>
        <v>0</v>
      </c>
      <c r="J239" s="164">
        <f>IF(ISTEXT(G239),J238,0)</f>
        <v>0</v>
      </c>
      <c r="K239" s="10"/>
      <c r="L239" s="181">
        <f>'Joueurs et TirageV'!V64</f>
        <v>0</v>
      </c>
      <c r="M239" s="47">
        <f>IF(ISTEXT(L239),M238,0)</f>
        <v>0</v>
      </c>
      <c r="N239" s="13">
        <f>IF(ISTEXT(L239),N238,0)</f>
        <v>0</v>
      </c>
      <c r="O239" s="185">
        <f>IF(ISTEXT(L239),O238,0)</f>
        <v>0</v>
      </c>
      <c r="P239" s="9"/>
      <c r="Q239" s="202">
        <f>'Joueurs et TirageV'!Y64</f>
        <v>0</v>
      </c>
      <c r="R239" s="47">
        <f>IF(ISTEXT(Q239),R238,0)</f>
        <v>0</v>
      </c>
      <c r="S239" s="13">
        <f>IF(ISTEXT(Q239),S238,0)</f>
        <v>0</v>
      </c>
      <c r="T239" s="208">
        <f>IF(ISTEXT(Q239),T238,0)</f>
        <v>0</v>
      </c>
      <c r="U239" s="9"/>
      <c r="V239" s="217">
        <f>'Joueurs et TirageV'!AB64</f>
        <v>0</v>
      </c>
      <c r="W239" s="47">
        <f>IF(ISTEXT(V239),W238,0)</f>
        <v>0</v>
      </c>
      <c r="X239" s="13">
        <f>IF(ISTEXT(V239),X238,0)</f>
        <v>0</v>
      </c>
      <c r="Y239" s="164">
        <f>IF(ISTEXT(V239),Y238,0)</f>
        <v>0</v>
      </c>
      <c r="Z239" s="9"/>
      <c r="AA239" s="239">
        <f>'Joueurs et TirageV'!AE64</f>
        <v>0</v>
      </c>
      <c r="AB239" s="47">
        <f>IF(ISTEXT(AA239),AB238,0)</f>
        <v>0</v>
      </c>
      <c r="AC239" s="13">
        <f>IF(ISTEXT(AA239),AC238,0)</f>
        <v>0</v>
      </c>
      <c r="AD239" s="227">
        <f>IF(ISTEXT(AA239),AD238,0)</f>
        <v>0</v>
      </c>
    </row>
    <row r="240" spans="1:30" ht="16.5" thickBot="1">
      <c r="A240" s="133"/>
      <c r="B240" s="150">
        <f>+'Joueurs et TirageV'!Q64</f>
        <v>0</v>
      </c>
      <c r="C240" s="151">
        <f>IF(ISTEXT(B240),C238,0)</f>
        <v>0</v>
      </c>
      <c r="D240" s="152">
        <f>IF(ISTEXT(B240),D238,0)</f>
        <v>0</v>
      </c>
      <c r="E240" s="153">
        <f>IF(ISTEXT(B240),E238,0)</f>
        <v>0</v>
      </c>
      <c r="F240" s="10"/>
      <c r="G240" s="165">
        <f>+'Joueurs et TirageV'!T64</f>
        <v>0</v>
      </c>
      <c r="H240" s="166">
        <f>IF(ISTEXT(G240),H238,0)</f>
        <v>0</v>
      </c>
      <c r="I240" s="167">
        <f>IF(ISTEXT(G240),I238,0)</f>
        <v>0</v>
      </c>
      <c r="J240" s="168">
        <f>IF(ISTEXT(G240),J238,0)</f>
        <v>0</v>
      </c>
      <c r="K240" s="10"/>
      <c r="L240" s="186">
        <f>+'Joueurs et TirageV'!W64</f>
        <v>0</v>
      </c>
      <c r="M240" s="187">
        <f>IF(ISTEXT(L240),M238,0)</f>
        <v>0</v>
      </c>
      <c r="N240" s="188">
        <f>IF(ISTEXT(L240),N238,0)</f>
        <v>0</v>
      </c>
      <c r="O240" s="189">
        <f>IF(ISTEXT(L240),O238,0)</f>
        <v>0</v>
      </c>
      <c r="P240" s="9"/>
      <c r="Q240" s="209">
        <f>+'Joueurs et TirageV'!Z64</f>
        <v>0</v>
      </c>
      <c r="R240" s="210">
        <f>IF(ISTEXT(Q240),R238,0)</f>
        <v>0</v>
      </c>
      <c r="S240" s="211">
        <f>IF(ISTEXT(Q240),S238,0)</f>
        <v>0</v>
      </c>
      <c r="T240" s="212">
        <f>IF(ISTEXT(Q240),T238,0)</f>
        <v>0</v>
      </c>
      <c r="U240" s="9"/>
      <c r="V240" s="218">
        <f>+'Joueurs et TirageV'!AC64</f>
        <v>0</v>
      </c>
      <c r="W240" s="166">
        <f>IF(ISTEXT(V240),W238,0)</f>
        <v>0</v>
      </c>
      <c r="X240" s="167">
        <f>IF(ISTEXT(V240),X238,0)</f>
        <v>0</v>
      </c>
      <c r="Y240" s="168">
        <f>IF(ISTEXT(V240),Y238,0)</f>
        <v>0</v>
      </c>
      <c r="Z240" s="9"/>
      <c r="AA240" s="240">
        <f>+'Joueurs et TirageV'!AF64</f>
        <v>0</v>
      </c>
      <c r="AB240" s="229">
        <f>IF(ISTEXT(AA240),AB238,0)</f>
        <v>0</v>
      </c>
      <c r="AC240" s="230">
        <f>IF(ISTEXT(AA240),AC238,0)</f>
        <v>0</v>
      </c>
      <c r="AD240" s="231">
        <f>IF(ISTEXT(AA240),AD238,0)</f>
        <v>0</v>
      </c>
    </row>
    <row r="241" spans="1:30" ht="17.25" thickTop="1" thickBot="1">
      <c r="A241" s="133"/>
      <c r="B241" s="12"/>
      <c r="C241" s="278"/>
      <c r="D241" s="12"/>
      <c r="E241" s="10"/>
      <c r="F241" s="10"/>
      <c r="G241" s="12"/>
      <c r="H241" s="10"/>
      <c r="I241" s="12"/>
      <c r="J241" s="10"/>
      <c r="K241" s="10"/>
      <c r="L241" s="12"/>
      <c r="M241" s="10"/>
      <c r="N241" s="12"/>
      <c r="O241" s="10"/>
      <c r="P241" s="9"/>
      <c r="Q241" s="12"/>
      <c r="R241" s="10"/>
      <c r="S241" s="12"/>
      <c r="T241" s="10"/>
      <c r="U241" s="9"/>
      <c r="V241" s="10"/>
      <c r="W241" s="10"/>
      <c r="X241" s="12"/>
      <c r="Y241" s="10"/>
      <c r="Z241" s="9"/>
      <c r="AA241" s="10"/>
      <c r="AB241" s="10"/>
      <c r="AC241" s="12"/>
      <c r="AD241" s="10"/>
    </row>
    <row r="242" spans="1:30" ht="16.5" thickTop="1">
      <c r="A242" s="62"/>
      <c r="B242" s="139">
        <f>'Joueurs et TirageV'!O65</f>
        <v>0</v>
      </c>
      <c r="C242" s="140"/>
      <c r="D242" s="141">
        <f>IF(C242+C246=0,0,IF(C242=C246,2,IF(C242&gt;C246,3,1)))</f>
        <v>0</v>
      </c>
      <c r="E242" s="142">
        <f>C242-C246</f>
        <v>0</v>
      </c>
      <c r="F242" s="18"/>
      <c r="G242" s="154">
        <f>'Joueurs et TirageV'!R65</f>
        <v>0</v>
      </c>
      <c r="H242" s="155"/>
      <c r="I242" s="156">
        <f>IF(H242+H246=0,0,IF(H242=H246,2,IF(H242&gt;H246,3,1)))</f>
        <v>0</v>
      </c>
      <c r="J242" s="157">
        <f>H242-H246</f>
        <v>0</v>
      </c>
      <c r="K242" s="18"/>
      <c r="L242" s="177">
        <f>'Joueurs et TirageV'!U65</f>
        <v>0</v>
      </c>
      <c r="M242" s="178"/>
      <c r="N242" s="179">
        <f>IF(M242+M246=0,0,IF(M242=M246,2,IF(M242&gt;M246,3,1)))</f>
        <v>0</v>
      </c>
      <c r="O242" s="180">
        <f>M242-M246</f>
        <v>0</v>
      </c>
      <c r="Q242" s="198">
        <f>'Joueurs et TirageV'!X65</f>
        <v>0</v>
      </c>
      <c r="R242" s="199"/>
      <c r="S242" s="200">
        <f>IF(R242+R246=0,0,IF(R242=R246,2,IF(R242&gt;R246,3,1)))</f>
        <v>0</v>
      </c>
      <c r="T242" s="201">
        <f>R242-R246</f>
        <v>0</v>
      </c>
      <c r="V242" s="213">
        <f>'Joueurs et TirageV'!AA65</f>
        <v>0</v>
      </c>
      <c r="W242" s="214"/>
      <c r="X242" s="156">
        <f>IF(W242+W246=0,0,IF(W242=W246,2,IF(W242&gt;W246,3,1)))</f>
        <v>0</v>
      </c>
      <c r="Y242" s="157">
        <f>W242-W246</f>
        <v>0</v>
      </c>
      <c r="AA242" s="236">
        <f>'Joueurs et TirageV'!AD65</f>
        <v>0</v>
      </c>
      <c r="AB242" s="220"/>
      <c r="AC242" s="221">
        <f>IF(AB242+AB246=0,0,IF(AB242=AB246,2,IF(AB242&gt;AB246,3,1)))</f>
        <v>0</v>
      </c>
      <c r="AD242" s="222">
        <f>AB242-AB246</f>
        <v>0</v>
      </c>
    </row>
    <row r="243" spans="1:30" ht="16.5" thickBot="1">
      <c r="A243" s="62">
        <v>59</v>
      </c>
      <c r="B243" s="143">
        <f>'Joueurs et TirageV'!P65</f>
        <v>0</v>
      </c>
      <c r="C243" s="129">
        <f>IF(ISTEXT(B243),C242,0)</f>
        <v>0</v>
      </c>
      <c r="D243" s="130">
        <f>IF(ISTEXT(B243),D242,0)</f>
        <v>0</v>
      </c>
      <c r="E243" s="144">
        <f>IF(ISTEXT(B243),E242,0)</f>
        <v>0</v>
      </c>
      <c r="F243" s="18"/>
      <c r="G243" s="158">
        <f>'Joueurs et TirageV'!S65</f>
        <v>0</v>
      </c>
      <c r="H243" s="129">
        <f>IF(ISTEXT(G243),H242,0)</f>
        <v>0</v>
      </c>
      <c r="I243" s="130">
        <f>IF(ISTEXT(G243),I242,0)</f>
        <v>0</v>
      </c>
      <c r="J243" s="159">
        <f>IF(ISTEXT(G243),J242,0)</f>
        <v>0</v>
      </c>
      <c r="K243" s="18"/>
      <c r="L243" s="181">
        <f>'Joueurs et TirageV'!V65</f>
        <v>0</v>
      </c>
      <c r="M243" s="129">
        <f>IF(ISTEXT(L243),M242,0)</f>
        <v>0</v>
      </c>
      <c r="N243" s="130">
        <f>IF(ISTEXT(L243),N242,0)</f>
        <v>0</v>
      </c>
      <c r="O243" s="182">
        <f>IF(ISTEXT(L243),O242,0)</f>
        <v>0</v>
      </c>
      <c r="Q243" s="202">
        <f>'Joueurs et TirageV'!Y65</f>
        <v>0</v>
      </c>
      <c r="R243" s="129">
        <f>IF(ISTEXT(Q243),R242,0)</f>
        <v>0</v>
      </c>
      <c r="S243" s="130">
        <f>IF(ISTEXT(Q243),S242,0)</f>
        <v>0</v>
      </c>
      <c r="T243" s="203">
        <f>IF(ISTEXT(Q243),T242,0)</f>
        <v>0</v>
      </c>
      <c r="V243" s="217">
        <f>'Joueurs et TirageV'!AB65</f>
        <v>0</v>
      </c>
      <c r="W243" s="129">
        <f>IF(ISTEXT(V243),W242,0)</f>
        <v>0</v>
      </c>
      <c r="X243" s="130">
        <f>IF(ISTEXT(V243),X242,0)</f>
        <v>0</v>
      </c>
      <c r="Y243" s="159">
        <f>IF(ISTEXT(V243),Y242,0)</f>
        <v>0</v>
      </c>
      <c r="AA243" s="239">
        <f>'Joueurs et TirageV'!AE65</f>
        <v>0</v>
      </c>
      <c r="AB243" s="129">
        <f>IF(ISTEXT(AA243),AB242,0)</f>
        <v>0</v>
      </c>
      <c r="AC243" s="130">
        <f>IF(ISTEXT(AA243),AC242,0)</f>
        <v>0</v>
      </c>
      <c r="AD243" s="224">
        <f>IF(ISTEXT(AA243),AD242,0)</f>
        <v>0</v>
      </c>
    </row>
    <row r="244" spans="1:30">
      <c r="A244" s="62"/>
      <c r="B244" s="143">
        <f>+'Joueurs et TirageV'!Q65</f>
        <v>0</v>
      </c>
      <c r="C244" s="127">
        <f>IF(ISTEXT(B244),C242,0)</f>
        <v>0</v>
      </c>
      <c r="D244" s="128">
        <f>IF(ISTEXT(B244),D242,0)</f>
        <v>0</v>
      </c>
      <c r="E244" s="145">
        <f>IF(ISTEXT(B244),E242,0)</f>
        <v>0</v>
      </c>
      <c r="F244" s="18"/>
      <c r="G244" s="158">
        <f>+'Joueurs et TirageV'!T65</f>
        <v>0</v>
      </c>
      <c r="H244" s="25">
        <f>IF(ISTEXT(G244),H242,0)</f>
        <v>0</v>
      </c>
      <c r="I244" s="26">
        <f>IF(ISTEXT(G244),I242,0)</f>
        <v>0</v>
      </c>
      <c r="J244" s="160">
        <f>IF(ISTEXT(G244),J242,0)</f>
        <v>0</v>
      </c>
      <c r="K244" s="18"/>
      <c r="L244" s="181">
        <f>+'Joueurs et TirageV'!W65</f>
        <v>0</v>
      </c>
      <c r="M244" s="11">
        <f>IF(ISTEXT(L244),M242,0)</f>
        <v>0</v>
      </c>
      <c r="N244" s="26">
        <f>IF(ISTEXT(L244),N242,0)</f>
        <v>0</v>
      </c>
      <c r="O244" s="183">
        <f>IF(ISTEXT(L244),O242,0)</f>
        <v>0</v>
      </c>
      <c r="Q244" s="202">
        <f>+'Joueurs et TirageV'!Z65</f>
        <v>0</v>
      </c>
      <c r="R244" s="11">
        <f>IF(ISTEXT(Q244),R242,0)</f>
        <v>0</v>
      </c>
      <c r="S244" s="26">
        <f>IF(ISTEXT(Q244),S242,0)</f>
        <v>0</v>
      </c>
      <c r="T244" s="204">
        <f>IF(ISTEXT(Q244),T242,0)</f>
        <v>0</v>
      </c>
      <c r="V244" s="217">
        <f>+'Joueurs et TirageV'!AC65</f>
        <v>0</v>
      </c>
      <c r="W244" s="11">
        <f>IF(ISTEXT(V244),W242,0)</f>
        <v>0</v>
      </c>
      <c r="X244" s="26">
        <f>IF(ISTEXT(V244),X242,0)</f>
        <v>0</v>
      </c>
      <c r="Y244" s="160">
        <f>IF(ISTEXT(V244),Y242,0)</f>
        <v>0</v>
      </c>
      <c r="AA244" s="239">
        <f>+'Joueurs et TirageV'!AF65</f>
        <v>0</v>
      </c>
      <c r="AB244" s="11">
        <f>IF(ISTEXT(AA244),AB242,0)</f>
        <v>0</v>
      </c>
      <c r="AC244" s="26">
        <f>IF(ISTEXT(AA244),AC242,0)</f>
        <v>0</v>
      </c>
      <c r="AD244" s="225">
        <f>IF(ISTEXT(AA244),AD242,0)</f>
        <v>0</v>
      </c>
    </row>
    <row r="245" spans="1:30">
      <c r="A245" s="62"/>
      <c r="B245" s="146"/>
      <c r="C245" s="137" t="s">
        <v>8</v>
      </c>
      <c r="D245" s="138"/>
      <c r="E245" s="147"/>
      <c r="F245" s="19"/>
      <c r="G245" s="169"/>
      <c r="H245" s="170" t="s">
        <v>8</v>
      </c>
      <c r="I245" s="171"/>
      <c r="J245" s="172"/>
      <c r="K245" s="19"/>
      <c r="L245" s="190"/>
      <c r="M245" s="191" t="s">
        <v>8</v>
      </c>
      <c r="N245" s="192"/>
      <c r="O245" s="193"/>
      <c r="P245" s="23"/>
      <c r="Q245" s="205"/>
      <c r="R245" s="196" t="s">
        <v>8</v>
      </c>
      <c r="S245" s="197"/>
      <c r="T245" s="206"/>
      <c r="U245" s="23"/>
      <c r="V245" s="215"/>
      <c r="W245" s="194" t="s">
        <v>8</v>
      </c>
      <c r="X245" s="195"/>
      <c r="Y245" s="216"/>
      <c r="Z245" s="23"/>
      <c r="AA245" s="232"/>
      <c r="AB245" s="233" t="s">
        <v>8</v>
      </c>
      <c r="AC245" s="234"/>
      <c r="AD245" s="235"/>
    </row>
    <row r="246" spans="1:30">
      <c r="A246" s="62"/>
      <c r="B246" s="143">
        <f>'Joueurs et TirageV'!O66</f>
        <v>0</v>
      </c>
      <c r="C246" s="28"/>
      <c r="D246" s="26">
        <f>IF(C242+C246=0,0,IF(C242=C246,2,IF(C242&lt;C246,3,1)))</f>
        <v>0</v>
      </c>
      <c r="E246" s="148">
        <f>C246-C242</f>
        <v>0</v>
      </c>
      <c r="F246" s="18"/>
      <c r="G246" s="158">
        <f>'Joueurs et TirageV'!R66</f>
        <v>0</v>
      </c>
      <c r="H246" s="131"/>
      <c r="I246" s="26">
        <f>IF(H242+H246=0,0,IF(H242=H246,2,IF(H242&lt;H246,3,1)))</f>
        <v>0</v>
      </c>
      <c r="J246" s="163">
        <f>H246-H242</f>
        <v>0</v>
      </c>
      <c r="K246" s="18"/>
      <c r="L246" s="181">
        <f>'Joueurs et TirageV'!U66</f>
        <v>0</v>
      </c>
      <c r="M246" s="29"/>
      <c r="N246" s="26">
        <f>IF(M242+M246=0,0,IF(M242=M246,2,IF(M242&lt;M246,3,1)))</f>
        <v>0</v>
      </c>
      <c r="O246" s="184">
        <f>M246-M242</f>
        <v>0</v>
      </c>
      <c r="Q246" s="202">
        <f>'Joueurs et TirageV'!X66</f>
        <v>0</v>
      </c>
      <c r="R246" s="30"/>
      <c r="S246" s="26">
        <f>IF(R242+R246=0,0,IF(R242=R246,2,IF(R242&lt;R246,3,1)))</f>
        <v>0</v>
      </c>
      <c r="T246" s="207">
        <f>R246-R242</f>
        <v>0</v>
      </c>
      <c r="V246" s="217">
        <f>'Joueurs et TirageV'!AA66</f>
        <v>0</v>
      </c>
      <c r="W246" s="31"/>
      <c r="X246" s="26">
        <f>IF(W242+W246=0,0,IF(W242=W246,2,IF(W242&lt;W246,3,1)))</f>
        <v>0</v>
      </c>
      <c r="Y246" s="163">
        <f>W246-W242</f>
        <v>0</v>
      </c>
      <c r="AA246" s="239">
        <f>'Joueurs et TirageV'!AD66</f>
        <v>0</v>
      </c>
      <c r="AB246" s="32"/>
      <c r="AC246" s="26">
        <f>IF(AB242+AB246=0,0,IF(AB242=AB246,2,IF(AB242&lt;AB246,3,1)))</f>
        <v>0</v>
      </c>
      <c r="AD246" s="226">
        <f>AB246-AB242</f>
        <v>0</v>
      </c>
    </row>
    <row r="247" spans="1:30" ht="16.5" thickBot="1">
      <c r="A247" s="62">
        <v>60</v>
      </c>
      <c r="B247" s="143">
        <f>'Joueurs et TirageV'!P66</f>
        <v>0</v>
      </c>
      <c r="C247" s="47">
        <f>IF(ISTEXT(B247),C246,0)</f>
        <v>0</v>
      </c>
      <c r="D247" s="13">
        <f>IF(ISTEXT(B247),D246,0)</f>
        <v>0</v>
      </c>
      <c r="E247" s="149">
        <f>IF(ISTEXT(B247),E246,0)</f>
        <v>0</v>
      </c>
      <c r="F247" s="10"/>
      <c r="G247" s="158">
        <f>'Joueurs et TirageV'!S66</f>
        <v>0</v>
      </c>
      <c r="H247" s="47">
        <f>IF(ISTEXT(G247),H246,0)</f>
        <v>0</v>
      </c>
      <c r="I247" s="13">
        <f>IF(ISTEXT(G247),I246,0)</f>
        <v>0</v>
      </c>
      <c r="J247" s="164">
        <f>IF(ISTEXT(G247),J246,0)</f>
        <v>0</v>
      </c>
      <c r="K247" s="10"/>
      <c r="L247" s="181">
        <f>'Joueurs et TirageV'!V66</f>
        <v>0</v>
      </c>
      <c r="M247" s="47">
        <f>IF(ISTEXT(L247),M246,0)</f>
        <v>0</v>
      </c>
      <c r="N247" s="13">
        <f>IF(ISTEXT(L247),N246,0)</f>
        <v>0</v>
      </c>
      <c r="O247" s="185">
        <f>IF(ISTEXT(L247),O246,0)</f>
        <v>0</v>
      </c>
      <c r="P247" s="9"/>
      <c r="Q247" s="202">
        <f>'Joueurs et TirageV'!Y66</f>
        <v>0</v>
      </c>
      <c r="R247" s="47">
        <f>IF(ISTEXT(Q247),R246,0)</f>
        <v>0</v>
      </c>
      <c r="S247" s="13">
        <f>IF(ISTEXT(Q247),S246,0)</f>
        <v>0</v>
      </c>
      <c r="T247" s="208">
        <f>IF(ISTEXT(Q247),T246,0)</f>
        <v>0</v>
      </c>
      <c r="U247" s="9"/>
      <c r="V247" s="217">
        <f>'Joueurs et TirageV'!AB66</f>
        <v>0</v>
      </c>
      <c r="W247" s="47">
        <f>IF(ISTEXT(V247),W246,0)</f>
        <v>0</v>
      </c>
      <c r="X247" s="13">
        <f>IF(ISTEXT(V247),X246,0)</f>
        <v>0</v>
      </c>
      <c r="Y247" s="164">
        <f>IF(ISTEXT(V247),Y246,0)</f>
        <v>0</v>
      </c>
      <c r="Z247" s="9"/>
      <c r="AA247" s="239">
        <f>'Joueurs et TirageV'!AE66</f>
        <v>0</v>
      </c>
      <c r="AB247" s="47">
        <f>IF(ISTEXT(AA247),AB246,0)</f>
        <v>0</v>
      </c>
      <c r="AC247" s="13">
        <f>IF(ISTEXT(AA247),AC246,0)</f>
        <v>0</v>
      </c>
      <c r="AD247" s="227">
        <f>IF(ISTEXT(AA247),AD246,0)</f>
        <v>0</v>
      </c>
    </row>
    <row r="248" spans="1:30" ht="16.5" thickBot="1">
      <c r="A248" s="62"/>
      <c r="B248" s="150">
        <f>+'Joueurs et TirageV'!Q66</f>
        <v>0</v>
      </c>
      <c r="C248" s="151">
        <f>IF(ISTEXT(B248),C246,0)</f>
        <v>0</v>
      </c>
      <c r="D248" s="152">
        <f>IF(ISTEXT(B248),D246,0)</f>
        <v>0</v>
      </c>
      <c r="E248" s="153">
        <f>IF(ISTEXT(B248),E246,0)</f>
        <v>0</v>
      </c>
      <c r="F248" s="10"/>
      <c r="G248" s="165">
        <f>+'Joueurs et TirageV'!T66</f>
        <v>0</v>
      </c>
      <c r="H248" s="166">
        <f>IF(ISTEXT(G248),H246,0)</f>
        <v>0</v>
      </c>
      <c r="I248" s="167">
        <f>IF(ISTEXT(G248),I246,0)</f>
        <v>0</v>
      </c>
      <c r="J248" s="168">
        <f>IF(ISTEXT(G248),J246,0)</f>
        <v>0</v>
      </c>
      <c r="K248" s="10"/>
      <c r="L248" s="186">
        <f>+'Joueurs et TirageV'!W66</f>
        <v>0</v>
      </c>
      <c r="M248" s="187">
        <f>IF(ISTEXT(L248),M246,0)</f>
        <v>0</v>
      </c>
      <c r="N248" s="188">
        <f>IF(ISTEXT(L248),N246,0)</f>
        <v>0</v>
      </c>
      <c r="O248" s="189">
        <f>IF(ISTEXT(L248),O246,0)</f>
        <v>0</v>
      </c>
      <c r="P248" s="9"/>
      <c r="Q248" s="209">
        <f>+'Joueurs et TirageV'!Z66</f>
        <v>0</v>
      </c>
      <c r="R248" s="210">
        <f>IF(ISTEXT(Q248),R246,0)</f>
        <v>0</v>
      </c>
      <c r="S248" s="211">
        <f>IF(ISTEXT(Q248),S246,0)</f>
        <v>0</v>
      </c>
      <c r="T248" s="212">
        <f>IF(ISTEXT(Q248),T246,0)</f>
        <v>0</v>
      </c>
      <c r="U248" s="9"/>
      <c r="V248" s="218">
        <f>+'Joueurs et TirageV'!AC66</f>
        <v>0</v>
      </c>
      <c r="W248" s="166">
        <f>IF(ISTEXT(V248),W246,0)</f>
        <v>0</v>
      </c>
      <c r="X248" s="167">
        <f>IF(ISTEXT(V248),X246,0)</f>
        <v>0</v>
      </c>
      <c r="Y248" s="168">
        <f>IF(ISTEXT(V248),Y246,0)</f>
        <v>0</v>
      </c>
      <c r="Z248" s="9"/>
      <c r="AA248" s="240">
        <f>+'Joueurs et TirageV'!AF66</f>
        <v>0</v>
      </c>
      <c r="AB248" s="229">
        <f>IF(ISTEXT(AA248),AB246,0)</f>
        <v>0</v>
      </c>
      <c r="AC248" s="230">
        <f>IF(ISTEXT(AA248),AC246,0)</f>
        <v>0</v>
      </c>
      <c r="AD248" s="231">
        <f>IF(ISTEXT(AA248),AD246,0)</f>
        <v>0</v>
      </c>
    </row>
    <row r="249" spans="1:30" ht="16.5" thickTop="1">
      <c r="D249" s="33">
        <f>SUM(D10:D88)</f>
        <v>48</v>
      </c>
      <c r="E249" s="53">
        <f>SUM(E10:E248)</f>
        <v>0</v>
      </c>
      <c r="I249" s="33">
        <f>SUM(I10:I88)</f>
        <v>48</v>
      </c>
      <c r="J249" s="53">
        <f>SUM(J10:J248)</f>
        <v>0</v>
      </c>
      <c r="N249" s="33">
        <f>SUM(N10:N88)</f>
        <v>0</v>
      </c>
      <c r="O249" s="53">
        <f>SUM(O10:O248)</f>
        <v>0</v>
      </c>
      <c r="S249" s="33">
        <f>SUM(S10:S88)</f>
        <v>0</v>
      </c>
      <c r="T249" s="53">
        <f>SUM(T10:T248)</f>
        <v>0</v>
      </c>
      <c r="X249" s="33">
        <f>SUM(X10:X88)</f>
        <v>0</v>
      </c>
      <c r="Y249" s="53">
        <f>SUM(Y10:Y248)</f>
        <v>0</v>
      </c>
      <c r="AC249" s="33">
        <f>SUM(AC10:AC88)</f>
        <v>0</v>
      </c>
      <c r="AD249" s="53">
        <f>SUM(AD10:AD248)</f>
        <v>0</v>
      </c>
    </row>
    <row r="250" spans="1:30">
      <c r="E250" s="11" t="str">
        <f>IF(E249=0,"OK","ERREUR")</f>
        <v>OK</v>
      </c>
      <c r="J250" s="11" t="str">
        <f>IF(J249=0,"OK","ERREUR")</f>
        <v>OK</v>
      </c>
      <c r="O250" s="11" t="str">
        <f>IF(O249=0,"OK","ERREUR")</f>
        <v>OK</v>
      </c>
      <c r="T250" s="11" t="str">
        <f>IF(T249=0,"OK","ERREUR")</f>
        <v>OK</v>
      </c>
      <c r="Y250" s="11" t="str">
        <f>IF(Y249=0,"OK","ERREUR")</f>
        <v>OK</v>
      </c>
      <c r="AD250" s="11" t="str">
        <f>IF(AD249=0,"OK","ERREUR")</f>
        <v>OK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6">
    <mergeCell ref="AA6:AD6"/>
    <mergeCell ref="B6:E6"/>
    <mergeCell ref="G6:J6"/>
    <mergeCell ref="L6:O6"/>
    <mergeCell ref="Q6:T6"/>
    <mergeCell ref="V6:Y6"/>
  </mergeCells>
  <phoneticPr fontId="1" type="noConversion"/>
  <conditionalFormatting sqref="E14:E16 J10 O12 T12 Y12 E10 O10 T10 Y10 AD10 AD12 J14:J16 O14:O16 T14:T16 Y14:Y16 AD14:AD16 E22:E24 E18:E20 E26:E28 E30:E36 E38:E44 E54:E56 E46:E52 E58:E60 E62:E68 E70:E72 E74:E76 E78:E80 E82:E84 J18:J20 J22:J24 J26:J28 J30:J36 J38:J44 J46:J52 J54:J56 J58:J60 J62:J68 J70:J72 J74:J76 J78:J80 J82:J84 O18:O20 O22:O24 O26:O28 O30:O36 O38:O44 O46:O52 O54:O56 O58:O60 O62:O68 O70:O72 O74:O76 O78:O80 O82:O84 T18:T20 T22:T24 T26:T28 T30:T36 T38:T44 T46:T52 T54:T56 T58:T60 T62:T68 T70:T72 T74:T76 T78:T80 T82:T84 Y18:Y20 Y22:Y24 Y26:Y28 Y30:Y36 Y38:Y44 Y46:Y52 Y54:Y56 Y58:Y60 Y62:Y68 Y70:Y72 Y74:Y76 Y78:Y80 Y82:Y84 AD18:AD20 AD22:AD24 AD26:AD28 AD30:AD36 AD38:AD44 AD46:AD52 AD54:AD56 AD58:AD60 AD62:AD68 AD70:AD72 AD74:AD76 AD78:AD80 AD82:AD84 E86:E248 J86:J248 O86:O248 T86:T248 Y86:Y248 AD86:AD248">
    <cfRule type="cellIs" dxfId="22" priority="93" stopIfTrue="1" operator="lessThan">
      <formula>0</formula>
    </cfRule>
  </conditionalFormatting>
  <conditionalFormatting sqref="E250">
    <cfRule type="containsText" dxfId="21" priority="11" operator="containsText" text="OK">
      <formula>NOT(ISERROR(SEARCH("OK",E250)))</formula>
    </cfRule>
    <cfRule type="containsText" dxfId="20" priority="23" operator="containsText" text="ERREUR">
      <formula>NOT(ISERROR(SEARCH("ERREUR",E250)))</formula>
    </cfRule>
  </conditionalFormatting>
  <conditionalFormatting sqref="E249">
    <cfRule type="colorScale" priority="22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J250">
    <cfRule type="containsText" dxfId="19" priority="21" operator="containsText" text="ERREUR">
      <formula>NOT(ISERROR(SEARCH("ERREUR",J250)))</formula>
    </cfRule>
  </conditionalFormatting>
  <conditionalFormatting sqref="J249">
    <cfRule type="colorScale" priority="20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O250">
    <cfRule type="containsText" dxfId="18" priority="19" operator="containsText" text="ERREUR">
      <formula>NOT(ISERROR(SEARCH("ERREUR",O250)))</formula>
    </cfRule>
  </conditionalFormatting>
  <conditionalFormatting sqref="O249">
    <cfRule type="colorScale" priority="18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T250">
    <cfRule type="containsText" dxfId="17" priority="17" operator="containsText" text="ERREUR">
      <formula>NOT(ISERROR(SEARCH("ERREUR",T250)))</formula>
    </cfRule>
  </conditionalFormatting>
  <conditionalFormatting sqref="T249">
    <cfRule type="colorScale" priority="16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Y250">
    <cfRule type="containsText" dxfId="16" priority="15" operator="containsText" text="ERREUR">
      <formula>NOT(ISERROR(SEARCH("ERREUR",Y250)))</formula>
    </cfRule>
  </conditionalFormatting>
  <conditionalFormatting sqref="Y249">
    <cfRule type="colorScale" priority="14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AD250">
    <cfRule type="containsText" dxfId="15" priority="13" operator="containsText" text="ERREUR">
      <formula>NOT(ISERROR(SEARCH("ERREUR",AD250)))</formula>
    </cfRule>
  </conditionalFormatting>
  <conditionalFormatting sqref="AD249">
    <cfRule type="colorScale" priority="12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J250">
    <cfRule type="containsText" dxfId="14" priority="9" operator="containsText" text="OK">
      <formula>NOT(ISERROR(SEARCH("OK",J250)))</formula>
    </cfRule>
    <cfRule type="containsText" dxfId="13" priority="10" operator="containsText" text="ERREUR">
      <formula>NOT(ISERROR(SEARCH("ERREUR",J250)))</formula>
    </cfRule>
  </conditionalFormatting>
  <conditionalFormatting sqref="O250">
    <cfRule type="containsText" dxfId="12" priority="7" operator="containsText" text="OK">
      <formula>NOT(ISERROR(SEARCH("OK",O250)))</formula>
    </cfRule>
    <cfRule type="containsText" dxfId="11" priority="8" operator="containsText" text="ERREUR">
      <formula>NOT(ISERROR(SEARCH("ERREUR",O250)))</formula>
    </cfRule>
  </conditionalFormatting>
  <conditionalFormatting sqref="T250">
    <cfRule type="containsText" dxfId="10" priority="5" operator="containsText" text="OK">
      <formula>NOT(ISERROR(SEARCH("OK",T250)))</formula>
    </cfRule>
    <cfRule type="containsText" dxfId="9" priority="6" operator="containsText" text="ERREUR">
      <formula>NOT(ISERROR(SEARCH("ERREUR",T250)))</formula>
    </cfRule>
  </conditionalFormatting>
  <conditionalFormatting sqref="Y250">
    <cfRule type="containsText" dxfId="8" priority="3" operator="containsText" text="OK">
      <formula>NOT(ISERROR(SEARCH("OK",Y250)))</formula>
    </cfRule>
    <cfRule type="containsText" dxfId="7" priority="4" operator="containsText" text="ERREUR">
      <formula>NOT(ISERROR(SEARCH("ERREUR",Y250)))</formula>
    </cfRule>
  </conditionalFormatting>
  <conditionalFormatting sqref="AD250">
    <cfRule type="containsText" dxfId="6" priority="1" operator="containsText" text="OK">
      <formula>NOT(ISERROR(SEARCH("OK",AD250)))</formula>
    </cfRule>
    <cfRule type="containsText" dxfId="5" priority="2" operator="containsText" text="ERREUR">
      <formula>NOT(ISERROR(SEARCH("ERREUR",AD250)))</formula>
    </cfRule>
  </conditionalFormatting>
  <pageMargins left="0.21" right="0.35433070866141736" top="0.43307086614173229" bottom="0.70866141732283472" header="0.23622047244094491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rgb="FF00B0F0"/>
  </sheetPr>
  <dimension ref="A1:AJ195"/>
  <sheetViews>
    <sheetView zoomScale="80" zoomScaleNormal="80" workbookViewId="0">
      <selection activeCell="D6" sqref="D6"/>
    </sheetView>
  </sheetViews>
  <sheetFormatPr baseColWidth="10" defaultRowHeight="15.75"/>
  <cols>
    <col min="1" max="1" width="5.42578125" style="133" customWidth="1"/>
    <col min="2" max="2" width="27.7109375" style="16" customWidth="1"/>
    <col min="3" max="5" width="6.28515625" style="46" customWidth="1"/>
    <col min="6" max="6" width="6.140625" style="46" customWidth="1"/>
    <col min="7" max="7" width="5.7109375" style="46" customWidth="1"/>
    <col min="8" max="9" width="6.28515625" style="46" customWidth="1"/>
    <col min="10" max="10" width="6.140625" style="46" customWidth="1"/>
    <col min="11" max="11" width="6.85546875" style="46" customWidth="1"/>
    <col min="12" max="12" width="6.5703125" style="46" customWidth="1"/>
    <col min="13" max="14" width="6.7109375" style="46" customWidth="1"/>
    <col min="15" max="15" width="6.5703125" style="46" customWidth="1"/>
    <col min="16" max="16" width="7.28515625" style="97" customWidth="1"/>
    <col min="17" max="17" width="7.28515625" style="46" customWidth="1"/>
    <col min="18" max="18" width="6.42578125" style="46" customWidth="1"/>
    <col min="19" max="20" width="8.28515625" style="46" customWidth="1"/>
    <col min="21" max="21" width="11.140625" style="46" customWidth="1"/>
    <col min="22" max="22" width="12.7109375" style="46" customWidth="1"/>
    <col min="23" max="23" width="9" style="46" customWidth="1"/>
    <col min="24" max="24" width="8.28515625" style="133" hidden="1" customWidth="1"/>
    <col min="25" max="25" width="10.42578125" style="133" hidden="1" customWidth="1"/>
    <col min="26" max="26" width="11.85546875" style="133" hidden="1" customWidth="1"/>
    <col min="27" max="27" width="13.42578125" style="133" hidden="1" customWidth="1"/>
    <col min="28" max="28" width="5" style="133" customWidth="1"/>
    <col min="29" max="29" width="25.7109375" style="133" customWidth="1"/>
    <col min="30" max="31" width="11.42578125" style="133"/>
    <col min="32" max="32" width="9.140625" style="133" customWidth="1"/>
    <col min="33" max="33" width="10.5703125" style="133" customWidth="1"/>
    <col min="34" max="34" width="4.28515625" style="34" customWidth="1"/>
    <col min="35" max="35" width="9.5703125" style="16" hidden="1" customWidth="1"/>
    <col min="36" max="16384" width="11.42578125" style="16"/>
  </cols>
  <sheetData>
    <row r="1" spans="1:35" ht="16.5" thickBot="1">
      <c r="G1" s="366"/>
      <c r="H1" s="366"/>
      <c r="I1" s="366"/>
      <c r="N1" s="253"/>
    </row>
    <row r="2" spans="1:35">
      <c r="B2" s="135"/>
      <c r="C2" s="382" t="s">
        <v>58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4"/>
      <c r="AC2" s="48" t="s">
        <v>31</v>
      </c>
    </row>
    <row r="3" spans="1:35" ht="16.5" thickBot="1">
      <c r="C3" s="385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7"/>
      <c r="AI3" s="16" t="s">
        <v>53</v>
      </c>
    </row>
    <row r="4" spans="1:35" ht="17.25" customHeight="1" thickBot="1">
      <c r="B4" s="100" t="s">
        <v>0</v>
      </c>
      <c r="C4" s="367" t="s">
        <v>1</v>
      </c>
      <c r="D4" s="368"/>
      <c r="E4" s="369"/>
      <c r="F4" s="370" t="s">
        <v>2</v>
      </c>
      <c r="G4" s="371"/>
      <c r="H4" s="372"/>
      <c r="I4" s="373" t="s">
        <v>3</v>
      </c>
      <c r="J4" s="374"/>
      <c r="K4" s="375"/>
      <c r="L4" s="376" t="s">
        <v>4</v>
      </c>
      <c r="M4" s="377"/>
      <c r="N4" s="378"/>
      <c r="O4" s="379" t="s">
        <v>5</v>
      </c>
      <c r="P4" s="380"/>
      <c r="Q4" s="381"/>
      <c r="R4" s="357" t="s">
        <v>6</v>
      </c>
      <c r="S4" s="358"/>
      <c r="T4" s="359"/>
      <c r="U4" s="360" t="s">
        <v>10</v>
      </c>
      <c r="V4" s="361"/>
      <c r="W4" s="362"/>
      <c r="AB4" s="123"/>
      <c r="AC4" s="363" t="s">
        <v>29</v>
      </c>
      <c r="AD4" s="364"/>
      <c r="AE4" s="364"/>
      <c r="AF4" s="364"/>
      <c r="AG4" s="365"/>
      <c r="AI4" s="16" t="s">
        <v>49</v>
      </c>
    </row>
    <row r="5" spans="1:35" ht="16.5" thickBot="1">
      <c r="B5" s="259" t="s">
        <v>9</v>
      </c>
      <c r="C5" s="134" t="s">
        <v>19</v>
      </c>
      <c r="D5" s="260" t="s">
        <v>20</v>
      </c>
      <c r="E5" s="261" t="s">
        <v>22</v>
      </c>
      <c r="F5" s="134" t="s">
        <v>19</v>
      </c>
      <c r="G5" s="260" t="s">
        <v>20</v>
      </c>
      <c r="H5" s="261" t="s">
        <v>22</v>
      </c>
      <c r="I5" s="134" t="s">
        <v>19</v>
      </c>
      <c r="J5" s="260" t="s">
        <v>20</v>
      </c>
      <c r="K5" s="261" t="s">
        <v>22</v>
      </c>
      <c r="L5" s="134" t="s">
        <v>19</v>
      </c>
      <c r="M5" s="260" t="s">
        <v>20</v>
      </c>
      <c r="N5" s="261" t="s">
        <v>22</v>
      </c>
      <c r="O5" s="134" t="s">
        <v>19</v>
      </c>
      <c r="P5" s="262" t="s">
        <v>20</v>
      </c>
      <c r="Q5" s="260" t="s">
        <v>22</v>
      </c>
      <c r="R5" s="134" t="s">
        <v>19</v>
      </c>
      <c r="S5" s="260" t="s">
        <v>20</v>
      </c>
      <c r="T5" s="261" t="s">
        <v>22</v>
      </c>
      <c r="U5" s="263" t="s">
        <v>19</v>
      </c>
      <c r="V5" s="264" t="s">
        <v>20</v>
      </c>
      <c r="W5" s="265" t="s">
        <v>22</v>
      </c>
      <c r="X5" s="266" t="s">
        <v>23</v>
      </c>
      <c r="Y5" s="267" t="s">
        <v>24</v>
      </c>
      <c r="Z5" s="64" t="s">
        <v>25</v>
      </c>
      <c r="AA5" s="268" t="s">
        <v>26</v>
      </c>
      <c r="AB5" s="34"/>
      <c r="AC5" s="59" t="s">
        <v>9</v>
      </c>
      <c r="AD5" s="59" t="s">
        <v>27</v>
      </c>
      <c r="AE5" s="59" t="s">
        <v>28</v>
      </c>
      <c r="AF5" s="269" t="s">
        <v>22</v>
      </c>
      <c r="AG5" s="59" t="s">
        <v>59</v>
      </c>
      <c r="AI5" s="54" t="s">
        <v>19</v>
      </c>
    </row>
    <row r="6" spans="1:35" s="23" customFormat="1" ht="18" customHeight="1">
      <c r="A6" s="133">
        <v>1</v>
      </c>
      <c r="B6" s="50" t="str">
        <f>+'Joueurs et TirageV'!C7</f>
        <v>A1</v>
      </c>
      <c r="C6" s="136">
        <f>IF(ISNA(VLOOKUP(B6,RésultatsV!$B$10:$E$248,3,0)),"0",VLOOKUP(B6,RésultatsV!$B$10:$E$248,3,0))</f>
        <v>3</v>
      </c>
      <c r="D6" s="136">
        <f>IF(ISNA(VLOOKUP(B6,RésultatsV!$B$10:$E$248,4,0)),"0",VLOOKUP(B6,RésultatsV!$B$10:$E$248,4,0))</f>
        <v>7</v>
      </c>
      <c r="E6" s="136">
        <f>IF(ISNA(VLOOKUP(B6,RésultatsV!$B$10:$E$248,2,0)),"0",VLOOKUP(B6,RésultatsV!$B$10:$E$248,2,0))</f>
        <v>9</v>
      </c>
      <c r="F6" s="136">
        <f>IF(ISNA(VLOOKUP(B6,RésultatsV!$G$10:$J$248,3,0)),"0",VLOOKUP(B6,RésultatsV!$G$10:$J$248,3,0))</f>
        <v>3</v>
      </c>
      <c r="G6" s="136">
        <f>IF(ISNA(VLOOKUP(B6,RésultatsV!$G$10:$J$248,4,0)),"0",VLOOKUP(B6,RésultatsV!$G$10:$J$248,4,0))</f>
        <v>4</v>
      </c>
      <c r="H6" s="136">
        <f>IF(ISNA(VLOOKUP(B6,RésultatsV!$G$10:$J$248,2,0)),"0",VLOOKUP(B6,RésultatsV!$G$10:$J$248,2,0))</f>
        <v>6</v>
      </c>
      <c r="I6" s="136" t="str">
        <f>IF(ISNA(VLOOKUP(B6,RésultatsV!$L$10:$O$248,3,0)),"0",VLOOKUP(B6,RésultatsV!$L$10:$O$248,3,0))</f>
        <v>0</v>
      </c>
      <c r="J6" s="136" t="str">
        <f>IF(ISNA(VLOOKUP(B6,RésultatsV!$L$10:$O$248,4,0)),"0",VLOOKUP(B6,RésultatsV!$L$10:$O$248,4,0))</f>
        <v>0</v>
      </c>
      <c r="K6" s="136" t="str">
        <f>IF(ISNA(VLOOKUP(B6,RésultatsV!$L$10:$O$248,2,0)),"0",VLOOKUP(B6,RésultatsV!$L$10:$O$248,2,0))</f>
        <v>0</v>
      </c>
      <c r="L6" s="136" t="str">
        <f>IF(ISNA(VLOOKUP(B6,RésultatsV!$Q$10:$T$248,3,0)),"0",VLOOKUP(B6,RésultatsV!$Q$10:$T$248,3,0))</f>
        <v>0</v>
      </c>
      <c r="M6" s="136" t="str">
        <f>IF(ISNA(VLOOKUP(B6,RésultatsV!$Q$10:$T$248,4,0)),"0",VLOOKUP(B6,RésultatsV!$Q$10:$T$248,4,0))</f>
        <v>0</v>
      </c>
      <c r="N6" s="136" t="str">
        <f>IF(ISNA(VLOOKUP(B6,RésultatsV!$Q$10:$T$248,2,0)),"0",VLOOKUP(B6,RésultatsV!$Q$10:$T$248,2,0))</f>
        <v>0</v>
      </c>
      <c r="O6" s="136" t="str">
        <f>IF(ISNA(VLOOKUP(B6,RésultatsV!$V$10:$Y$248,3,0)),"0",VLOOKUP(B6,RésultatsV!$V$10:$Y$248,3,0))</f>
        <v>0</v>
      </c>
      <c r="P6" s="136" t="str">
        <f>IF(ISNA(VLOOKUP(B6,RésultatsV!$V$10:$Y$248,4,0)),"0",VLOOKUP(B6,RésultatsV!$V$10:$Y$248,4,0))</f>
        <v>0</v>
      </c>
      <c r="Q6" s="136" t="str">
        <f>IF(ISNA(VLOOKUP(E6,RésultatsV!$V$10:$Y$248,2,0)),"0",VLOOKUP(E6,RésultatsV!$V$10:$Y$248,2,0))</f>
        <v>0</v>
      </c>
      <c r="R6" s="136" t="str">
        <f>IF(ISNA(VLOOKUP(B6,RésultatsV!$AA$10:$AD$248,3,0)),"0",VLOOKUP(B6,RésultatsV!$AA$10:$AD$248,3,0))</f>
        <v>0</v>
      </c>
      <c r="S6" s="136" t="str">
        <f>IF(ISNA(VLOOKUP(B6,RésultatsV!$AA$10:$AD$248,4,0)),"0",VLOOKUP(B6,RésultatsV!$AA$10:$AD$248,4,0))</f>
        <v>0</v>
      </c>
      <c r="T6" s="136" t="str">
        <f>IF(ISNA(VLOOKUP(B6,RésultatsV!$AA$10:$AD$248,2,0)),"0",VLOOKUP(B6,RésultatsV!$AA$10:$AD$248,2,0))</f>
        <v>0</v>
      </c>
      <c r="U6" s="109">
        <f t="shared" ref="U6:U37" si="0">SUMIFS(C6:R6,$C$5:$R$5,"Pts",C6:R6,"&lt;&gt;#N/A")</f>
        <v>6</v>
      </c>
      <c r="V6" s="102">
        <f t="shared" ref="V6:V37" si="1">SUMIFS(D6:S6,$D$5:$S$5,"GA",D6:S6,"&lt;&gt;#N/A")</f>
        <v>11</v>
      </c>
      <c r="W6" s="105">
        <f>SUMIFS(E6:T6,$E$5:$T$5,"Score",E6:T6,"&lt;&gt;#N/A")</f>
        <v>15</v>
      </c>
      <c r="X6" s="60">
        <f>IF(V6="","",IF(V6&lt;0,V6,0))</f>
        <v>0</v>
      </c>
      <c r="Y6" s="51">
        <f>IF(V6="","",IF(V6&gt;0,V6,0))</f>
        <v>11</v>
      </c>
      <c r="Z6" s="104">
        <f>IF(OR(B6="",U6="",V6="",W6=""),"",RANK(U6,$U$6:$U$185)+SUM(-V6/1000)-(+W6/10000)+COUNTIF(B$6:B$185,"&lt;="&amp;B6+1)/1000000+ROW()/100000000)</f>
        <v>0.98750006000000001</v>
      </c>
      <c r="AA6" s="115">
        <f>IF(B6="","",SMALL(Z$6:Z$185,ROWS(AD$6:AD6)))</f>
        <v>0.98650071000000006</v>
      </c>
      <c r="AB6" s="270"/>
      <c r="AC6" s="1" t="str">
        <f>IF(OR(B6="",U6=""),"",INDEX($B$6:$B$185,MATCH(AA6,$Z$6:Z$185,0)))</f>
        <v>B6</v>
      </c>
      <c r="AD6" s="1">
        <f t="shared" ref="AD6:AD37" si="2">IF(B6="","",INDEX($U$6:$U$185,MATCH(AA6,$Z$6:$Z$185,0)))</f>
        <v>6</v>
      </c>
      <c r="AE6" s="1">
        <f t="shared" ref="AE6:AE37" si="3">IF(B6="","",INDEX($V$6:$V$185,MATCH(AA6,$Z$6:$Z$185,0)))</f>
        <v>12</v>
      </c>
      <c r="AF6" s="49">
        <f>IF(B6="","",INDEX($W$6:$W$185,MATCH(AA6,$Z$6:$Z$185,0)))</f>
        <v>15</v>
      </c>
      <c r="AG6" s="101">
        <f>IF(AA6="","",1)</f>
        <v>1</v>
      </c>
      <c r="AH6" s="34"/>
      <c r="AI6" s="93">
        <v>60</v>
      </c>
    </row>
    <row r="7" spans="1:35" s="23" customFormat="1" ht="18" customHeight="1">
      <c r="A7" s="133">
        <v>2</v>
      </c>
      <c r="B7" s="50" t="str">
        <f>+'Joueurs et TirageV'!C8</f>
        <v>A2</v>
      </c>
      <c r="C7" s="136">
        <f>IF(ISNA(VLOOKUP(B7,RésultatsV!$B$10:$E$248,3,0)),"0",VLOOKUP(B7,RésultatsV!$B$10:$E$248,3,0))</f>
        <v>3</v>
      </c>
      <c r="D7" s="136">
        <f>IF(ISNA(VLOOKUP(B7,RésultatsV!$B$10:$E$248,4,0)),"0",VLOOKUP(B7,RésultatsV!$B$10:$E$248,4,0))</f>
        <v>7</v>
      </c>
      <c r="E7" s="136">
        <f>IF(ISNA(VLOOKUP(B7,RésultatsV!$B$10:$E$248,2,0)),"0",VLOOKUP(B7,RésultatsV!$B$10:$E$248,2,0))</f>
        <v>9</v>
      </c>
      <c r="F7" s="136">
        <f>IF(ISNA(VLOOKUP(B7,RésultatsV!$G$10:$J$248,3,0)),"0",VLOOKUP(B7,RésultatsV!$G$10:$J$248,3,0))</f>
        <v>1</v>
      </c>
      <c r="G7" s="136">
        <f>IF(ISNA(VLOOKUP(B7,RésultatsV!$G$10:$J$248,4,0)),"0",VLOOKUP(B7,RésultatsV!$G$10:$J$248,4,0))</f>
        <v>-4</v>
      </c>
      <c r="H7" s="136">
        <f>IF(ISNA(VLOOKUP(B7,RésultatsV!$G$10:$J$248,2,0)),"0",VLOOKUP(B7,RésultatsV!$G$10:$J$248,2,0))</f>
        <v>2</v>
      </c>
      <c r="I7" s="136" t="str">
        <f>IF(ISNA(VLOOKUP(B7,RésultatsV!$L$10:$O$248,3,0)),"0",VLOOKUP(B7,RésultatsV!$L$10:$O$248,3,0))</f>
        <v>0</v>
      </c>
      <c r="J7" s="136" t="str">
        <f>IF(ISNA(VLOOKUP(B7,RésultatsV!$L$10:$O$248,4,0)),"0",VLOOKUP(B7,RésultatsV!$L$10:$O$248,4,0))</f>
        <v>0</v>
      </c>
      <c r="K7" s="136" t="str">
        <f>IF(ISNA(VLOOKUP(B7,RésultatsV!$L$10:$O$248,2,0)),"0",VLOOKUP(B7,RésultatsV!$L$10:$O$248,2,0))</f>
        <v>0</v>
      </c>
      <c r="L7" s="136" t="str">
        <f>IF(ISNA(VLOOKUP(B7,RésultatsV!$Q$10:$T$248,3,0)),"0",VLOOKUP(B7,RésultatsV!$Q$10:$T$248,3,0))</f>
        <v>0</v>
      </c>
      <c r="M7" s="136" t="str">
        <f>IF(ISNA(VLOOKUP(B7,RésultatsV!$Q$10:$T$248,4,0)),"0",VLOOKUP(B7,RésultatsV!$Q$10:$T$248,4,0))</f>
        <v>0</v>
      </c>
      <c r="N7" s="136" t="str">
        <f>IF(ISNA(VLOOKUP(B7,RésultatsV!$Q$10:$T$248,2,0)),"0",VLOOKUP(B7,RésultatsV!$Q$10:$T$248,2,0))</f>
        <v>0</v>
      </c>
      <c r="O7" s="136" t="str">
        <f>IF(ISNA(VLOOKUP(B7,RésultatsV!$V$10:$Y$248,3,0)),"0",VLOOKUP(B7,RésultatsV!$V$10:$Y$248,3,0))</f>
        <v>0</v>
      </c>
      <c r="P7" s="136" t="str">
        <f>IF(ISNA(VLOOKUP(B7,RésultatsV!$V$10:$Y$248,4,0)),"0",VLOOKUP(B7,RésultatsV!$V$10:$Y$248,4,0))</f>
        <v>0</v>
      </c>
      <c r="Q7" s="136" t="str">
        <f>IF(ISNA(VLOOKUP(E7,RésultatsV!$V$10:$Y$248,2,0)),"0",VLOOKUP(E7,RésultatsV!$V$10:$Y$248,2,0))</f>
        <v>0</v>
      </c>
      <c r="R7" s="136" t="str">
        <f>IF(ISNA(VLOOKUP(B7,RésultatsV!$AA$10:$AD$248,3,0)),"0",VLOOKUP(B7,RésultatsV!$AA$10:$AD$248,3,0))</f>
        <v>0</v>
      </c>
      <c r="S7" s="136" t="str">
        <f>IF(ISNA(VLOOKUP(B7,RésultatsV!$AA$10:$AD$248,4,0)),"0",VLOOKUP(B7,RésultatsV!$AA$10:$AD$248,4,0))</f>
        <v>0</v>
      </c>
      <c r="T7" s="136" t="str">
        <f>IF(ISNA(VLOOKUP(B7,RésultatsV!$AA$10:$AD$248,2,0)),"0",VLOOKUP(B7,RésultatsV!$AA$10:$AD$248,2,0))</f>
        <v>0</v>
      </c>
      <c r="U7" s="110">
        <f t="shared" si="0"/>
        <v>4</v>
      </c>
      <c r="V7" s="103">
        <f t="shared" si="1"/>
        <v>3</v>
      </c>
      <c r="W7" s="106">
        <f t="shared" ref="W7:W70" si="4">SUMIFS(E7:T7,$E$5:$T$5,"Score",E7:T7,"&lt;&gt;#N/A")</f>
        <v>11</v>
      </c>
      <c r="X7" s="61">
        <f t="shared" ref="X7" si="5">IF(V7="","",IF(V7&lt;0,V7,0))</f>
        <v>0</v>
      </c>
      <c r="Y7" s="52">
        <f t="shared" ref="Y7:Y145" si="6">IF(V7="","",IF(V7&gt;0,V7,0))</f>
        <v>3</v>
      </c>
      <c r="Z7" s="104">
        <f t="shared" ref="Z7:Z70" si="7">IF(OR(B7="",U7="",V7="",W7=""),"",RANK(U7,$U$6:$U$185)+SUM(-V7/1000)-(+W7/10000)+COUNTIF(B$6:B$185,"&lt;="&amp;B7+1)/1000000+ROW()/100000000)</f>
        <v>6.9959000699999994</v>
      </c>
      <c r="AA7" s="115">
        <f>IF(B7="","",SMALL(Z$6:Z$185,ROWS(AD$6:AD7)))</f>
        <v>0.98650128000000004</v>
      </c>
      <c r="AB7" s="270"/>
      <c r="AC7" s="4" t="str">
        <f>IF(OR(B7="",U7=""),"",INDEX($B$6:$B$185,MATCH(AA7,$Z$6:Z$185,0)))</f>
        <v>C3</v>
      </c>
      <c r="AD7" s="4">
        <f t="shared" si="2"/>
        <v>6</v>
      </c>
      <c r="AE7" s="4">
        <f t="shared" si="3"/>
        <v>12</v>
      </c>
      <c r="AF7" s="4">
        <f t="shared" ref="AF7:AF70" si="8">IF(B7="","",INDEX($W$6:$W$185,MATCH(AA7,$Z$6:$Z$185,0)))</f>
        <v>15</v>
      </c>
      <c r="AG7" s="271">
        <f>IF(AA7="","",IF(AND(AD6=AD7,AE6=AE7,AF6=AF7),AG6,$AG$6+1))</f>
        <v>1</v>
      </c>
      <c r="AH7" s="34"/>
      <c r="AI7" s="94">
        <v>60</v>
      </c>
    </row>
    <row r="8" spans="1:35" s="23" customFormat="1" ht="18" customHeight="1">
      <c r="A8" s="133">
        <v>3</v>
      </c>
      <c r="B8" s="50" t="str">
        <f>+'Joueurs et TirageV'!C9</f>
        <v>A3</v>
      </c>
      <c r="C8" s="136">
        <f>IF(ISNA(VLOOKUP(B8,RésultatsV!$B$10:$E$248,3,0)),"0",VLOOKUP(B8,RésultatsV!$B$10:$E$248,3,0))</f>
        <v>1</v>
      </c>
      <c r="D8" s="136">
        <f>IF(ISNA(VLOOKUP(B8,RésultatsV!$B$10:$E$248,4,0)),"0",VLOOKUP(B8,RésultatsV!$B$10:$E$248,4,0))</f>
        <v>-7</v>
      </c>
      <c r="E8" s="136">
        <f>IF(ISNA(VLOOKUP(B8,RésultatsV!$B$10:$E$248,2,0)),"0",VLOOKUP(B8,RésultatsV!$B$10:$E$248,2,0))</f>
        <v>2</v>
      </c>
      <c r="F8" s="136">
        <f>IF(ISNA(VLOOKUP(B8,RésultatsV!$G$10:$J$248,3,0)),"0",VLOOKUP(B8,RésultatsV!$G$10:$J$248,3,0))</f>
        <v>3</v>
      </c>
      <c r="G8" s="136">
        <f>IF(ISNA(VLOOKUP(B8,RésultatsV!$G$10:$J$248,4,0)),"0",VLOOKUP(B8,RésultatsV!$G$10:$J$248,4,0))</f>
        <v>5</v>
      </c>
      <c r="H8" s="136">
        <f>IF(ISNA(VLOOKUP(B8,RésultatsV!$G$10:$J$248,2,0)),"0",VLOOKUP(B8,RésultatsV!$G$10:$J$248,2,0))</f>
        <v>6</v>
      </c>
      <c r="I8" s="136" t="str">
        <f>IF(ISNA(VLOOKUP(B8,RésultatsV!$L$10:$O$248,3,0)),"0",VLOOKUP(B8,RésultatsV!$L$10:$O$248,3,0))</f>
        <v>0</v>
      </c>
      <c r="J8" s="136" t="str">
        <f>IF(ISNA(VLOOKUP(B8,RésultatsV!$L$10:$O$248,4,0)),"0",VLOOKUP(B8,RésultatsV!$L$10:$O$248,4,0))</f>
        <v>0</v>
      </c>
      <c r="K8" s="136" t="str">
        <f>IF(ISNA(VLOOKUP(B8,RésultatsV!$L$10:$O$248,2,0)),"0",VLOOKUP(B8,RésultatsV!$L$10:$O$248,2,0))</f>
        <v>0</v>
      </c>
      <c r="L8" s="136" t="str">
        <f>IF(ISNA(VLOOKUP(B8,RésultatsV!$Q$10:$T$248,3,0)),"0",VLOOKUP(B8,RésultatsV!$Q$10:$T$248,3,0))</f>
        <v>0</v>
      </c>
      <c r="M8" s="136" t="str">
        <f>IF(ISNA(VLOOKUP(B8,RésultatsV!$Q$10:$T$248,4,0)),"0",VLOOKUP(B8,RésultatsV!$Q$10:$T$248,4,0))</f>
        <v>0</v>
      </c>
      <c r="N8" s="136" t="str">
        <f>IF(ISNA(VLOOKUP(B8,RésultatsV!$Q$10:$T$248,2,0)),"0",VLOOKUP(B8,RésultatsV!$Q$10:$T$248,2,0))</f>
        <v>0</v>
      </c>
      <c r="O8" s="136" t="str">
        <f>IF(ISNA(VLOOKUP(B8,RésultatsV!$V$10:$Y$248,3,0)),"0",VLOOKUP(B8,RésultatsV!$V$10:$Y$248,3,0))</f>
        <v>0</v>
      </c>
      <c r="P8" s="136" t="str">
        <f>IF(ISNA(VLOOKUP(B8,RésultatsV!$V$10:$Y$248,4,0)),"0",VLOOKUP(B8,RésultatsV!$V$10:$Y$248,4,0))</f>
        <v>0</v>
      </c>
      <c r="Q8" s="136" t="str">
        <f>IF(ISNA(VLOOKUP(E8,RésultatsV!$V$10:$Y$248,2,0)),"0",VLOOKUP(E8,RésultatsV!$V$10:$Y$248,2,0))</f>
        <v>0</v>
      </c>
      <c r="R8" s="136" t="str">
        <f>IF(ISNA(VLOOKUP(B8,RésultatsV!$AA$10:$AD$248,3,0)),"0",VLOOKUP(B8,RésultatsV!$AA$10:$AD$248,3,0))</f>
        <v>0</v>
      </c>
      <c r="S8" s="136" t="str">
        <f>IF(ISNA(VLOOKUP(B8,RésultatsV!$AA$10:$AD$248,4,0)),"0",VLOOKUP(B8,RésultatsV!$AA$10:$AD$248,4,0))</f>
        <v>0</v>
      </c>
      <c r="T8" s="136" t="str">
        <f>IF(ISNA(VLOOKUP(B8,RésultatsV!$AA$10:$AD$248,2,0)),"0",VLOOKUP(B8,RésultatsV!$AA$10:$AD$248,2,0))</f>
        <v>0</v>
      </c>
      <c r="U8" s="110">
        <f t="shared" si="0"/>
        <v>4</v>
      </c>
      <c r="V8" s="103">
        <f t="shared" si="1"/>
        <v>-2</v>
      </c>
      <c r="W8" s="106">
        <f t="shared" si="4"/>
        <v>8</v>
      </c>
      <c r="X8" s="61">
        <f t="shared" ref="X8" si="9">IF(V8="","",IF(V8&lt;0,V8,0))</f>
        <v>-2</v>
      </c>
      <c r="Y8" s="52">
        <f t="shared" si="6"/>
        <v>0</v>
      </c>
      <c r="Z8" s="104">
        <f t="shared" si="7"/>
        <v>7.0012000800000003</v>
      </c>
      <c r="AA8" s="115">
        <f>IF(B8="","",SMALL(Z$6:Z$185,ROWS(AD$6:AD8)))</f>
        <v>0.98750006000000001</v>
      </c>
      <c r="AB8" s="270"/>
      <c r="AC8" s="4" t="str">
        <f>IF(OR(B8="",U8=""),"",INDEX($B$6:$B$185,MATCH(AA8,$Z$6:Z$185,0)))</f>
        <v>A1</v>
      </c>
      <c r="AD8" s="4">
        <f t="shared" si="2"/>
        <v>6</v>
      </c>
      <c r="AE8" s="4">
        <f t="shared" si="3"/>
        <v>11</v>
      </c>
      <c r="AF8" s="4">
        <f t="shared" si="8"/>
        <v>15</v>
      </c>
      <c r="AG8" s="271">
        <f>IF(AA8="","",IF(AND(AD7=AD8,AE7=AE8,AF7=AF8),AG7,$AG$6+2))</f>
        <v>3</v>
      </c>
      <c r="AH8" s="34"/>
      <c r="AI8" s="94">
        <v>58</v>
      </c>
    </row>
    <row r="9" spans="1:35" s="23" customFormat="1" ht="18" customHeight="1">
      <c r="A9" s="282">
        <v>4</v>
      </c>
      <c r="B9" s="50" t="str">
        <f>+'Joueurs et TirageV'!C10</f>
        <v>A4</v>
      </c>
      <c r="C9" s="136">
        <f>IF(ISNA(VLOOKUP(B9,RésultatsV!$B$10:$E$248,3,0)),"0",VLOOKUP(B9,RésultatsV!$B$10:$E$248,3,0))</f>
        <v>3</v>
      </c>
      <c r="D9" s="136">
        <f>IF(ISNA(VLOOKUP(B9,RésultatsV!$B$10:$E$248,4,0)),"0",VLOOKUP(B9,RésultatsV!$B$10:$E$248,4,0))</f>
        <v>7</v>
      </c>
      <c r="E9" s="136">
        <f>IF(ISNA(VLOOKUP(B9,RésultatsV!$B$10:$E$248,2,0)),"0",VLOOKUP(B9,RésultatsV!$B$10:$E$248,2,0))</f>
        <v>9</v>
      </c>
      <c r="F9" s="136">
        <f>IF(ISNA(VLOOKUP(B9,RésultatsV!$G$10:$J$248,3,0)),"0",VLOOKUP(B9,RésultatsV!$G$10:$J$248,3,0))</f>
        <v>1</v>
      </c>
      <c r="G9" s="136">
        <f>IF(ISNA(VLOOKUP(B9,RésultatsV!$G$10:$J$248,4,0)),"0",VLOOKUP(B9,RésultatsV!$G$10:$J$248,4,0))</f>
        <v>-5</v>
      </c>
      <c r="H9" s="136">
        <f>IF(ISNA(VLOOKUP(B9,RésultatsV!$G$10:$J$248,2,0)),"0",VLOOKUP(B9,RésultatsV!$G$10:$J$248,2,0))</f>
        <v>1</v>
      </c>
      <c r="I9" s="136" t="str">
        <f>IF(ISNA(VLOOKUP(B9,RésultatsV!$L$10:$O$248,3,0)),"0",VLOOKUP(B9,RésultatsV!$L$10:$O$248,3,0))</f>
        <v>0</v>
      </c>
      <c r="J9" s="136" t="str">
        <f>IF(ISNA(VLOOKUP(B9,RésultatsV!$L$10:$O$248,4,0)),"0",VLOOKUP(B9,RésultatsV!$L$10:$O$248,4,0))</f>
        <v>0</v>
      </c>
      <c r="K9" s="136" t="str">
        <f>IF(ISNA(VLOOKUP(B9,RésultatsV!$L$10:$O$248,2,0)),"0",VLOOKUP(B9,RésultatsV!$L$10:$O$248,2,0))</f>
        <v>0</v>
      </c>
      <c r="L9" s="136" t="str">
        <f>IF(ISNA(VLOOKUP(B9,RésultatsV!$Q$10:$T$248,3,0)),"0",VLOOKUP(B9,RésultatsV!$Q$10:$T$248,3,0))</f>
        <v>0</v>
      </c>
      <c r="M9" s="136" t="str">
        <f>IF(ISNA(VLOOKUP(B9,RésultatsV!$Q$10:$T$248,4,0)),"0",VLOOKUP(B9,RésultatsV!$Q$10:$T$248,4,0))</f>
        <v>0</v>
      </c>
      <c r="N9" s="136" t="str">
        <f>IF(ISNA(VLOOKUP(B9,RésultatsV!$Q$10:$T$248,2,0)),"0",VLOOKUP(B9,RésultatsV!$Q$10:$T$248,2,0))</f>
        <v>0</v>
      </c>
      <c r="O9" s="136" t="str">
        <f>IF(ISNA(VLOOKUP(B9,RésultatsV!$V$10:$Y$248,3,0)),"0",VLOOKUP(B9,RésultatsV!$V$10:$Y$248,3,0))</f>
        <v>0</v>
      </c>
      <c r="P9" s="136" t="str">
        <f>IF(ISNA(VLOOKUP(B9,RésultatsV!$V$10:$Y$248,4,0)),"0",VLOOKUP(B9,RésultatsV!$V$10:$Y$248,4,0))</f>
        <v>0</v>
      </c>
      <c r="Q9" s="136" t="str">
        <f>IF(ISNA(VLOOKUP(E9,RésultatsV!$V$10:$Y$248,2,0)),"0",VLOOKUP(E9,RésultatsV!$V$10:$Y$248,2,0))</f>
        <v>0</v>
      </c>
      <c r="R9" s="136" t="str">
        <f>IF(ISNA(VLOOKUP(B9,RésultatsV!$AA$10:$AD$248,3,0)),"0",VLOOKUP(B9,RésultatsV!$AA$10:$AD$248,3,0))</f>
        <v>0</v>
      </c>
      <c r="S9" s="136" t="str">
        <f>IF(ISNA(VLOOKUP(B9,RésultatsV!$AA$10:$AD$248,4,0)),"0",VLOOKUP(B9,RésultatsV!$AA$10:$AD$248,4,0))</f>
        <v>0</v>
      </c>
      <c r="T9" s="136" t="str">
        <f>IF(ISNA(VLOOKUP(B9,RésultatsV!$AA$10:$AD$248,2,0)),"0",VLOOKUP(B9,RésultatsV!$AA$10:$AD$248,2,0))</f>
        <v>0</v>
      </c>
      <c r="U9" s="110">
        <f t="shared" si="0"/>
        <v>4</v>
      </c>
      <c r="V9" s="103">
        <f t="shared" si="1"/>
        <v>2</v>
      </c>
      <c r="W9" s="106">
        <f t="shared" si="4"/>
        <v>10</v>
      </c>
      <c r="X9" s="61">
        <f t="shared" ref="X9:X72" si="10">IF(V9="","",IF(V9&lt;0,V9,0))</f>
        <v>0</v>
      </c>
      <c r="Y9" s="52">
        <f t="shared" si="6"/>
        <v>2</v>
      </c>
      <c r="Z9" s="104">
        <f t="shared" si="7"/>
        <v>6.9970000900000002</v>
      </c>
      <c r="AA9" s="115">
        <f>IF(B9="","",SMALL(Z$6:Z$185,ROWS(AD$6:AD9)))</f>
        <v>0.98750067000000008</v>
      </c>
      <c r="AB9" s="270"/>
      <c r="AC9" s="7" t="str">
        <f>IF(OR(B9="",U9=""),"",INDEX($B$6:$B$185,MATCH(AA9,$Z$6:Z$185,0)))</f>
        <v>B2</v>
      </c>
      <c r="AD9" s="4">
        <f t="shared" ref="AD9" si="11">IF(B9="","",INDEX($U$6:$U$185,MATCH(AA9,$Z$6:$Z$185,0)))</f>
        <v>6</v>
      </c>
      <c r="AE9" s="4">
        <f t="shared" ref="AE9" si="12">IF(B9="","",INDEX($V$6:$V$185,MATCH(AA9,$Z$6:$Z$185,0)))</f>
        <v>11</v>
      </c>
      <c r="AF9" s="4">
        <f t="shared" ref="AF9" si="13">IF(B9="","",INDEX($W$6:$W$185,MATCH(AA9,$Z$6:$Z$185,0)))</f>
        <v>15</v>
      </c>
      <c r="AG9" s="271">
        <f>IF(AA9="","",IF(AND(AD8=AD9,AE8=AE9,AF8=AF9),AG8,$AG$6+3))</f>
        <v>3</v>
      </c>
      <c r="AH9" s="34"/>
      <c r="AI9" s="94">
        <v>57</v>
      </c>
    </row>
    <row r="10" spans="1:35" s="23" customFormat="1" ht="18" customHeight="1">
      <c r="A10" s="282">
        <v>5</v>
      </c>
      <c r="B10" s="50" t="str">
        <f>+'Joueurs et TirageV'!C11</f>
        <v>A5</v>
      </c>
      <c r="C10" s="136">
        <f>IF(ISNA(VLOOKUP(B10,RésultatsV!$B$10:$E$248,3,0)),"0",VLOOKUP(B10,RésultatsV!$B$10:$E$248,3,0))</f>
        <v>1</v>
      </c>
      <c r="D10" s="136">
        <f>IF(ISNA(VLOOKUP(B10,RésultatsV!$B$10:$E$248,4,0)),"0",VLOOKUP(B10,RésultatsV!$B$10:$E$248,4,0))</f>
        <v>-7</v>
      </c>
      <c r="E10" s="136">
        <f>IF(ISNA(VLOOKUP(B10,RésultatsV!$B$10:$E$248,2,0)),"0",VLOOKUP(B10,RésultatsV!$B$10:$E$248,2,0))</f>
        <v>2</v>
      </c>
      <c r="F10" s="136">
        <f>IF(ISNA(VLOOKUP(B10,RésultatsV!$G$10:$J$248,3,0)),"0",VLOOKUP(B10,RésultatsV!$G$10:$J$248,3,0))</f>
        <v>3</v>
      </c>
      <c r="G10" s="136">
        <f>IF(ISNA(VLOOKUP(B10,RésultatsV!$G$10:$J$248,4,0)),"0",VLOOKUP(B10,RésultatsV!$G$10:$J$248,4,0))</f>
        <v>5</v>
      </c>
      <c r="H10" s="136">
        <f>IF(ISNA(VLOOKUP(B10,RésultatsV!$G$10:$J$248,2,0)),"0",VLOOKUP(B10,RésultatsV!$G$10:$J$248,2,0))</f>
        <v>6</v>
      </c>
      <c r="I10" s="136" t="str">
        <f>IF(ISNA(VLOOKUP(B10,RésultatsV!$L$10:$O$248,3,0)),"0",VLOOKUP(B10,RésultatsV!$L$10:$O$248,3,0))</f>
        <v>0</v>
      </c>
      <c r="J10" s="136" t="str">
        <f>IF(ISNA(VLOOKUP(B10,RésultatsV!$L$10:$O$248,4,0)),"0",VLOOKUP(B10,RésultatsV!$L$10:$O$248,4,0))</f>
        <v>0</v>
      </c>
      <c r="K10" s="136" t="str">
        <f>IF(ISNA(VLOOKUP(B10,RésultatsV!$L$10:$O$248,2,0)),"0",VLOOKUP(B10,RésultatsV!$L$10:$O$248,2,0))</f>
        <v>0</v>
      </c>
      <c r="L10" s="136" t="str">
        <f>IF(ISNA(VLOOKUP(B10,RésultatsV!$Q$10:$T$248,3,0)),"0",VLOOKUP(B10,RésultatsV!$Q$10:$T$248,3,0))</f>
        <v>0</v>
      </c>
      <c r="M10" s="136" t="str">
        <f>IF(ISNA(VLOOKUP(B10,RésultatsV!$Q$10:$T$248,4,0)),"0",VLOOKUP(B10,RésultatsV!$Q$10:$T$248,4,0))</f>
        <v>0</v>
      </c>
      <c r="N10" s="136" t="str">
        <f>IF(ISNA(VLOOKUP(B10,RésultatsV!$Q$10:$T$248,2,0)),"0",VLOOKUP(B10,RésultatsV!$Q$10:$T$248,2,0))</f>
        <v>0</v>
      </c>
      <c r="O10" s="136" t="str">
        <f>IF(ISNA(VLOOKUP(B10,RésultatsV!$V$10:$Y$248,3,0)),"0",VLOOKUP(B10,RésultatsV!$V$10:$Y$248,3,0))</f>
        <v>0</v>
      </c>
      <c r="P10" s="136" t="str">
        <f>IF(ISNA(VLOOKUP(B10,RésultatsV!$V$10:$Y$248,4,0)),"0",VLOOKUP(B10,RésultatsV!$V$10:$Y$248,4,0))</f>
        <v>0</v>
      </c>
      <c r="Q10" s="136" t="str">
        <f>IF(ISNA(VLOOKUP(E10,RésultatsV!$V$10:$Y$248,2,0)),"0",VLOOKUP(E10,RésultatsV!$V$10:$Y$248,2,0))</f>
        <v>0</v>
      </c>
      <c r="R10" s="136" t="str">
        <f>IF(ISNA(VLOOKUP(B10,RésultatsV!$AA$10:$AD$248,3,0)),"0",VLOOKUP(B10,RésultatsV!$AA$10:$AD$248,3,0))</f>
        <v>0</v>
      </c>
      <c r="S10" s="136" t="str">
        <f>IF(ISNA(VLOOKUP(B10,RésultatsV!$AA$10:$AD$248,4,0)),"0",VLOOKUP(B10,RésultatsV!$AA$10:$AD$248,4,0))</f>
        <v>0</v>
      </c>
      <c r="T10" s="136" t="str">
        <f>IF(ISNA(VLOOKUP(B10,RésultatsV!$AA$10:$AD$248,2,0)),"0",VLOOKUP(B10,RésultatsV!$AA$10:$AD$248,2,0))</f>
        <v>0</v>
      </c>
      <c r="U10" s="110">
        <f t="shared" si="0"/>
        <v>4</v>
      </c>
      <c r="V10" s="103">
        <f t="shared" si="1"/>
        <v>-2</v>
      </c>
      <c r="W10" s="106">
        <f t="shared" si="4"/>
        <v>8</v>
      </c>
      <c r="X10" s="61">
        <f t="shared" si="10"/>
        <v>-2</v>
      </c>
      <c r="Y10" s="52">
        <f t="shared" si="6"/>
        <v>0</v>
      </c>
      <c r="Z10" s="104">
        <f t="shared" si="7"/>
        <v>7.0012001000000001</v>
      </c>
      <c r="AA10" s="115">
        <f>IF(B10="","",SMALL(Z$6:Z$185,ROWS(AD$6:AD10)))</f>
        <v>0.99110012000000003</v>
      </c>
      <c r="AB10" s="270"/>
      <c r="AC10" s="4" t="str">
        <f>IF(OR(B10="",U10=""),"",INDEX($B$6:$B$185,MATCH(AA10,$Z$6:Z$185,0)))</f>
        <v>A7</v>
      </c>
      <c r="AD10" s="4">
        <f t="shared" si="2"/>
        <v>6</v>
      </c>
      <c r="AE10" s="4">
        <f t="shared" si="3"/>
        <v>7</v>
      </c>
      <c r="AF10" s="113">
        <f t="shared" si="8"/>
        <v>19</v>
      </c>
      <c r="AG10" s="271">
        <f>IF(AA10="","",IF(AND(AD9=AD10,AE9=AE10,AF9=AF10),AG9,$AG$6+4))</f>
        <v>5</v>
      </c>
      <c r="AH10" s="34"/>
      <c r="AI10" s="94">
        <v>56</v>
      </c>
    </row>
    <row r="11" spans="1:35" s="23" customFormat="1" ht="18" customHeight="1">
      <c r="A11" s="282">
        <v>6</v>
      </c>
      <c r="B11" s="50" t="str">
        <f>+'Joueurs et TirageV'!C12</f>
        <v>A6</v>
      </c>
      <c r="C11" s="136">
        <f>IF(ISNA(VLOOKUP(B11,RésultatsV!$B$10:$E$248,3,0)),"0",VLOOKUP(B11,RésultatsV!$B$10:$E$248,3,0))</f>
        <v>1</v>
      </c>
      <c r="D11" s="136">
        <f>IF(ISNA(VLOOKUP(B11,RésultatsV!$B$10:$E$248,4,0)),"0",VLOOKUP(B11,RésultatsV!$B$10:$E$248,4,0))</f>
        <v>-7</v>
      </c>
      <c r="E11" s="136">
        <f>IF(ISNA(VLOOKUP(B11,RésultatsV!$B$10:$E$248,2,0)),"0",VLOOKUP(B11,RésultatsV!$B$10:$E$248,2,0))</f>
        <v>2</v>
      </c>
      <c r="F11" s="136">
        <f>IF(ISNA(VLOOKUP(B11,RésultatsV!$G$10:$J$248,3,0)),"0",VLOOKUP(B11,RésultatsV!$G$10:$J$248,3,0))</f>
        <v>1</v>
      </c>
      <c r="G11" s="136">
        <f>IF(ISNA(VLOOKUP(B11,RésultatsV!$G$10:$J$248,4,0)),"0",VLOOKUP(B11,RésultatsV!$G$10:$J$248,4,0))</f>
        <v>-5</v>
      </c>
      <c r="H11" s="136">
        <f>IF(ISNA(VLOOKUP(B11,RésultatsV!$G$10:$J$248,2,0)),"0",VLOOKUP(B11,RésultatsV!$G$10:$J$248,2,0))</f>
        <v>1</v>
      </c>
      <c r="I11" s="136" t="str">
        <f>IF(ISNA(VLOOKUP(B11,RésultatsV!$L$10:$O$248,3,0)),"0",VLOOKUP(B11,RésultatsV!$L$10:$O$248,3,0))</f>
        <v>0</v>
      </c>
      <c r="J11" s="136" t="str">
        <f>IF(ISNA(VLOOKUP(B11,RésultatsV!$L$10:$O$248,4,0)),"0",VLOOKUP(B11,RésultatsV!$L$10:$O$248,4,0))</f>
        <v>0</v>
      </c>
      <c r="K11" s="136" t="str">
        <f>IF(ISNA(VLOOKUP(B11,RésultatsV!$L$10:$O$248,2,0)),"0",VLOOKUP(B11,RésultatsV!$L$10:$O$248,2,0))</f>
        <v>0</v>
      </c>
      <c r="L11" s="136" t="str">
        <f>IF(ISNA(VLOOKUP(B11,RésultatsV!$Q$10:$T$248,3,0)),"0",VLOOKUP(B11,RésultatsV!$Q$10:$T$248,3,0))</f>
        <v>0</v>
      </c>
      <c r="M11" s="136" t="str">
        <f>IF(ISNA(VLOOKUP(B11,RésultatsV!$Q$10:$T$248,4,0)),"0",VLOOKUP(B11,RésultatsV!$Q$10:$T$248,4,0))</f>
        <v>0</v>
      </c>
      <c r="N11" s="136" t="str">
        <f>IF(ISNA(VLOOKUP(B11,RésultatsV!$Q$10:$T$248,2,0)),"0",VLOOKUP(B11,RésultatsV!$Q$10:$T$248,2,0))</f>
        <v>0</v>
      </c>
      <c r="O11" s="136" t="str">
        <f>IF(ISNA(VLOOKUP(B11,RésultatsV!$V$10:$Y$248,3,0)),"0",VLOOKUP(B11,RésultatsV!$V$10:$Y$248,3,0))</f>
        <v>0</v>
      </c>
      <c r="P11" s="136" t="str">
        <f>IF(ISNA(VLOOKUP(B11,RésultatsV!$V$10:$Y$248,4,0)),"0",VLOOKUP(B11,RésultatsV!$V$10:$Y$248,4,0))</f>
        <v>0</v>
      </c>
      <c r="Q11" s="136" t="str">
        <f>IF(ISNA(VLOOKUP(E11,RésultatsV!$V$10:$Y$248,2,0)),"0",VLOOKUP(E11,RésultatsV!$V$10:$Y$248,2,0))</f>
        <v>0</v>
      </c>
      <c r="R11" s="136" t="str">
        <f>IF(ISNA(VLOOKUP(B11,RésultatsV!$AA$10:$AD$248,3,0)),"0",VLOOKUP(B11,RésultatsV!$AA$10:$AD$248,3,0))</f>
        <v>0</v>
      </c>
      <c r="S11" s="136" t="str">
        <f>IF(ISNA(VLOOKUP(B11,RésultatsV!$AA$10:$AD$248,4,0)),"0",VLOOKUP(B11,RésultatsV!$AA$10:$AD$248,4,0))</f>
        <v>0</v>
      </c>
      <c r="T11" s="136" t="str">
        <f>IF(ISNA(VLOOKUP(B11,RésultatsV!$AA$10:$AD$248,2,0)),"0",VLOOKUP(B11,RésultatsV!$AA$10:$AD$248,2,0))</f>
        <v>0</v>
      </c>
      <c r="U11" s="110">
        <f t="shared" si="0"/>
        <v>2</v>
      </c>
      <c r="V11" s="103">
        <f t="shared" si="1"/>
        <v>-12</v>
      </c>
      <c r="W11" s="106">
        <f t="shared" si="4"/>
        <v>3</v>
      </c>
      <c r="X11" s="61">
        <f t="shared" si="10"/>
        <v>-12</v>
      </c>
      <c r="Y11" s="52">
        <f t="shared" si="6"/>
        <v>0</v>
      </c>
      <c r="Z11" s="104">
        <f t="shared" si="7"/>
        <v>17.01170011</v>
      </c>
      <c r="AA11" s="115">
        <f>IF(B11="","",SMALL(Z$6:Z$185,ROWS(AD$6:AD11)))</f>
        <v>0.99110067999999996</v>
      </c>
      <c r="AB11" s="270"/>
      <c r="AC11" s="7" t="str">
        <f>IF(OR(B11="",U11=""),"",INDEX($B$6:$B$185,MATCH(AA11,$Z$6:Z$185,0)))</f>
        <v>B3</v>
      </c>
      <c r="AD11" s="7">
        <f t="shared" si="2"/>
        <v>6</v>
      </c>
      <c r="AE11" s="7">
        <f t="shared" si="3"/>
        <v>7</v>
      </c>
      <c r="AF11" s="113">
        <f t="shared" si="8"/>
        <v>19</v>
      </c>
      <c r="AG11" s="271">
        <f>IF(AA11="","",IF(AND(AD10=AD11,AE10=AE11,AF10=AF11),AG10,$AG$6+5))</f>
        <v>5</v>
      </c>
      <c r="AH11" s="34"/>
      <c r="AI11" s="94">
        <v>55</v>
      </c>
    </row>
    <row r="12" spans="1:35" s="23" customFormat="1" ht="18" customHeight="1">
      <c r="A12" s="282">
        <v>7</v>
      </c>
      <c r="B12" s="50" t="str">
        <f>+'Joueurs et TirageV'!C13</f>
        <v>A7</v>
      </c>
      <c r="C12" s="136">
        <f>IF(ISNA(VLOOKUP(B12,RésultatsV!$B$10:$E$248,3,0)),"0",VLOOKUP(B12,RésultatsV!$B$10:$E$248,3,0))</f>
        <v>3</v>
      </c>
      <c r="D12" s="136">
        <f>IF(ISNA(VLOOKUP(B12,RésultatsV!$B$10:$E$248,4,0)),"0",VLOOKUP(B12,RésultatsV!$B$10:$E$248,4,0))</f>
        <v>2</v>
      </c>
      <c r="E12" s="136">
        <f>IF(ISNA(VLOOKUP(B12,RésultatsV!$B$10:$E$248,2,0)),"0",VLOOKUP(B12,RésultatsV!$B$10:$E$248,2,0))</f>
        <v>13</v>
      </c>
      <c r="F12" s="136">
        <f>IF(ISNA(VLOOKUP(B12,RésultatsV!$G$10:$J$248,3,0)),"0",VLOOKUP(B12,RésultatsV!$G$10:$J$248,3,0))</f>
        <v>3</v>
      </c>
      <c r="G12" s="136">
        <f>IF(ISNA(VLOOKUP(B12,RésultatsV!$G$10:$J$248,4,0)),"0",VLOOKUP(B12,RésultatsV!$G$10:$J$248,4,0))</f>
        <v>5</v>
      </c>
      <c r="H12" s="136">
        <f>IF(ISNA(VLOOKUP(B12,RésultatsV!$G$10:$J$248,2,0)),"0",VLOOKUP(B12,RésultatsV!$G$10:$J$248,2,0))</f>
        <v>6</v>
      </c>
      <c r="I12" s="136" t="str">
        <f>IF(ISNA(VLOOKUP(B12,RésultatsV!$L$10:$O$248,3,0)),"0",VLOOKUP(B12,RésultatsV!$L$10:$O$248,3,0))</f>
        <v>0</v>
      </c>
      <c r="J12" s="136" t="str">
        <f>IF(ISNA(VLOOKUP(B12,RésultatsV!$L$10:$O$248,4,0)),"0",VLOOKUP(B12,RésultatsV!$L$10:$O$248,4,0))</f>
        <v>0</v>
      </c>
      <c r="K12" s="136" t="str">
        <f>IF(ISNA(VLOOKUP(B12,RésultatsV!$L$10:$O$248,2,0)),"0",VLOOKUP(B12,RésultatsV!$L$10:$O$248,2,0))</f>
        <v>0</v>
      </c>
      <c r="L12" s="136" t="str">
        <f>IF(ISNA(VLOOKUP(B12,RésultatsV!$Q$10:$T$248,3,0)),"0",VLOOKUP(B12,RésultatsV!$Q$10:$T$248,3,0))</f>
        <v>0</v>
      </c>
      <c r="M12" s="136" t="str">
        <f>IF(ISNA(VLOOKUP(B12,RésultatsV!$Q$10:$T$248,4,0)),"0",VLOOKUP(B12,RésultatsV!$Q$10:$T$248,4,0))</f>
        <v>0</v>
      </c>
      <c r="N12" s="136" t="str">
        <f>IF(ISNA(VLOOKUP(B12,RésultatsV!$Q$10:$T$248,2,0)),"0",VLOOKUP(B12,RésultatsV!$Q$10:$T$248,2,0))</f>
        <v>0</v>
      </c>
      <c r="O12" s="136" t="str">
        <f>IF(ISNA(VLOOKUP(B12,RésultatsV!$V$10:$Y$248,3,0)),"0",VLOOKUP(B12,RésultatsV!$V$10:$Y$248,3,0))</f>
        <v>0</v>
      </c>
      <c r="P12" s="136" t="str">
        <f>IF(ISNA(VLOOKUP(B12,RésultatsV!$V$10:$Y$248,4,0)),"0",VLOOKUP(B12,RésultatsV!$V$10:$Y$248,4,0))</f>
        <v>0</v>
      </c>
      <c r="Q12" s="136" t="str">
        <f>IF(ISNA(VLOOKUP(E12,RésultatsV!$V$10:$Y$248,2,0)),"0",VLOOKUP(E12,RésultatsV!$V$10:$Y$248,2,0))</f>
        <v>0</v>
      </c>
      <c r="R12" s="136" t="str">
        <f>IF(ISNA(VLOOKUP(B12,RésultatsV!$AA$10:$AD$248,3,0)),"0",VLOOKUP(B12,RésultatsV!$AA$10:$AD$248,3,0))</f>
        <v>0</v>
      </c>
      <c r="S12" s="136" t="str">
        <f>IF(ISNA(VLOOKUP(B12,RésultatsV!$AA$10:$AD$248,4,0)),"0",VLOOKUP(B12,RésultatsV!$AA$10:$AD$248,4,0))</f>
        <v>0</v>
      </c>
      <c r="T12" s="136" t="str">
        <f>IF(ISNA(VLOOKUP(B12,RésultatsV!$AA$10:$AD$248,2,0)),"0",VLOOKUP(B12,RésultatsV!$AA$10:$AD$248,2,0))</f>
        <v>0</v>
      </c>
      <c r="U12" s="110">
        <f t="shared" si="0"/>
        <v>6</v>
      </c>
      <c r="V12" s="103">
        <f t="shared" si="1"/>
        <v>7</v>
      </c>
      <c r="W12" s="106">
        <f t="shared" si="4"/>
        <v>19</v>
      </c>
      <c r="X12" s="61">
        <f t="shared" si="10"/>
        <v>0</v>
      </c>
      <c r="Y12" s="52">
        <f t="shared" si="6"/>
        <v>7</v>
      </c>
      <c r="Z12" s="104">
        <f t="shared" si="7"/>
        <v>0.99110012000000003</v>
      </c>
      <c r="AA12" s="115">
        <f>IF(B12="","",SMALL(Z$6:Z$185,ROWS(AD$6:AD12)))</f>
        <v>6.9953012600000006</v>
      </c>
      <c r="AB12" s="270"/>
      <c r="AC12" s="7" t="str">
        <f>IF(OR(B12="",U12=""),"",INDEX($B$6:$B$185,MATCH(AA12,$Z$6:Z$185,0)))</f>
        <v>C1</v>
      </c>
      <c r="AD12" s="7">
        <f t="shared" si="2"/>
        <v>4</v>
      </c>
      <c r="AE12" s="7">
        <f t="shared" si="3"/>
        <v>3</v>
      </c>
      <c r="AF12" s="113">
        <f t="shared" si="8"/>
        <v>17</v>
      </c>
      <c r="AG12" s="271">
        <f>IF(AA12="","",IF(AND(AD11=AD12,AE11=AE12,AF11=AF12),AG11,$AG$6+6))</f>
        <v>7</v>
      </c>
      <c r="AH12" s="34"/>
      <c r="AI12" s="94">
        <v>54</v>
      </c>
    </row>
    <row r="13" spans="1:35" s="23" customFormat="1" ht="18" customHeight="1">
      <c r="A13" s="282">
        <v>8</v>
      </c>
      <c r="B13" s="50" t="str">
        <f>+'Joueurs et TirageV'!C14</f>
        <v>A8</v>
      </c>
      <c r="C13" s="136">
        <f>IF(ISNA(VLOOKUP(B13,RésultatsV!$B$10:$E$248,3,0)),"0",VLOOKUP(B13,RésultatsV!$B$10:$E$248,3,0))</f>
        <v>1</v>
      </c>
      <c r="D13" s="136">
        <f>IF(ISNA(VLOOKUP(B13,RésultatsV!$B$10:$E$248,4,0)),"0",VLOOKUP(B13,RésultatsV!$B$10:$E$248,4,0))</f>
        <v>-2</v>
      </c>
      <c r="E13" s="136">
        <f>IF(ISNA(VLOOKUP(B13,RésultatsV!$B$10:$E$248,2,0)),"0",VLOOKUP(B13,RésultatsV!$B$10:$E$248,2,0))</f>
        <v>11</v>
      </c>
      <c r="F13" s="136">
        <f>IF(ISNA(VLOOKUP(B13,RésultatsV!$G$10:$J$248,3,0)),"0",VLOOKUP(B13,RésultatsV!$G$10:$J$248,3,0))</f>
        <v>1</v>
      </c>
      <c r="G13" s="136">
        <f>IF(ISNA(VLOOKUP(B13,RésultatsV!$G$10:$J$248,4,0)),"0",VLOOKUP(B13,RésultatsV!$G$10:$J$248,4,0))</f>
        <v>-5</v>
      </c>
      <c r="H13" s="136">
        <f>IF(ISNA(VLOOKUP(B13,RésultatsV!$G$10:$J$248,2,0)),"0",VLOOKUP(B13,RésultatsV!$G$10:$J$248,2,0))</f>
        <v>1</v>
      </c>
      <c r="I13" s="136" t="str">
        <f>IF(ISNA(VLOOKUP(B13,RésultatsV!$L$10:$O$248,3,0)),"0",VLOOKUP(B13,RésultatsV!$L$10:$O$248,3,0))</f>
        <v>0</v>
      </c>
      <c r="J13" s="136" t="str">
        <f>IF(ISNA(VLOOKUP(B13,RésultatsV!$L$10:$O$248,4,0)),"0",VLOOKUP(B13,RésultatsV!$L$10:$O$248,4,0))</f>
        <v>0</v>
      </c>
      <c r="K13" s="136" t="str">
        <f>IF(ISNA(VLOOKUP(B13,RésultatsV!$L$10:$O$248,2,0)),"0",VLOOKUP(B13,RésultatsV!$L$10:$O$248,2,0))</f>
        <v>0</v>
      </c>
      <c r="L13" s="136" t="str">
        <f>IF(ISNA(VLOOKUP(B13,RésultatsV!$Q$10:$T$248,3,0)),"0",VLOOKUP(B13,RésultatsV!$Q$10:$T$248,3,0))</f>
        <v>0</v>
      </c>
      <c r="M13" s="136" t="str">
        <f>IF(ISNA(VLOOKUP(B13,RésultatsV!$Q$10:$T$248,4,0)),"0",VLOOKUP(B13,RésultatsV!$Q$10:$T$248,4,0))</f>
        <v>0</v>
      </c>
      <c r="N13" s="136" t="str">
        <f>IF(ISNA(VLOOKUP(B13,RésultatsV!$Q$10:$T$248,2,0)),"0",VLOOKUP(B13,RésultatsV!$Q$10:$T$248,2,0))</f>
        <v>0</v>
      </c>
      <c r="O13" s="136" t="str">
        <f>IF(ISNA(VLOOKUP(B13,RésultatsV!$V$10:$Y$248,3,0)),"0",VLOOKUP(B13,RésultatsV!$V$10:$Y$248,3,0))</f>
        <v>0</v>
      </c>
      <c r="P13" s="136" t="str">
        <f>IF(ISNA(VLOOKUP(B13,RésultatsV!$V$10:$Y$248,4,0)),"0",VLOOKUP(B13,RésultatsV!$V$10:$Y$248,4,0))</f>
        <v>0</v>
      </c>
      <c r="Q13" s="136" t="str">
        <f>IF(ISNA(VLOOKUP(E13,RésultatsV!$V$10:$Y$248,2,0)),"0",VLOOKUP(E13,RésultatsV!$V$10:$Y$248,2,0))</f>
        <v>0</v>
      </c>
      <c r="R13" s="136" t="str">
        <f>IF(ISNA(VLOOKUP(B13,RésultatsV!$AA$10:$AD$248,3,0)),"0",VLOOKUP(B13,RésultatsV!$AA$10:$AD$248,3,0))</f>
        <v>0</v>
      </c>
      <c r="S13" s="136" t="str">
        <f>IF(ISNA(VLOOKUP(B13,RésultatsV!$AA$10:$AD$248,4,0)),"0",VLOOKUP(B13,RésultatsV!$AA$10:$AD$248,4,0))</f>
        <v>0</v>
      </c>
      <c r="T13" s="136" t="str">
        <f>IF(ISNA(VLOOKUP(B13,RésultatsV!$AA$10:$AD$248,2,0)),"0",VLOOKUP(B13,RésultatsV!$AA$10:$AD$248,2,0))</f>
        <v>0</v>
      </c>
      <c r="U13" s="110">
        <f t="shared" si="0"/>
        <v>2</v>
      </c>
      <c r="V13" s="103">
        <f t="shared" si="1"/>
        <v>-7</v>
      </c>
      <c r="W13" s="106">
        <f t="shared" si="4"/>
        <v>12</v>
      </c>
      <c r="X13" s="61">
        <f t="shared" si="10"/>
        <v>-7</v>
      </c>
      <c r="Y13" s="52">
        <f t="shared" si="6"/>
        <v>0</v>
      </c>
      <c r="Z13" s="104">
        <f t="shared" si="7"/>
        <v>17.005800130000001</v>
      </c>
      <c r="AA13" s="115">
        <f>IF(B13="","",SMALL(Z$6:Z$185,ROWS(AD$6:AD13)))</f>
        <v>6.9959000699999994</v>
      </c>
      <c r="AB13" s="270"/>
      <c r="AC13" s="7" t="str">
        <f>IF(OR(B13="",U13=""),"",INDEX($B$6:$B$185,MATCH(AA13,$Z$6:Z$185,0)))</f>
        <v>A2</v>
      </c>
      <c r="AD13" s="7">
        <f t="shared" si="2"/>
        <v>4</v>
      </c>
      <c r="AE13" s="7">
        <f t="shared" si="3"/>
        <v>3</v>
      </c>
      <c r="AF13" s="113">
        <f t="shared" si="8"/>
        <v>11</v>
      </c>
      <c r="AG13" s="271">
        <f>IF(AA13="","",IF(AND(AD12=AD13,AE12=AE13,AF12=AF13),AG12,$AG$6+7))</f>
        <v>8</v>
      </c>
      <c r="AH13" s="34"/>
      <c r="AI13" s="94">
        <v>53</v>
      </c>
    </row>
    <row r="14" spans="1:35" s="23" customFormat="1" ht="18" customHeight="1">
      <c r="A14" s="282">
        <v>9</v>
      </c>
      <c r="B14" s="50">
        <f>+'Joueurs et TirageV'!C15</f>
        <v>0</v>
      </c>
      <c r="C14" s="136" t="str">
        <f>IF(ISNA(VLOOKUP(B14,RésultatsV!$B$10:$E$248,3,0)),"0",VLOOKUP(B14,RésultatsV!$B$10:$E$248,3,0))</f>
        <v>0</v>
      </c>
      <c r="D14" s="136">
        <f>IF(ISNA(VLOOKUP(B14,RésultatsV!$B$10:$E$248,4,0)),"0",VLOOKUP(B14,RésultatsV!$B$10:$E$248,4,0))</f>
        <v>0</v>
      </c>
      <c r="E14" s="136">
        <f>IF(ISNA(VLOOKUP(B14,RésultatsV!$B$10:$E$248,2,0)),"0",VLOOKUP(B14,RésultatsV!$B$10:$E$248,2,0))</f>
        <v>0</v>
      </c>
      <c r="F14" s="136">
        <f>IF(ISNA(VLOOKUP(B14,RésultatsV!$G$10:$J$248,3,0)),"0",VLOOKUP(B14,RésultatsV!$G$10:$J$248,3,0))</f>
        <v>0</v>
      </c>
      <c r="G14" s="136">
        <f>IF(ISNA(VLOOKUP(B14,RésultatsV!$G$10:$J$248,4,0)),"0",VLOOKUP(B14,RésultatsV!$G$10:$J$248,4,0))</f>
        <v>0</v>
      </c>
      <c r="H14" s="136">
        <f>IF(ISNA(VLOOKUP(B14,RésultatsV!$G$10:$J$248,2,0)),"0",VLOOKUP(B14,RésultatsV!$G$10:$J$248,2,0))</f>
        <v>0</v>
      </c>
      <c r="I14" s="136">
        <f>IF(ISNA(VLOOKUP(B14,RésultatsV!$L$10:$O$248,3,0)),"0",VLOOKUP(B14,RésultatsV!$L$10:$O$248,3,0))</f>
        <v>0</v>
      </c>
      <c r="J14" s="136">
        <f>IF(ISNA(VLOOKUP(B14,RésultatsV!$L$10:$O$248,4,0)),"0",VLOOKUP(B14,RésultatsV!$L$10:$O$248,4,0))</f>
        <v>0</v>
      </c>
      <c r="K14" s="136">
        <f>IF(ISNA(VLOOKUP(B14,RésultatsV!$L$10:$O$248,2,0)),"0",VLOOKUP(B14,RésultatsV!$L$10:$O$248,2,0))</f>
        <v>0</v>
      </c>
      <c r="L14" s="136">
        <f>IF(ISNA(VLOOKUP(B14,RésultatsV!$Q$10:$T$248,3,0)),"0",VLOOKUP(B14,RésultatsV!$Q$10:$T$248,3,0))</f>
        <v>0</v>
      </c>
      <c r="M14" s="136">
        <f>IF(ISNA(VLOOKUP(B14,RésultatsV!$Q$10:$T$248,4,0)),"0",VLOOKUP(B14,RésultatsV!$Q$10:$T$248,4,0))</f>
        <v>0</v>
      </c>
      <c r="N14" s="136">
        <f>IF(ISNA(VLOOKUP(B14,RésultatsV!$Q$10:$T$248,2,0)),"0",VLOOKUP(B14,RésultatsV!$Q$10:$T$248,2,0))</f>
        <v>0</v>
      </c>
      <c r="O14" s="136">
        <f>IF(ISNA(VLOOKUP(B14,RésultatsV!$V$10:$Y$248,3,0)),"0",VLOOKUP(B14,RésultatsV!$V$10:$Y$248,3,0))</f>
        <v>0</v>
      </c>
      <c r="P14" s="136">
        <f>IF(ISNA(VLOOKUP(B14,RésultatsV!$V$10:$Y$248,4,0)),"0",VLOOKUP(B14,RésultatsV!$V$10:$Y$248,4,0))</f>
        <v>0</v>
      </c>
      <c r="Q14" s="136">
        <f>IF(ISNA(VLOOKUP(E14,RésultatsV!$V$10:$Y$248,2,0)),"0",VLOOKUP(E14,RésultatsV!$V$10:$Y$248,2,0))</f>
        <v>0</v>
      </c>
      <c r="R14" s="136">
        <f>IF(ISNA(VLOOKUP(B14,RésultatsV!$AA$10:$AD$248,3,0)),"0",VLOOKUP(B14,RésultatsV!$AA$10:$AD$248,3,0))</f>
        <v>0</v>
      </c>
      <c r="S14" s="136">
        <f>IF(ISNA(VLOOKUP(B14,RésultatsV!$AA$10:$AD$248,4,0)),"0",VLOOKUP(B14,RésultatsV!$AA$10:$AD$248,4,0))</f>
        <v>0</v>
      </c>
      <c r="T14" s="136">
        <f>IF(ISNA(VLOOKUP(B14,RésultatsV!$AA$10:$AD$248,2,0)),"0",VLOOKUP(B14,RésultatsV!$AA$10:$AD$248,2,0))</f>
        <v>0</v>
      </c>
      <c r="U14" s="110">
        <f t="shared" si="0"/>
        <v>0</v>
      </c>
      <c r="V14" s="103">
        <f t="shared" si="1"/>
        <v>0</v>
      </c>
      <c r="W14" s="106">
        <f t="shared" si="4"/>
        <v>0</v>
      </c>
      <c r="X14" s="61">
        <f t="shared" si="10"/>
        <v>0</v>
      </c>
      <c r="Y14" s="52">
        <f t="shared" si="6"/>
        <v>0</v>
      </c>
      <c r="Z14" s="104">
        <f t="shared" si="7"/>
        <v>23.00015814</v>
      </c>
      <c r="AA14" s="115">
        <f>IF(B14="","",SMALL(Z$6:Z$185,ROWS(AD$6:AD14)))</f>
        <v>6.9970000900000002</v>
      </c>
      <c r="AB14" s="270"/>
      <c r="AC14" s="7" t="str">
        <f>IF(OR(B14="",U14=""),"",INDEX($B$6:$B$185,MATCH(AA14,$Z$6:Z$185,0)))</f>
        <v>A4</v>
      </c>
      <c r="AD14" s="7">
        <f t="shared" si="2"/>
        <v>4</v>
      </c>
      <c r="AE14" s="7">
        <f t="shared" si="3"/>
        <v>2</v>
      </c>
      <c r="AF14" s="113">
        <f t="shared" si="8"/>
        <v>10</v>
      </c>
      <c r="AG14" s="271">
        <f>IF(AA14="","",IF(AND(AD13=AD14,AE13=AE14,AF13=AF14),AG13,$AG$6+8))</f>
        <v>9</v>
      </c>
      <c r="AH14" s="34"/>
      <c r="AI14" s="94">
        <v>52</v>
      </c>
    </row>
    <row r="15" spans="1:35" s="23" customFormat="1" ht="18" customHeight="1">
      <c r="A15" s="282">
        <v>10</v>
      </c>
      <c r="B15" s="50">
        <f>+'Joueurs et TirageV'!C16</f>
        <v>0</v>
      </c>
      <c r="C15" s="136" t="str">
        <f>IF(ISNA(VLOOKUP(B15,RésultatsV!$B$10:$E$248,3,0)),"0",VLOOKUP(B15,RésultatsV!$B$10:$E$248,3,0))</f>
        <v>0</v>
      </c>
      <c r="D15" s="136">
        <f>IF(ISNA(VLOOKUP(B15,RésultatsV!$B$10:$E$248,4,0)),"0",VLOOKUP(B15,RésultatsV!$B$10:$E$248,4,0))</f>
        <v>0</v>
      </c>
      <c r="E15" s="136">
        <f>IF(ISNA(VLOOKUP(B15,RésultatsV!$B$10:$E$248,2,0)),"0",VLOOKUP(B15,RésultatsV!$B$10:$E$248,2,0))</f>
        <v>0</v>
      </c>
      <c r="F15" s="136">
        <f>IF(ISNA(VLOOKUP(B15,RésultatsV!$G$10:$J$248,3,0)),"0",VLOOKUP(B15,RésultatsV!$G$10:$J$248,3,0))</f>
        <v>0</v>
      </c>
      <c r="G15" s="136">
        <f>IF(ISNA(VLOOKUP(B15,RésultatsV!$G$10:$J$248,4,0)),"0",VLOOKUP(B15,RésultatsV!$G$10:$J$248,4,0))</f>
        <v>0</v>
      </c>
      <c r="H15" s="136">
        <f>IF(ISNA(VLOOKUP(B15,RésultatsV!$G$10:$J$248,2,0)),"0",VLOOKUP(B15,RésultatsV!$G$10:$J$248,2,0))</f>
        <v>0</v>
      </c>
      <c r="I15" s="136">
        <f>IF(ISNA(VLOOKUP(B15,RésultatsV!$L$10:$O$248,3,0)),"0",VLOOKUP(B15,RésultatsV!$L$10:$O$248,3,0))</f>
        <v>0</v>
      </c>
      <c r="J15" s="136">
        <f>IF(ISNA(VLOOKUP(B15,RésultatsV!$L$10:$O$248,4,0)),"0",VLOOKUP(B15,RésultatsV!$L$10:$O$248,4,0))</f>
        <v>0</v>
      </c>
      <c r="K15" s="136">
        <f>IF(ISNA(VLOOKUP(B15,RésultatsV!$L$10:$O$248,2,0)),"0",VLOOKUP(B15,RésultatsV!$L$10:$O$248,2,0))</f>
        <v>0</v>
      </c>
      <c r="L15" s="136">
        <f>IF(ISNA(VLOOKUP(B15,RésultatsV!$Q$10:$T$248,3,0)),"0",VLOOKUP(B15,RésultatsV!$Q$10:$T$248,3,0))</f>
        <v>0</v>
      </c>
      <c r="M15" s="136">
        <f>IF(ISNA(VLOOKUP(B15,RésultatsV!$Q$10:$T$248,4,0)),"0",VLOOKUP(B15,RésultatsV!$Q$10:$T$248,4,0))</f>
        <v>0</v>
      </c>
      <c r="N15" s="136">
        <f>IF(ISNA(VLOOKUP(B15,RésultatsV!$Q$10:$T$248,2,0)),"0",VLOOKUP(B15,RésultatsV!$Q$10:$T$248,2,0))</f>
        <v>0</v>
      </c>
      <c r="O15" s="136">
        <f>IF(ISNA(VLOOKUP(B15,RésultatsV!$V$10:$Y$248,3,0)),"0",VLOOKUP(B15,RésultatsV!$V$10:$Y$248,3,0))</f>
        <v>0</v>
      </c>
      <c r="P15" s="136">
        <f>IF(ISNA(VLOOKUP(B15,RésultatsV!$V$10:$Y$248,4,0)),"0",VLOOKUP(B15,RésultatsV!$V$10:$Y$248,4,0))</f>
        <v>0</v>
      </c>
      <c r="Q15" s="136">
        <f>IF(ISNA(VLOOKUP(E15,RésultatsV!$V$10:$Y$248,2,0)),"0",VLOOKUP(E15,RésultatsV!$V$10:$Y$248,2,0))</f>
        <v>0</v>
      </c>
      <c r="R15" s="136">
        <f>IF(ISNA(VLOOKUP(B15,RésultatsV!$AA$10:$AD$248,3,0)),"0",VLOOKUP(B15,RésultatsV!$AA$10:$AD$248,3,0))</f>
        <v>0</v>
      </c>
      <c r="S15" s="136">
        <f>IF(ISNA(VLOOKUP(B15,RésultatsV!$AA$10:$AD$248,4,0)),"0",VLOOKUP(B15,RésultatsV!$AA$10:$AD$248,4,0))</f>
        <v>0</v>
      </c>
      <c r="T15" s="136">
        <f>IF(ISNA(VLOOKUP(B15,RésultatsV!$AA$10:$AD$248,2,0)),"0",VLOOKUP(B15,RésultatsV!$AA$10:$AD$248,2,0))</f>
        <v>0</v>
      </c>
      <c r="U15" s="110">
        <f t="shared" si="0"/>
        <v>0</v>
      </c>
      <c r="V15" s="103">
        <f t="shared" si="1"/>
        <v>0</v>
      </c>
      <c r="W15" s="106">
        <f t="shared" si="4"/>
        <v>0</v>
      </c>
      <c r="X15" s="61">
        <f t="shared" si="10"/>
        <v>0</v>
      </c>
      <c r="Y15" s="52">
        <f t="shared" si="6"/>
        <v>0</v>
      </c>
      <c r="Z15" s="104">
        <f t="shared" si="7"/>
        <v>23.000158150000001</v>
      </c>
      <c r="AA15" s="115">
        <f>IF(B15="","",SMALL(Z$6:Z$185,ROWS(AD$6:AD15)))</f>
        <v>6.99700072</v>
      </c>
      <c r="AB15" s="270"/>
      <c r="AC15" s="7" t="str">
        <f>IF(OR(B15="",U15=""),"",INDEX($B$6:$B$185,MATCH(AA15,$Z$6:Z$185,0)))</f>
        <v>B7</v>
      </c>
      <c r="AD15" s="7">
        <f t="shared" si="2"/>
        <v>4</v>
      </c>
      <c r="AE15" s="7">
        <f t="shared" si="3"/>
        <v>2</v>
      </c>
      <c r="AF15" s="113">
        <f t="shared" si="8"/>
        <v>10</v>
      </c>
      <c r="AG15" s="271">
        <f>IF(AA15="","",IF(AND(AD14=AD15,AE14=AE15,AF14=AF15),AG14,$AG$6+9))</f>
        <v>9</v>
      </c>
      <c r="AH15" s="34"/>
      <c r="AI15" s="94">
        <v>51</v>
      </c>
    </row>
    <row r="16" spans="1:35" s="23" customFormat="1" ht="18" customHeight="1">
      <c r="A16" s="282">
        <v>11</v>
      </c>
      <c r="B16" s="50">
        <f>+'Joueurs et TirageV'!C17</f>
        <v>0</v>
      </c>
      <c r="C16" s="136" t="str">
        <f>IF(ISNA(VLOOKUP(B16,RésultatsV!$B$10:$E$248,3,0)),"0",VLOOKUP(B16,RésultatsV!$B$10:$E$248,3,0))</f>
        <v>0</v>
      </c>
      <c r="D16" s="136">
        <f>IF(ISNA(VLOOKUP(B16,RésultatsV!$B$10:$E$248,4,0)),"0",VLOOKUP(B16,RésultatsV!$B$10:$E$248,4,0))</f>
        <v>0</v>
      </c>
      <c r="E16" s="136">
        <f>IF(ISNA(VLOOKUP(B16,RésultatsV!$B$10:$E$248,2,0)),"0",VLOOKUP(B16,RésultatsV!$B$10:$E$248,2,0))</f>
        <v>0</v>
      </c>
      <c r="F16" s="136">
        <f>IF(ISNA(VLOOKUP(B16,RésultatsV!$G$10:$J$248,3,0)),"0",VLOOKUP(B16,RésultatsV!$G$10:$J$248,3,0))</f>
        <v>0</v>
      </c>
      <c r="G16" s="136">
        <f>IF(ISNA(VLOOKUP(B16,RésultatsV!$G$10:$J$248,4,0)),"0",VLOOKUP(B16,RésultatsV!$G$10:$J$248,4,0))</f>
        <v>0</v>
      </c>
      <c r="H16" s="136">
        <f>IF(ISNA(VLOOKUP(B16,RésultatsV!$G$10:$J$248,2,0)),"0",VLOOKUP(B16,RésultatsV!$G$10:$J$248,2,0))</f>
        <v>0</v>
      </c>
      <c r="I16" s="136">
        <f>IF(ISNA(VLOOKUP(B16,RésultatsV!$L$10:$O$248,3,0)),"0",VLOOKUP(B16,RésultatsV!$L$10:$O$248,3,0))</f>
        <v>0</v>
      </c>
      <c r="J16" s="136">
        <f>IF(ISNA(VLOOKUP(B16,RésultatsV!$L$10:$O$248,4,0)),"0",VLOOKUP(B16,RésultatsV!$L$10:$O$248,4,0))</f>
        <v>0</v>
      </c>
      <c r="K16" s="136">
        <f>IF(ISNA(VLOOKUP(B16,RésultatsV!$L$10:$O$248,2,0)),"0",VLOOKUP(B16,RésultatsV!$L$10:$O$248,2,0))</f>
        <v>0</v>
      </c>
      <c r="L16" s="136">
        <f>IF(ISNA(VLOOKUP(B16,RésultatsV!$Q$10:$T$248,3,0)),"0",VLOOKUP(B16,RésultatsV!$Q$10:$T$248,3,0))</f>
        <v>0</v>
      </c>
      <c r="M16" s="136">
        <f>IF(ISNA(VLOOKUP(B16,RésultatsV!$Q$10:$T$248,4,0)),"0",VLOOKUP(B16,RésultatsV!$Q$10:$T$248,4,0))</f>
        <v>0</v>
      </c>
      <c r="N16" s="136">
        <f>IF(ISNA(VLOOKUP(B16,RésultatsV!$Q$10:$T$248,2,0)),"0",VLOOKUP(B16,RésultatsV!$Q$10:$T$248,2,0))</f>
        <v>0</v>
      </c>
      <c r="O16" s="136">
        <f>IF(ISNA(VLOOKUP(B16,RésultatsV!$V$10:$Y$248,3,0)),"0",VLOOKUP(B16,RésultatsV!$V$10:$Y$248,3,0))</f>
        <v>0</v>
      </c>
      <c r="P16" s="136">
        <f>IF(ISNA(VLOOKUP(B16,RésultatsV!$V$10:$Y$248,4,0)),"0",VLOOKUP(B16,RésultatsV!$V$10:$Y$248,4,0))</f>
        <v>0</v>
      </c>
      <c r="Q16" s="136">
        <f>IF(ISNA(VLOOKUP(E16,RésultatsV!$V$10:$Y$248,2,0)),"0",VLOOKUP(E16,RésultatsV!$V$10:$Y$248,2,0))</f>
        <v>0</v>
      </c>
      <c r="R16" s="136">
        <f>IF(ISNA(VLOOKUP(B16,RésultatsV!$AA$10:$AD$248,3,0)),"0",VLOOKUP(B16,RésultatsV!$AA$10:$AD$248,3,0))</f>
        <v>0</v>
      </c>
      <c r="S16" s="136">
        <f>IF(ISNA(VLOOKUP(B16,RésultatsV!$AA$10:$AD$248,4,0)),"0",VLOOKUP(B16,RésultatsV!$AA$10:$AD$248,4,0))</f>
        <v>0</v>
      </c>
      <c r="T16" s="136">
        <f>IF(ISNA(VLOOKUP(B16,RésultatsV!$AA$10:$AD$248,2,0)),"0",VLOOKUP(B16,RésultatsV!$AA$10:$AD$248,2,0))</f>
        <v>0</v>
      </c>
      <c r="U16" s="110">
        <f t="shared" si="0"/>
        <v>0</v>
      </c>
      <c r="V16" s="103">
        <f t="shared" si="1"/>
        <v>0</v>
      </c>
      <c r="W16" s="106">
        <f t="shared" si="4"/>
        <v>0</v>
      </c>
      <c r="X16" s="61">
        <f t="shared" si="10"/>
        <v>0</v>
      </c>
      <c r="Y16" s="52">
        <f t="shared" si="6"/>
        <v>0</v>
      </c>
      <c r="Z16" s="104">
        <f t="shared" si="7"/>
        <v>23.000158159999998</v>
      </c>
      <c r="AA16" s="115">
        <f>IF(B16="","",SMALL(Z$6:Z$185,ROWS(AD$6:AD16)))</f>
        <v>6.99700129</v>
      </c>
      <c r="AB16" s="270"/>
      <c r="AC16" s="7" t="str">
        <f>IF(OR(B16="",U16=""),"",INDEX($B$6:$B$185,MATCH(AA16,$Z$6:Z$185,0)))</f>
        <v>C4</v>
      </c>
      <c r="AD16" s="7">
        <f t="shared" si="2"/>
        <v>4</v>
      </c>
      <c r="AE16" s="7">
        <f t="shared" si="3"/>
        <v>2</v>
      </c>
      <c r="AF16" s="113">
        <f t="shared" si="8"/>
        <v>10</v>
      </c>
      <c r="AG16" s="271">
        <f>IF(AA16="","",IF(AND(AD15=AD16,AE15=AE16,AF15=AF16),AG15,$AG$6+10))</f>
        <v>9</v>
      </c>
      <c r="AH16" s="34"/>
      <c r="AI16" s="94">
        <v>50</v>
      </c>
    </row>
    <row r="17" spans="1:35" s="23" customFormat="1" ht="18" customHeight="1">
      <c r="A17" s="282">
        <v>12</v>
      </c>
      <c r="B17" s="50">
        <f>+'Joueurs et TirageV'!C18</f>
        <v>0</v>
      </c>
      <c r="C17" s="136" t="str">
        <f>IF(ISNA(VLOOKUP(B17,RésultatsV!$B$10:$E$248,3,0)),"0",VLOOKUP(B17,RésultatsV!$B$10:$E$248,3,0))</f>
        <v>0</v>
      </c>
      <c r="D17" s="136">
        <f>IF(ISNA(VLOOKUP(B17,RésultatsV!$B$10:$E$248,4,0)),"0",VLOOKUP(B17,RésultatsV!$B$10:$E$248,4,0))</f>
        <v>0</v>
      </c>
      <c r="E17" s="136">
        <f>IF(ISNA(VLOOKUP(B17,RésultatsV!$B$10:$E$248,2,0)),"0",VLOOKUP(B17,RésultatsV!$B$10:$E$248,2,0))</f>
        <v>0</v>
      </c>
      <c r="F17" s="136">
        <f>IF(ISNA(VLOOKUP(B17,RésultatsV!$G$10:$J$248,3,0)),"0",VLOOKUP(B17,RésultatsV!$G$10:$J$248,3,0))</f>
        <v>0</v>
      </c>
      <c r="G17" s="136">
        <f>IF(ISNA(VLOOKUP(B17,RésultatsV!$G$10:$J$248,4,0)),"0",VLOOKUP(B17,RésultatsV!$G$10:$J$248,4,0))</f>
        <v>0</v>
      </c>
      <c r="H17" s="136">
        <f>IF(ISNA(VLOOKUP(B17,RésultatsV!$G$10:$J$248,2,0)),"0",VLOOKUP(B17,RésultatsV!$G$10:$J$248,2,0))</f>
        <v>0</v>
      </c>
      <c r="I17" s="136">
        <f>IF(ISNA(VLOOKUP(B17,RésultatsV!$L$10:$O$248,3,0)),"0",VLOOKUP(B17,RésultatsV!$L$10:$O$248,3,0))</f>
        <v>0</v>
      </c>
      <c r="J17" s="136">
        <f>IF(ISNA(VLOOKUP(B17,RésultatsV!$L$10:$O$248,4,0)),"0",VLOOKUP(B17,RésultatsV!$L$10:$O$248,4,0))</f>
        <v>0</v>
      </c>
      <c r="K17" s="136">
        <f>IF(ISNA(VLOOKUP(B17,RésultatsV!$L$10:$O$248,2,0)),"0",VLOOKUP(B17,RésultatsV!$L$10:$O$248,2,0))</f>
        <v>0</v>
      </c>
      <c r="L17" s="136">
        <f>IF(ISNA(VLOOKUP(B17,RésultatsV!$Q$10:$T$248,3,0)),"0",VLOOKUP(B17,RésultatsV!$Q$10:$T$248,3,0))</f>
        <v>0</v>
      </c>
      <c r="M17" s="136">
        <f>IF(ISNA(VLOOKUP(B17,RésultatsV!$Q$10:$T$248,4,0)),"0",VLOOKUP(B17,RésultatsV!$Q$10:$T$248,4,0))</f>
        <v>0</v>
      </c>
      <c r="N17" s="136">
        <f>IF(ISNA(VLOOKUP(B17,RésultatsV!$Q$10:$T$248,2,0)),"0",VLOOKUP(B17,RésultatsV!$Q$10:$T$248,2,0))</f>
        <v>0</v>
      </c>
      <c r="O17" s="136">
        <f>IF(ISNA(VLOOKUP(B17,RésultatsV!$V$10:$Y$248,3,0)),"0",VLOOKUP(B17,RésultatsV!$V$10:$Y$248,3,0))</f>
        <v>0</v>
      </c>
      <c r="P17" s="136">
        <f>IF(ISNA(VLOOKUP(B17,RésultatsV!$V$10:$Y$248,4,0)),"0",VLOOKUP(B17,RésultatsV!$V$10:$Y$248,4,0))</f>
        <v>0</v>
      </c>
      <c r="Q17" s="136">
        <f>IF(ISNA(VLOOKUP(E17,RésultatsV!$V$10:$Y$248,2,0)),"0",VLOOKUP(E17,RésultatsV!$V$10:$Y$248,2,0))</f>
        <v>0</v>
      </c>
      <c r="R17" s="136">
        <f>IF(ISNA(VLOOKUP(B17,RésultatsV!$AA$10:$AD$248,3,0)),"0",VLOOKUP(B17,RésultatsV!$AA$10:$AD$248,3,0))</f>
        <v>0</v>
      </c>
      <c r="S17" s="136">
        <f>IF(ISNA(VLOOKUP(B17,RésultatsV!$AA$10:$AD$248,4,0)),"0",VLOOKUP(B17,RésultatsV!$AA$10:$AD$248,4,0))</f>
        <v>0</v>
      </c>
      <c r="T17" s="136">
        <f>IF(ISNA(VLOOKUP(B17,RésultatsV!$AA$10:$AD$248,2,0)),"0",VLOOKUP(B17,RésultatsV!$AA$10:$AD$248,2,0))</f>
        <v>0</v>
      </c>
      <c r="U17" s="110">
        <f t="shared" si="0"/>
        <v>0</v>
      </c>
      <c r="V17" s="103">
        <f t="shared" si="1"/>
        <v>0</v>
      </c>
      <c r="W17" s="106">
        <f t="shared" si="4"/>
        <v>0</v>
      </c>
      <c r="X17" s="61">
        <f t="shared" si="10"/>
        <v>0</v>
      </c>
      <c r="Y17" s="52">
        <f t="shared" si="6"/>
        <v>0</v>
      </c>
      <c r="Z17" s="104">
        <f t="shared" si="7"/>
        <v>23.000158169999999</v>
      </c>
      <c r="AA17" s="115">
        <f>IF(B17="","",SMALL(Z$6:Z$185,ROWS(AD$6:AD17)))</f>
        <v>7.0005013099999998</v>
      </c>
      <c r="AB17" s="270"/>
      <c r="AC17" s="4" t="str">
        <f>IF(OR(B17="",U17=""),"",INDEX($B$6:$B$185,MATCH(AA17,$Z$6:Z$185,0)))</f>
        <v>C6</v>
      </c>
      <c r="AD17" s="4">
        <f t="shared" si="2"/>
        <v>4</v>
      </c>
      <c r="AE17" s="4">
        <f t="shared" si="3"/>
        <v>-2</v>
      </c>
      <c r="AF17" s="113">
        <f t="shared" si="8"/>
        <v>15</v>
      </c>
      <c r="AG17" s="271">
        <f>IF(AA17="","",IF(AND(AD16=AD17,AE16=AE17,AF16=AF17),AG16,$AG$6+11))</f>
        <v>12</v>
      </c>
      <c r="AH17" s="34"/>
      <c r="AI17" s="94">
        <v>50</v>
      </c>
    </row>
    <row r="18" spans="1:35" s="23" customFormat="1" ht="18" customHeight="1">
      <c r="A18" s="282">
        <v>13</v>
      </c>
      <c r="B18" s="50">
        <f>+'Joueurs et TirageV'!C19</f>
        <v>0</v>
      </c>
      <c r="C18" s="136" t="str">
        <f>IF(ISNA(VLOOKUP(B18,RésultatsV!$B$10:$E$248,3,0)),"0",VLOOKUP(B18,RésultatsV!$B$10:$E$248,3,0))</f>
        <v>0</v>
      </c>
      <c r="D18" s="136">
        <f>IF(ISNA(VLOOKUP(B18,RésultatsV!$B$10:$E$248,4,0)),"0",VLOOKUP(B18,RésultatsV!$B$10:$E$248,4,0))</f>
        <v>0</v>
      </c>
      <c r="E18" s="136">
        <f>IF(ISNA(VLOOKUP(B18,RésultatsV!$B$10:$E$248,2,0)),"0",VLOOKUP(B18,RésultatsV!$B$10:$E$248,2,0))</f>
        <v>0</v>
      </c>
      <c r="F18" s="136">
        <f>IF(ISNA(VLOOKUP(B18,RésultatsV!$G$10:$J$248,3,0)),"0",VLOOKUP(B18,RésultatsV!$G$10:$J$248,3,0))</f>
        <v>0</v>
      </c>
      <c r="G18" s="136">
        <f>IF(ISNA(VLOOKUP(B18,RésultatsV!$G$10:$J$248,4,0)),"0",VLOOKUP(B18,RésultatsV!$G$10:$J$248,4,0))</f>
        <v>0</v>
      </c>
      <c r="H18" s="136">
        <f>IF(ISNA(VLOOKUP(B18,RésultatsV!$G$10:$J$248,2,0)),"0",VLOOKUP(B18,RésultatsV!$G$10:$J$248,2,0))</f>
        <v>0</v>
      </c>
      <c r="I18" s="136">
        <f>IF(ISNA(VLOOKUP(B18,RésultatsV!$L$10:$O$248,3,0)),"0",VLOOKUP(B18,RésultatsV!$L$10:$O$248,3,0))</f>
        <v>0</v>
      </c>
      <c r="J18" s="136">
        <f>IF(ISNA(VLOOKUP(B18,RésultatsV!$L$10:$O$248,4,0)),"0",VLOOKUP(B18,RésultatsV!$L$10:$O$248,4,0))</f>
        <v>0</v>
      </c>
      <c r="K18" s="136">
        <f>IF(ISNA(VLOOKUP(B18,RésultatsV!$L$10:$O$248,2,0)),"0",VLOOKUP(B18,RésultatsV!$L$10:$O$248,2,0))</f>
        <v>0</v>
      </c>
      <c r="L18" s="136">
        <f>IF(ISNA(VLOOKUP(B18,RésultatsV!$Q$10:$T$248,3,0)),"0",VLOOKUP(B18,RésultatsV!$Q$10:$T$248,3,0))</f>
        <v>0</v>
      </c>
      <c r="M18" s="136">
        <f>IF(ISNA(VLOOKUP(B18,RésultatsV!$Q$10:$T$248,4,0)),"0",VLOOKUP(B18,RésultatsV!$Q$10:$T$248,4,0))</f>
        <v>0</v>
      </c>
      <c r="N18" s="136">
        <f>IF(ISNA(VLOOKUP(B18,RésultatsV!$Q$10:$T$248,2,0)),"0",VLOOKUP(B18,RésultatsV!$Q$10:$T$248,2,0))</f>
        <v>0</v>
      </c>
      <c r="O18" s="136">
        <f>IF(ISNA(VLOOKUP(B18,RésultatsV!$V$10:$Y$248,3,0)),"0",VLOOKUP(B18,RésultatsV!$V$10:$Y$248,3,0))</f>
        <v>0</v>
      </c>
      <c r="P18" s="136">
        <f>IF(ISNA(VLOOKUP(B18,RésultatsV!$V$10:$Y$248,4,0)),"0",VLOOKUP(B18,RésultatsV!$V$10:$Y$248,4,0))</f>
        <v>0</v>
      </c>
      <c r="Q18" s="136">
        <f>IF(ISNA(VLOOKUP(E18,RésultatsV!$V$10:$Y$248,2,0)),"0",VLOOKUP(E18,RésultatsV!$V$10:$Y$248,2,0))</f>
        <v>0</v>
      </c>
      <c r="R18" s="136">
        <f>IF(ISNA(VLOOKUP(B18,RésultatsV!$AA$10:$AD$248,3,0)),"0",VLOOKUP(B18,RésultatsV!$AA$10:$AD$248,3,0))</f>
        <v>0</v>
      </c>
      <c r="S18" s="136">
        <f>IF(ISNA(VLOOKUP(B18,RésultatsV!$AA$10:$AD$248,4,0)),"0",VLOOKUP(B18,RésultatsV!$AA$10:$AD$248,4,0))</f>
        <v>0</v>
      </c>
      <c r="T18" s="136">
        <f>IF(ISNA(VLOOKUP(B18,RésultatsV!$AA$10:$AD$248,2,0)),"0",VLOOKUP(B18,RésultatsV!$AA$10:$AD$248,2,0))</f>
        <v>0</v>
      </c>
      <c r="U18" s="110">
        <f t="shared" si="0"/>
        <v>0</v>
      </c>
      <c r="V18" s="103">
        <f t="shared" si="1"/>
        <v>0</v>
      </c>
      <c r="W18" s="106">
        <f t="shared" si="4"/>
        <v>0</v>
      </c>
      <c r="X18" s="61">
        <f t="shared" si="10"/>
        <v>0</v>
      </c>
      <c r="Y18" s="52">
        <f t="shared" si="6"/>
        <v>0</v>
      </c>
      <c r="Z18" s="104">
        <f t="shared" si="7"/>
        <v>23.00015818</v>
      </c>
      <c r="AA18" s="115">
        <f>IF(B18="","",SMALL(Z$6:Z$185,ROWS(AD$6:AD18)))</f>
        <v>7.0012000800000003</v>
      </c>
      <c r="AB18" s="270"/>
      <c r="AC18" s="4" t="str">
        <f>IF(OR(B18="",U18=""),"",INDEX($B$6:$B$185,MATCH(AA18,$Z$6:Z$185,0)))</f>
        <v>A3</v>
      </c>
      <c r="AD18" s="4">
        <f t="shared" si="2"/>
        <v>4</v>
      </c>
      <c r="AE18" s="4">
        <f t="shared" si="3"/>
        <v>-2</v>
      </c>
      <c r="AF18" s="113">
        <f t="shared" si="8"/>
        <v>8</v>
      </c>
      <c r="AG18" s="271">
        <f>IF(AA18="","",IF(AND(AD17=AD18,AE17=AE18,AF17=AF18),AG17,$AG$6+12))</f>
        <v>13</v>
      </c>
      <c r="AH18" s="34"/>
      <c r="AI18" s="94">
        <v>50</v>
      </c>
    </row>
    <row r="19" spans="1:35" s="23" customFormat="1" ht="18" customHeight="1">
      <c r="A19" s="282">
        <v>14</v>
      </c>
      <c r="B19" s="50">
        <f>+'Joueurs et TirageV'!C20</f>
        <v>0</v>
      </c>
      <c r="C19" s="136" t="str">
        <f>IF(ISNA(VLOOKUP(B19,RésultatsV!$B$10:$E$248,3,0)),"0",VLOOKUP(B19,RésultatsV!$B$10:$E$248,3,0))</f>
        <v>0</v>
      </c>
      <c r="D19" s="136">
        <f>IF(ISNA(VLOOKUP(B19,RésultatsV!$B$10:$E$248,4,0)),"0",VLOOKUP(B19,RésultatsV!$B$10:$E$248,4,0))</f>
        <v>0</v>
      </c>
      <c r="E19" s="136">
        <f>IF(ISNA(VLOOKUP(B19,RésultatsV!$B$10:$E$248,2,0)),"0",VLOOKUP(B19,RésultatsV!$B$10:$E$248,2,0))</f>
        <v>0</v>
      </c>
      <c r="F19" s="136">
        <f>IF(ISNA(VLOOKUP(B19,RésultatsV!$G$10:$J$248,3,0)),"0",VLOOKUP(B19,RésultatsV!$G$10:$J$248,3,0))</f>
        <v>0</v>
      </c>
      <c r="G19" s="136">
        <f>IF(ISNA(VLOOKUP(B19,RésultatsV!$G$10:$J$248,4,0)),"0",VLOOKUP(B19,RésultatsV!$G$10:$J$248,4,0))</f>
        <v>0</v>
      </c>
      <c r="H19" s="136">
        <f>IF(ISNA(VLOOKUP(B19,RésultatsV!$G$10:$J$248,2,0)),"0",VLOOKUP(B19,RésultatsV!$G$10:$J$248,2,0))</f>
        <v>0</v>
      </c>
      <c r="I19" s="136">
        <f>IF(ISNA(VLOOKUP(B19,RésultatsV!$L$10:$O$248,3,0)),"0",VLOOKUP(B19,RésultatsV!$L$10:$O$248,3,0))</f>
        <v>0</v>
      </c>
      <c r="J19" s="136">
        <f>IF(ISNA(VLOOKUP(B19,RésultatsV!$L$10:$O$248,4,0)),"0",VLOOKUP(B19,RésultatsV!$L$10:$O$248,4,0))</f>
        <v>0</v>
      </c>
      <c r="K19" s="136">
        <f>IF(ISNA(VLOOKUP(B19,RésultatsV!$L$10:$O$248,2,0)),"0",VLOOKUP(B19,RésultatsV!$L$10:$O$248,2,0))</f>
        <v>0</v>
      </c>
      <c r="L19" s="136">
        <f>IF(ISNA(VLOOKUP(B19,RésultatsV!$Q$10:$T$248,3,0)),"0",VLOOKUP(B19,RésultatsV!$Q$10:$T$248,3,0))</f>
        <v>0</v>
      </c>
      <c r="M19" s="136">
        <f>IF(ISNA(VLOOKUP(B19,RésultatsV!$Q$10:$T$248,4,0)),"0",VLOOKUP(B19,RésultatsV!$Q$10:$T$248,4,0))</f>
        <v>0</v>
      </c>
      <c r="N19" s="136">
        <f>IF(ISNA(VLOOKUP(B19,RésultatsV!$Q$10:$T$248,2,0)),"0",VLOOKUP(B19,RésultatsV!$Q$10:$T$248,2,0))</f>
        <v>0</v>
      </c>
      <c r="O19" s="136">
        <f>IF(ISNA(VLOOKUP(B19,RésultatsV!$V$10:$Y$248,3,0)),"0",VLOOKUP(B19,RésultatsV!$V$10:$Y$248,3,0))</f>
        <v>0</v>
      </c>
      <c r="P19" s="136">
        <f>IF(ISNA(VLOOKUP(B19,RésultatsV!$V$10:$Y$248,4,0)),"0",VLOOKUP(B19,RésultatsV!$V$10:$Y$248,4,0))</f>
        <v>0</v>
      </c>
      <c r="Q19" s="136">
        <f>IF(ISNA(VLOOKUP(E19,RésultatsV!$V$10:$Y$248,2,0)),"0",VLOOKUP(E19,RésultatsV!$V$10:$Y$248,2,0))</f>
        <v>0</v>
      </c>
      <c r="R19" s="136">
        <f>IF(ISNA(VLOOKUP(B19,RésultatsV!$AA$10:$AD$248,3,0)),"0",VLOOKUP(B19,RésultatsV!$AA$10:$AD$248,3,0))</f>
        <v>0</v>
      </c>
      <c r="S19" s="136">
        <f>IF(ISNA(VLOOKUP(B19,RésultatsV!$AA$10:$AD$248,4,0)),"0",VLOOKUP(B19,RésultatsV!$AA$10:$AD$248,4,0))</f>
        <v>0</v>
      </c>
      <c r="T19" s="136">
        <f>IF(ISNA(VLOOKUP(B19,RésultatsV!$AA$10:$AD$248,2,0)),"0",VLOOKUP(B19,RésultatsV!$AA$10:$AD$248,2,0))</f>
        <v>0</v>
      </c>
      <c r="U19" s="110">
        <f t="shared" si="0"/>
        <v>0</v>
      </c>
      <c r="V19" s="103">
        <f t="shared" si="1"/>
        <v>0</v>
      </c>
      <c r="W19" s="106">
        <f t="shared" si="4"/>
        <v>0</v>
      </c>
      <c r="X19" s="61">
        <f t="shared" si="10"/>
        <v>0</v>
      </c>
      <c r="Y19" s="52">
        <f t="shared" si="6"/>
        <v>0</v>
      </c>
      <c r="Z19" s="104">
        <f t="shared" si="7"/>
        <v>23.000158190000001</v>
      </c>
      <c r="AA19" s="115">
        <f>IF(B19="","",SMALL(Z$6:Z$185,ROWS(AD$6:AD19)))</f>
        <v>7.0012001000000001</v>
      </c>
      <c r="AB19" s="270"/>
      <c r="AC19" s="4" t="str">
        <f>IF(OR(B19="",U19=""),"",INDEX($B$6:$B$185,MATCH(AA19,$Z$6:Z$185,0)))</f>
        <v>A5</v>
      </c>
      <c r="AD19" s="4">
        <f t="shared" si="2"/>
        <v>4</v>
      </c>
      <c r="AE19" s="4">
        <f t="shared" si="3"/>
        <v>-2</v>
      </c>
      <c r="AF19" s="113">
        <f t="shared" si="8"/>
        <v>8</v>
      </c>
      <c r="AG19" s="271">
        <f>IF(AA19="","",IF(AND(AD18=AD19,AE18=AE19,AF18=AF19),AG18,$AG$6+13))</f>
        <v>13</v>
      </c>
      <c r="AH19" s="34"/>
      <c r="AI19" s="94">
        <v>47</v>
      </c>
    </row>
    <row r="20" spans="1:35" s="23" customFormat="1" ht="18" customHeight="1">
      <c r="A20" s="282">
        <v>15</v>
      </c>
      <c r="B20" s="50">
        <f>+'Joueurs et TirageV'!C21</f>
        <v>0</v>
      </c>
      <c r="C20" s="136" t="str">
        <f>IF(ISNA(VLOOKUP(B20,RésultatsV!$B$10:$E$248,3,0)),"0",VLOOKUP(B20,RésultatsV!$B$10:$E$248,3,0))</f>
        <v>0</v>
      </c>
      <c r="D20" s="136">
        <f>IF(ISNA(VLOOKUP(B20,RésultatsV!$B$10:$E$248,4,0)),"0",VLOOKUP(B20,RésultatsV!$B$10:$E$248,4,0))</f>
        <v>0</v>
      </c>
      <c r="E20" s="136">
        <f>IF(ISNA(VLOOKUP(B20,RésultatsV!$B$10:$E$248,2,0)),"0",VLOOKUP(B20,RésultatsV!$B$10:$E$248,2,0))</f>
        <v>0</v>
      </c>
      <c r="F20" s="136">
        <f>IF(ISNA(VLOOKUP(B20,RésultatsV!$G$10:$J$248,3,0)),"0",VLOOKUP(B20,RésultatsV!$G$10:$J$248,3,0))</f>
        <v>0</v>
      </c>
      <c r="G20" s="136">
        <f>IF(ISNA(VLOOKUP(B20,RésultatsV!$G$10:$J$248,4,0)),"0",VLOOKUP(B20,RésultatsV!$G$10:$J$248,4,0))</f>
        <v>0</v>
      </c>
      <c r="H20" s="136">
        <f>IF(ISNA(VLOOKUP(B20,RésultatsV!$G$10:$J$248,2,0)),"0",VLOOKUP(B20,RésultatsV!$G$10:$J$248,2,0))</f>
        <v>0</v>
      </c>
      <c r="I20" s="136">
        <f>IF(ISNA(VLOOKUP(B20,RésultatsV!$L$10:$O$248,3,0)),"0",VLOOKUP(B20,RésultatsV!$L$10:$O$248,3,0))</f>
        <v>0</v>
      </c>
      <c r="J20" s="136">
        <f>IF(ISNA(VLOOKUP(B20,RésultatsV!$L$10:$O$248,4,0)),"0",VLOOKUP(B20,RésultatsV!$L$10:$O$248,4,0))</f>
        <v>0</v>
      </c>
      <c r="K20" s="136">
        <f>IF(ISNA(VLOOKUP(B20,RésultatsV!$L$10:$O$248,2,0)),"0",VLOOKUP(B20,RésultatsV!$L$10:$O$248,2,0))</f>
        <v>0</v>
      </c>
      <c r="L20" s="136">
        <f>IF(ISNA(VLOOKUP(B20,RésultatsV!$Q$10:$T$248,3,0)),"0",VLOOKUP(B20,RésultatsV!$Q$10:$T$248,3,0))</f>
        <v>0</v>
      </c>
      <c r="M20" s="136">
        <f>IF(ISNA(VLOOKUP(B20,RésultatsV!$Q$10:$T$248,4,0)),"0",VLOOKUP(B20,RésultatsV!$Q$10:$T$248,4,0))</f>
        <v>0</v>
      </c>
      <c r="N20" s="136">
        <f>IF(ISNA(VLOOKUP(B20,RésultatsV!$Q$10:$T$248,2,0)),"0",VLOOKUP(B20,RésultatsV!$Q$10:$T$248,2,0))</f>
        <v>0</v>
      </c>
      <c r="O20" s="136">
        <f>IF(ISNA(VLOOKUP(B20,RésultatsV!$V$10:$Y$248,3,0)),"0",VLOOKUP(B20,RésultatsV!$V$10:$Y$248,3,0))</f>
        <v>0</v>
      </c>
      <c r="P20" s="136">
        <f>IF(ISNA(VLOOKUP(B20,RésultatsV!$V$10:$Y$248,4,0)),"0",VLOOKUP(B20,RésultatsV!$V$10:$Y$248,4,0))</f>
        <v>0</v>
      </c>
      <c r="Q20" s="136">
        <f>IF(ISNA(VLOOKUP(E20,RésultatsV!$V$10:$Y$248,2,0)),"0",VLOOKUP(E20,RésultatsV!$V$10:$Y$248,2,0))</f>
        <v>0</v>
      </c>
      <c r="R20" s="136">
        <f>IF(ISNA(VLOOKUP(B20,RésultatsV!$AA$10:$AD$248,3,0)),"0",VLOOKUP(B20,RésultatsV!$AA$10:$AD$248,3,0))</f>
        <v>0</v>
      </c>
      <c r="S20" s="136">
        <f>IF(ISNA(VLOOKUP(B20,RésultatsV!$AA$10:$AD$248,4,0)),"0",VLOOKUP(B20,RésultatsV!$AA$10:$AD$248,4,0))</f>
        <v>0</v>
      </c>
      <c r="T20" s="136">
        <f>IF(ISNA(VLOOKUP(B20,RésultatsV!$AA$10:$AD$248,2,0)),"0",VLOOKUP(B20,RésultatsV!$AA$10:$AD$248,2,0))</f>
        <v>0</v>
      </c>
      <c r="U20" s="110">
        <f t="shared" si="0"/>
        <v>0</v>
      </c>
      <c r="V20" s="103">
        <f t="shared" si="1"/>
        <v>0</v>
      </c>
      <c r="W20" s="106">
        <f t="shared" si="4"/>
        <v>0</v>
      </c>
      <c r="X20" s="61">
        <f t="shared" si="10"/>
        <v>0</v>
      </c>
      <c r="Y20" s="52">
        <f t="shared" si="6"/>
        <v>0</v>
      </c>
      <c r="Z20" s="104">
        <f t="shared" si="7"/>
        <v>23.000158199999998</v>
      </c>
      <c r="AA20" s="115">
        <f>IF(B20="","",SMALL(Z$6:Z$185,ROWS(AD$6:AD20)))</f>
        <v>7.0012006600000003</v>
      </c>
      <c r="AB20" s="270"/>
      <c r="AC20" s="4" t="str">
        <f>IF(OR(B20="",U20=""),"",INDEX($B$6:$B$185,MATCH(AA20,$Z$6:Z$185,0)))</f>
        <v>B1</v>
      </c>
      <c r="AD20" s="4">
        <f t="shared" si="2"/>
        <v>4</v>
      </c>
      <c r="AE20" s="4">
        <f t="shared" si="3"/>
        <v>-2</v>
      </c>
      <c r="AF20" s="113">
        <f t="shared" si="8"/>
        <v>8</v>
      </c>
      <c r="AG20" s="271">
        <f>IF(AA20="","",IF(AND(AD19=AD20,AE19=AE20,AF19=AF20),AG19,$AG$6+14))</f>
        <v>13</v>
      </c>
      <c r="AH20" s="34"/>
      <c r="AI20" s="94">
        <v>47</v>
      </c>
    </row>
    <row r="21" spans="1:35" s="23" customFormat="1" ht="18" customHeight="1">
      <c r="A21" s="282">
        <v>16</v>
      </c>
      <c r="B21" s="50">
        <f>+'Joueurs et TirageV'!C22</f>
        <v>0</v>
      </c>
      <c r="C21" s="136" t="str">
        <f>IF(ISNA(VLOOKUP(B21,RésultatsV!$B$10:$E$248,3,0)),"0",VLOOKUP(B21,RésultatsV!$B$10:$E$248,3,0))</f>
        <v>0</v>
      </c>
      <c r="D21" s="136">
        <f>IF(ISNA(VLOOKUP(B21,RésultatsV!$B$10:$E$248,4,0)),"0",VLOOKUP(B21,RésultatsV!$B$10:$E$248,4,0))</f>
        <v>0</v>
      </c>
      <c r="E21" s="136">
        <f>IF(ISNA(VLOOKUP(B21,RésultatsV!$B$10:$E$248,2,0)),"0",VLOOKUP(B21,RésultatsV!$B$10:$E$248,2,0))</f>
        <v>0</v>
      </c>
      <c r="F21" s="136">
        <f>IF(ISNA(VLOOKUP(B21,RésultatsV!$G$10:$J$248,3,0)),"0",VLOOKUP(B21,RésultatsV!$G$10:$J$248,3,0))</f>
        <v>0</v>
      </c>
      <c r="G21" s="136">
        <f>IF(ISNA(VLOOKUP(B21,RésultatsV!$G$10:$J$248,4,0)),"0",VLOOKUP(B21,RésultatsV!$G$10:$J$248,4,0))</f>
        <v>0</v>
      </c>
      <c r="H21" s="136">
        <f>IF(ISNA(VLOOKUP(B21,RésultatsV!$G$10:$J$248,2,0)),"0",VLOOKUP(B21,RésultatsV!$G$10:$J$248,2,0))</f>
        <v>0</v>
      </c>
      <c r="I21" s="136">
        <f>IF(ISNA(VLOOKUP(B21,RésultatsV!$L$10:$O$248,3,0)),"0",VLOOKUP(B21,RésultatsV!$L$10:$O$248,3,0))</f>
        <v>0</v>
      </c>
      <c r="J21" s="136">
        <f>IF(ISNA(VLOOKUP(B21,RésultatsV!$L$10:$O$248,4,0)),"0",VLOOKUP(B21,RésultatsV!$L$10:$O$248,4,0))</f>
        <v>0</v>
      </c>
      <c r="K21" s="136">
        <f>IF(ISNA(VLOOKUP(B21,RésultatsV!$L$10:$O$248,2,0)),"0",VLOOKUP(B21,RésultatsV!$L$10:$O$248,2,0))</f>
        <v>0</v>
      </c>
      <c r="L21" s="136">
        <f>IF(ISNA(VLOOKUP(B21,RésultatsV!$Q$10:$T$248,3,0)),"0",VLOOKUP(B21,RésultatsV!$Q$10:$T$248,3,0))</f>
        <v>0</v>
      </c>
      <c r="M21" s="136">
        <f>IF(ISNA(VLOOKUP(B21,RésultatsV!$Q$10:$T$248,4,0)),"0",VLOOKUP(B21,RésultatsV!$Q$10:$T$248,4,0))</f>
        <v>0</v>
      </c>
      <c r="N21" s="136">
        <f>IF(ISNA(VLOOKUP(B21,RésultatsV!$Q$10:$T$248,2,0)),"0",VLOOKUP(B21,RésultatsV!$Q$10:$T$248,2,0))</f>
        <v>0</v>
      </c>
      <c r="O21" s="136">
        <f>IF(ISNA(VLOOKUP(B21,RésultatsV!$V$10:$Y$248,3,0)),"0",VLOOKUP(B21,RésultatsV!$V$10:$Y$248,3,0))</f>
        <v>0</v>
      </c>
      <c r="P21" s="136">
        <f>IF(ISNA(VLOOKUP(B21,RésultatsV!$V$10:$Y$248,4,0)),"0",VLOOKUP(B21,RésultatsV!$V$10:$Y$248,4,0))</f>
        <v>0</v>
      </c>
      <c r="Q21" s="136">
        <f>IF(ISNA(VLOOKUP(E21,RésultatsV!$V$10:$Y$248,2,0)),"0",VLOOKUP(E21,RésultatsV!$V$10:$Y$248,2,0))</f>
        <v>0</v>
      </c>
      <c r="R21" s="136">
        <f>IF(ISNA(VLOOKUP(B21,RésultatsV!$AA$10:$AD$248,3,0)),"0",VLOOKUP(B21,RésultatsV!$AA$10:$AD$248,3,0))</f>
        <v>0</v>
      </c>
      <c r="S21" s="136">
        <f>IF(ISNA(VLOOKUP(B21,RésultatsV!$AA$10:$AD$248,4,0)),"0",VLOOKUP(B21,RésultatsV!$AA$10:$AD$248,4,0))</f>
        <v>0</v>
      </c>
      <c r="T21" s="136">
        <f>IF(ISNA(VLOOKUP(B21,RésultatsV!$AA$10:$AD$248,2,0)),"0",VLOOKUP(B21,RésultatsV!$AA$10:$AD$248,2,0))</f>
        <v>0</v>
      </c>
      <c r="U21" s="110">
        <f t="shared" si="0"/>
        <v>0</v>
      </c>
      <c r="V21" s="103">
        <f t="shared" si="1"/>
        <v>0</v>
      </c>
      <c r="W21" s="106">
        <f t="shared" si="4"/>
        <v>0</v>
      </c>
      <c r="X21" s="61">
        <f t="shared" si="10"/>
        <v>0</v>
      </c>
      <c r="Y21" s="52">
        <f t="shared" si="6"/>
        <v>0</v>
      </c>
      <c r="Z21" s="104">
        <f t="shared" si="7"/>
        <v>23.000158209999999</v>
      </c>
      <c r="AA21" s="115">
        <f>IF(B21="","",SMALL(Z$6:Z$185,ROWS(AD$6:AD21)))</f>
        <v>7.0022012700000005</v>
      </c>
      <c r="AB21" s="270"/>
      <c r="AC21" s="4" t="str">
        <f>IF(OR(B21="",U21=""),"",INDEX($B$6:$B$185,MATCH(AA21,$Z$6:Z$185,0)))</f>
        <v>C2</v>
      </c>
      <c r="AD21" s="4">
        <f t="shared" si="2"/>
        <v>4</v>
      </c>
      <c r="AE21" s="4">
        <f t="shared" si="3"/>
        <v>-3</v>
      </c>
      <c r="AF21" s="113">
        <f t="shared" si="8"/>
        <v>8</v>
      </c>
      <c r="AG21" s="271">
        <f>IF(AA21="","",IF(AND(AD20=AD21,AE20=AE21,AF20=AF21),AG20,$AG$6+15))</f>
        <v>16</v>
      </c>
      <c r="AH21" s="34"/>
      <c r="AI21" s="94">
        <v>45</v>
      </c>
    </row>
    <row r="22" spans="1:35" s="23" customFormat="1" ht="18" customHeight="1">
      <c r="A22" s="282">
        <v>17</v>
      </c>
      <c r="B22" s="50">
        <f>+'Joueurs et TirageV'!C23</f>
        <v>0</v>
      </c>
      <c r="C22" s="136" t="str">
        <f>IF(ISNA(VLOOKUP(B22,RésultatsV!$B$10:$E$248,3,0)),"0",VLOOKUP(B22,RésultatsV!$B$10:$E$248,3,0))</f>
        <v>0</v>
      </c>
      <c r="D22" s="136">
        <f>IF(ISNA(VLOOKUP(B22,RésultatsV!$B$10:$E$248,4,0)),"0",VLOOKUP(B22,RésultatsV!$B$10:$E$248,4,0))</f>
        <v>0</v>
      </c>
      <c r="E22" s="136">
        <f>IF(ISNA(VLOOKUP(B22,RésultatsV!$B$10:$E$248,2,0)),"0",VLOOKUP(B22,RésultatsV!$B$10:$E$248,2,0))</f>
        <v>0</v>
      </c>
      <c r="F22" s="136">
        <f>IF(ISNA(VLOOKUP(B22,RésultatsV!$G$10:$J$248,3,0)),"0",VLOOKUP(B22,RésultatsV!$G$10:$J$248,3,0))</f>
        <v>0</v>
      </c>
      <c r="G22" s="136">
        <f>IF(ISNA(VLOOKUP(B22,RésultatsV!$G$10:$J$248,4,0)),"0",VLOOKUP(B22,RésultatsV!$G$10:$J$248,4,0))</f>
        <v>0</v>
      </c>
      <c r="H22" s="136">
        <f>IF(ISNA(VLOOKUP(B22,RésultatsV!$G$10:$J$248,2,0)),"0",VLOOKUP(B22,RésultatsV!$G$10:$J$248,2,0))</f>
        <v>0</v>
      </c>
      <c r="I22" s="136">
        <f>IF(ISNA(VLOOKUP(B22,RésultatsV!$L$10:$O$248,3,0)),"0",VLOOKUP(B22,RésultatsV!$L$10:$O$248,3,0))</f>
        <v>0</v>
      </c>
      <c r="J22" s="136">
        <f>IF(ISNA(VLOOKUP(B22,RésultatsV!$L$10:$O$248,4,0)),"0",VLOOKUP(B22,RésultatsV!$L$10:$O$248,4,0))</f>
        <v>0</v>
      </c>
      <c r="K22" s="136">
        <f>IF(ISNA(VLOOKUP(B22,RésultatsV!$L$10:$O$248,2,0)),"0",VLOOKUP(B22,RésultatsV!$L$10:$O$248,2,0))</f>
        <v>0</v>
      </c>
      <c r="L22" s="136">
        <f>IF(ISNA(VLOOKUP(B22,RésultatsV!$Q$10:$T$248,3,0)),"0",VLOOKUP(B22,RésultatsV!$Q$10:$T$248,3,0))</f>
        <v>0</v>
      </c>
      <c r="M22" s="136">
        <f>IF(ISNA(VLOOKUP(B22,RésultatsV!$Q$10:$T$248,4,0)),"0",VLOOKUP(B22,RésultatsV!$Q$10:$T$248,4,0))</f>
        <v>0</v>
      </c>
      <c r="N22" s="136">
        <f>IF(ISNA(VLOOKUP(B22,RésultatsV!$Q$10:$T$248,2,0)),"0",VLOOKUP(B22,RésultatsV!$Q$10:$T$248,2,0))</f>
        <v>0</v>
      </c>
      <c r="O22" s="136">
        <f>IF(ISNA(VLOOKUP(B22,RésultatsV!$V$10:$Y$248,3,0)),"0",VLOOKUP(B22,RésultatsV!$V$10:$Y$248,3,0))</f>
        <v>0</v>
      </c>
      <c r="P22" s="136">
        <f>IF(ISNA(VLOOKUP(B22,RésultatsV!$V$10:$Y$248,4,0)),"0",VLOOKUP(B22,RésultatsV!$V$10:$Y$248,4,0))</f>
        <v>0</v>
      </c>
      <c r="Q22" s="136">
        <f>IF(ISNA(VLOOKUP(E22,RésultatsV!$V$10:$Y$248,2,0)),"0",VLOOKUP(E22,RésultatsV!$V$10:$Y$248,2,0))</f>
        <v>0</v>
      </c>
      <c r="R22" s="136">
        <f>IF(ISNA(VLOOKUP(B22,RésultatsV!$AA$10:$AD$248,3,0)),"0",VLOOKUP(B22,RésultatsV!$AA$10:$AD$248,3,0))</f>
        <v>0</v>
      </c>
      <c r="S22" s="136">
        <f>IF(ISNA(VLOOKUP(B22,RésultatsV!$AA$10:$AD$248,4,0)),"0",VLOOKUP(B22,RésultatsV!$AA$10:$AD$248,4,0))</f>
        <v>0</v>
      </c>
      <c r="T22" s="136">
        <f>IF(ISNA(VLOOKUP(B22,RésultatsV!$AA$10:$AD$248,2,0)),"0",VLOOKUP(B22,RésultatsV!$AA$10:$AD$248,2,0))</f>
        <v>0</v>
      </c>
      <c r="U22" s="110">
        <f t="shared" si="0"/>
        <v>0</v>
      </c>
      <c r="V22" s="103">
        <f t="shared" si="1"/>
        <v>0</v>
      </c>
      <c r="W22" s="106">
        <f t="shared" si="4"/>
        <v>0</v>
      </c>
      <c r="X22" s="61">
        <f t="shared" si="10"/>
        <v>0</v>
      </c>
      <c r="Y22" s="52">
        <f t="shared" si="6"/>
        <v>0</v>
      </c>
      <c r="Z22" s="104">
        <f t="shared" si="7"/>
        <v>23.000158219999999</v>
      </c>
      <c r="AA22" s="115">
        <f>IF(B22="","",SMALL(Z$6:Z$185,ROWS(AD$6:AD22)))</f>
        <v>17.005800130000001</v>
      </c>
      <c r="AB22" s="270"/>
      <c r="AC22" s="4" t="str">
        <f>IF(OR(B22="",U22=""),"",INDEX($B$6:$B$185,MATCH(AA22,$Z$6:Z$185,0)))</f>
        <v>A8</v>
      </c>
      <c r="AD22" s="4">
        <f t="shared" si="2"/>
        <v>2</v>
      </c>
      <c r="AE22" s="4">
        <f t="shared" si="3"/>
        <v>-7</v>
      </c>
      <c r="AF22" s="113">
        <f t="shared" si="8"/>
        <v>12</v>
      </c>
      <c r="AG22" s="271">
        <f>IF(AA22="","",IF(AND(AD21=AD22,AE21=AE22,AF21=AF22),AG21,$AG$6+16))</f>
        <v>17</v>
      </c>
      <c r="AH22" s="34"/>
      <c r="AI22" s="94">
        <v>44</v>
      </c>
    </row>
    <row r="23" spans="1:35" s="23" customFormat="1" ht="18" customHeight="1">
      <c r="A23" s="282">
        <v>18</v>
      </c>
      <c r="B23" s="50">
        <f>+'Joueurs et TirageV'!C24</f>
        <v>0</v>
      </c>
      <c r="C23" s="136" t="str">
        <f>IF(ISNA(VLOOKUP(B23,RésultatsV!$B$10:$E$248,3,0)),"0",VLOOKUP(B23,RésultatsV!$B$10:$E$248,3,0))</f>
        <v>0</v>
      </c>
      <c r="D23" s="136">
        <f>IF(ISNA(VLOOKUP(B23,RésultatsV!$B$10:$E$248,4,0)),"0",VLOOKUP(B23,RésultatsV!$B$10:$E$248,4,0))</f>
        <v>0</v>
      </c>
      <c r="E23" s="136">
        <f>IF(ISNA(VLOOKUP(B23,RésultatsV!$B$10:$E$248,2,0)),"0",VLOOKUP(B23,RésultatsV!$B$10:$E$248,2,0))</f>
        <v>0</v>
      </c>
      <c r="F23" s="136">
        <f>IF(ISNA(VLOOKUP(B23,RésultatsV!$G$10:$J$248,3,0)),"0",VLOOKUP(B23,RésultatsV!$G$10:$J$248,3,0))</f>
        <v>0</v>
      </c>
      <c r="G23" s="136">
        <f>IF(ISNA(VLOOKUP(B23,RésultatsV!$G$10:$J$248,4,0)),"0",VLOOKUP(B23,RésultatsV!$G$10:$J$248,4,0))</f>
        <v>0</v>
      </c>
      <c r="H23" s="136">
        <f>IF(ISNA(VLOOKUP(B23,RésultatsV!$G$10:$J$248,2,0)),"0",VLOOKUP(B23,RésultatsV!$G$10:$J$248,2,0))</f>
        <v>0</v>
      </c>
      <c r="I23" s="136">
        <f>IF(ISNA(VLOOKUP(B23,RésultatsV!$L$10:$O$248,3,0)),"0",VLOOKUP(B23,RésultatsV!$L$10:$O$248,3,0))</f>
        <v>0</v>
      </c>
      <c r="J23" s="136">
        <f>IF(ISNA(VLOOKUP(B23,RésultatsV!$L$10:$O$248,4,0)),"0",VLOOKUP(B23,RésultatsV!$L$10:$O$248,4,0))</f>
        <v>0</v>
      </c>
      <c r="K23" s="136">
        <f>IF(ISNA(VLOOKUP(B23,RésultatsV!$L$10:$O$248,2,0)),"0",VLOOKUP(B23,RésultatsV!$L$10:$O$248,2,0))</f>
        <v>0</v>
      </c>
      <c r="L23" s="136">
        <f>IF(ISNA(VLOOKUP(B23,RésultatsV!$Q$10:$T$248,3,0)),"0",VLOOKUP(B23,RésultatsV!$Q$10:$T$248,3,0))</f>
        <v>0</v>
      </c>
      <c r="M23" s="136">
        <f>IF(ISNA(VLOOKUP(B23,RésultatsV!$Q$10:$T$248,4,0)),"0",VLOOKUP(B23,RésultatsV!$Q$10:$T$248,4,0))</f>
        <v>0</v>
      </c>
      <c r="N23" s="136">
        <f>IF(ISNA(VLOOKUP(B23,RésultatsV!$Q$10:$T$248,2,0)),"0",VLOOKUP(B23,RésultatsV!$Q$10:$T$248,2,0))</f>
        <v>0</v>
      </c>
      <c r="O23" s="136">
        <f>IF(ISNA(VLOOKUP(B23,RésultatsV!$V$10:$Y$248,3,0)),"0",VLOOKUP(B23,RésultatsV!$V$10:$Y$248,3,0))</f>
        <v>0</v>
      </c>
      <c r="P23" s="136">
        <f>IF(ISNA(VLOOKUP(B23,RésultatsV!$V$10:$Y$248,4,0)),"0",VLOOKUP(B23,RésultatsV!$V$10:$Y$248,4,0))</f>
        <v>0</v>
      </c>
      <c r="Q23" s="136">
        <f>IF(ISNA(VLOOKUP(E23,RésultatsV!$V$10:$Y$248,2,0)),"0",VLOOKUP(E23,RésultatsV!$V$10:$Y$248,2,0))</f>
        <v>0</v>
      </c>
      <c r="R23" s="136">
        <f>IF(ISNA(VLOOKUP(B23,RésultatsV!$AA$10:$AD$248,3,0)),"0",VLOOKUP(B23,RésultatsV!$AA$10:$AD$248,3,0))</f>
        <v>0</v>
      </c>
      <c r="S23" s="136">
        <f>IF(ISNA(VLOOKUP(B23,RésultatsV!$AA$10:$AD$248,4,0)),"0",VLOOKUP(B23,RésultatsV!$AA$10:$AD$248,4,0))</f>
        <v>0</v>
      </c>
      <c r="T23" s="136">
        <f>IF(ISNA(VLOOKUP(B23,RésultatsV!$AA$10:$AD$248,2,0)),"0",VLOOKUP(B23,RésultatsV!$AA$10:$AD$248,2,0))</f>
        <v>0</v>
      </c>
      <c r="U23" s="110">
        <f t="shared" si="0"/>
        <v>0</v>
      </c>
      <c r="V23" s="103">
        <f t="shared" si="1"/>
        <v>0</v>
      </c>
      <c r="W23" s="106">
        <f t="shared" si="4"/>
        <v>0</v>
      </c>
      <c r="X23" s="61">
        <f t="shared" si="10"/>
        <v>0</v>
      </c>
      <c r="Y23" s="52">
        <f t="shared" si="6"/>
        <v>0</v>
      </c>
      <c r="Z23" s="104">
        <f t="shared" si="7"/>
        <v>23.00015823</v>
      </c>
      <c r="AA23" s="115">
        <f>IF(B23="","",SMALL(Z$6:Z$185,ROWS(AD$6:AD23)))</f>
        <v>17.005800730000001</v>
      </c>
      <c r="AB23" s="270"/>
      <c r="AC23" s="4" t="str">
        <f>IF(OR(B23="",U23=""),"",INDEX($B$6:$B$185,MATCH(AA23,$Z$6:Z$185,0)))</f>
        <v>B8</v>
      </c>
      <c r="AD23" s="4">
        <f t="shared" si="2"/>
        <v>2</v>
      </c>
      <c r="AE23" s="4">
        <f t="shared" si="3"/>
        <v>-7</v>
      </c>
      <c r="AF23" s="113">
        <f t="shared" si="8"/>
        <v>12</v>
      </c>
      <c r="AG23" s="271">
        <f>IF(AA23="","",IF(AND(AD22=AD23,AE22=AE23,AF22=AF23),AG22,$AG$6+17))</f>
        <v>17</v>
      </c>
      <c r="AH23" s="34"/>
      <c r="AI23" s="94">
        <v>44</v>
      </c>
    </row>
    <row r="24" spans="1:35" s="23" customFormat="1" ht="18" customHeight="1">
      <c r="A24" s="282">
        <v>19</v>
      </c>
      <c r="B24" s="50">
        <f>+'Joueurs et TirageV'!C25</f>
        <v>0</v>
      </c>
      <c r="C24" s="136" t="str">
        <f>IF(ISNA(VLOOKUP(B24,RésultatsV!$B$10:$E$248,3,0)),"0",VLOOKUP(B24,RésultatsV!$B$10:$E$248,3,0))</f>
        <v>0</v>
      </c>
      <c r="D24" s="136">
        <f>IF(ISNA(VLOOKUP(B24,RésultatsV!$B$10:$E$248,4,0)),"0",VLOOKUP(B24,RésultatsV!$B$10:$E$248,4,0))</f>
        <v>0</v>
      </c>
      <c r="E24" s="136">
        <f>IF(ISNA(VLOOKUP(B24,RésultatsV!$B$10:$E$248,2,0)),"0",VLOOKUP(B24,RésultatsV!$B$10:$E$248,2,0))</f>
        <v>0</v>
      </c>
      <c r="F24" s="136">
        <f>IF(ISNA(VLOOKUP(B24,RésultatsV!$G$10:$J$248,3,0)),"0",VLOOKUP(B24,RésultatsV!$G$10:$J$248,3,0))</f>
        <v>0</v>
      </c>
      <c r="G24" s="136">
        <f>IF(ISNA(VLOOKUP(B24,RésultatsV!$G$10:$J$248,4,0)),"0",VLOOKUP(B24,RésultatsV!$G$10:$J$248,4,0))</f>
        <v>0</v>
      </c>
      <c r="H24" s="136">
        <f>IF(ISNA(VLOOKUP(B24,RésultatsV!$G$10:$J$248,2,0)),"0",VLOOKUP(B24,RésultatsV!$G$10:$J$248,2,0))</f>
        <v>0</v>
      </c>
      <c r="I24" s="136">
        <f>IF(ISNA(VLOOKUP(B24,RésultatsV!$L$10:$O$248,3,0)),"0",VLOOKUP(B24,RésultatsV!$L$10:$O$248,3,0))</f>
        <v>0</v>
      </c>
      <c r="J24" s="136">
        <f>IF(ISNA(VLOOKUP(B24,RésultatsV!$L$10:$O$248,4,0)),"0",VLOOKUP(B24,RésultatsV!$L$10:$O$248,4,0))</f>
        <v>0</v>
      </c>
      <c r="K24" s="136">
        <f>IF(ISNA(VLOOKUP(B24,RésultatsV!$L$10:$O$248,2,0)),"0",VLOOKUP(B24,RésultatsV!$L$10:$O$248,2,0))</f>
        <v>0</v>
      </c>
      <c r="L24" s="136">
        <f>IF(ISNA(VLOOKUP(B24,RésultatsV!$Q$10:$T$248,3,0)),"0",VLOOKUP(B24,RésultatsV!$Q$10:$T$248,3,0))</f>
        <v>0</v>
      </c>
      <c r="M24" s="136">
        <f>IF(ISNA(VLOOKUP(B24,RésultatsV!$Q$10:$T$248,4,0)),"0",VLOOKUP(B24,RésultatsV!$Q$10:$T$248,4,0))</f>
        <v>0</v>
      </c>
      <c r="N24" s="136">
        <f>IF(ISNA(VLOOKUP(B24,RésultatsV!$Q$10:$T$248,2,0)),"0",VLOOKUP(B24,RésultatsV!$Q$10:$T$248,2,0))</f>
        <v>0</v>
      </c>
      <c r="O24" s="136">
        <f>IF(ISNA(VLOOKUP(B24,RésultatsV!$V$10:$Y$248,3,0)),"0",VLOOKUP(B24,RésultatsV!$V$10:$Y$248,3,0))</f>
        <v>0</v>
      </c>
      <c r="P24" s="136">
        <f>IF(ISNA(VLOOKUP(B24,RésultatsV!$V$10:$Y$248,4,0)),"0",VLOOKUP(B24,RésultatsV!$V$10:$Y$248,4,0))</f>
        <v>0</v>
      </c>
      <c r="Q24" s="136">
        <f>IF(ISNA(VLOOKUP(E24,RésultatsV!$V$10:$Y$248,2,0)),"0",VLOOKUP(E24,RésultatsV!$V$10:$Y$248,2,0))</f>
        <v>0</v>
      </c>
      <c r="R24" s="136">
        <f>IF(ISNA(VLOOKUP(B24,RésultatsV!$AA$10:$AD$248,3,0)),"0",VLOOKUP(B24,RésultatsV!$AA$10:$AD$248,3,0))</f>
        <v>0</v>
      </c>
      <c r="S24" s="136">
        <f>IF(ISNA(VLOOKUP(B24,RésultatsV!$AA$10:$AD$248,4,0)),"0",VLOOKUP(B24,RésultatsV!$AA$10:$AD$248,4,0))</f>
        <v>0</v>
      </c>
      <c r="T24" s="136">
        <f>IF(ISNA(VLOOKUP(B24,RésultatsV!$AA$10:$AD$248,2,0)),"0",VLOOKUP(B24,RésultatsV!$AA$10:$AD$248,2,0))</f>
        <v>0</v>
      </c>
      <c r="U24" s="110">
        <f t="shared" si="0"/>
        <v>0</v>
      </c>
      <c r="V24" s="103">
        <f t="shared" si="1"/>
        <v>0</v>
      </c>
      <c r="W24" s="106">
        <f t="shared" si="4"/>
        <v>0</v>
      </c>
      <c r="X24" s="61">
        <f t="shared" si="10"/>
        <v>0</v>
      </c>
      <c r="Y24" s="52">
        <f t="shared" si="6"/>
        <v>0</v>
      </c>
      <c r="Z24" s="104">
        <f t="shared" si="7"/>
        <v>23.000158239999998</v>
      </c>
      <c r="AA24" s="115">
        <f>IF(B24="","",SMALL(Z$6:Z$185,ROWS(AD$6:AD24)))</f>
        <v>17.01060069</v>
      </c>
      <c r="AB24" s="270"/>
      <c r="AC24" s="4" t="str">
        <f>IF(OR(B24="",U24=""),"",INDEX($B$6:$B$185,MATCH(AA24,$Z$6:Z$185,0)))</f>
        <v>B4</v>
      </c>
      <c r="AD24" s="4">
        <f t="shared" si="2"/>
        <v>2</v>
      </c>
      <c r="AE24" s="4">
        <f t="shared" si="3"/>
        <v>-11</v>
      </c>
      <c r="AF24" s="113">
        <f t="shared" si="8"/>
        <v>4</v>
      </c>
      <c r="AG24" s="271">
        <f>IF(AA24="","",IF(AND(AD23=AD24,AE23=AE24,AF23=AF24),AG23,$AG$6+18))</f>
        <v>19</v>
      </c>
      <c r="AH24" s="34"/>
      <c r="AI24" s="94">
        <v>42</v>
      </c>
    </row>
    <row r="25" spans="1:35" s="23" customFormat="1" ht="18" customHeight="1">
      <c r="A25" s="282">
        <v>20</v>
      </c>
      <c r="B25" s="50">
        <f>+'Joueurs et TirageV'!C26</f>
        <v>0</v>
      </c>
      <c r="C25" s="136" t="str">
        <f>IF(ISNA(VLOOKUP(B25,RésultatsV!$B$10:$E$248,3,0)),"0",VLOOKUP(B25,RésultatsV!$B$10:$E$248,3,0))</f>
        <v>0</v>
      </c>
      <c r="D25" s="136">
        <f>IF(ISNA(VLOOKUP(B25,RésultatsV!$B$10:$E$248,4,0)),"0",VLOOKUP(B25,RésultatsV!$B$10:$E$248,4,0))</f>
        <v>0</v>
      </c>
      <c r="E25" s="136">
        <f>IF(ISNA(VLOOKUP(B25,RésultatsV!$B$10:$E$248,2,0)),"0",VLOOKUP(B25,RésultatsV!$B$10:$E$248,2,0))</f>
        <v>0</v>
      </c>
      <c r="F25" s="136">
        <f>IF(ISNA(VLOOKUP(B25,RésultatsV!$G$10:$J$248,3,0)),"0",VLOOKUP(B25,RésultatsV!$G$10:$J$248,3,0))</f>
        <v>0</v>
      </c>
      <c r="G25" s="136">
        <f>IF(ISNA(VLOOKUP(B25,RésultatsV!$G$10:$J$248,4,0)),"0",VLOOKUP(B25,RésultatsV!$G$10:$J$248,4,0))</f>
        <v>0</v>
      </c>
      <c r="H25" s="136">
        <f>IF(ISNA(VLOOKUP(B25,RésultatsV!$G$10:$J$248,2,0)),"0",VLOOKUP(B25,RésultatsV!$G$10:$J$248,2,0))</f>
        <v>0</v>
      </c>
      <c r="I25" s="136">
        <f>IF(ISNA(VLOOKUP(B25,RésultatsV!$L$10:$O$248,3,0)),"0",VLOOKUP(B25,RésultatsV!$L$10:$O$248,3,0))</f>
        <v>0</v>
      </c>
      <c r="J25" s="136">
        <f>IF(ISNA(VLOOKUP(B25,RésultatsV!$L$10:$O$248,4,0)),"0",VLOOKUP(B25,RésultatsV!$L$10:$O$248,4,0))</f>
        <v>0</v>
      </c>
      <c r="K25" s="136">
        <f>IF(ISNA(VLOOKUP(B25,RésultatsV!$L$10:$O$248,2,0)),"0",VLOOKUP(B25,RésultatsV!$L$10:$O$248,2,0))</f>
        <v>0</v>
      </c>
      <c r="L25" s="136">
        <f>IF(ISNA(VLOOKUP(B25,RésultatsV!$Q$10:$T$248,3,0)),"0",VLOOKUP(B25,RésultatsV!$Q$10:$T$248,3,0))</f>
        <v>0</v>
      </c>
      <c r="M25" s="136">
        <f>IF(ISNA(VLOOKUP(B25,RésultatsV!$Q$10:$T$248,4,0)),"0",VLOOKUP(B25,RésultatsV!$Q$10:$T$248,4,0))</f>
        <v>0</v>
      </c>
      <c r="N25" s="136">
        <f>IF(ISNA(VLOOKUP(B25,RésultatsV!$Q$10:$T$248,2,0)),"0",VLOOKUP(B25,RésultatsV!$Q$10:$T$248,2,0))</f>
        <v>0</v>
      </c>
      <c r="O25" s="136">
        <f>IF(ISNA(VLOOKUP(B25,RésultatsV!$V$10:$Y$248,3,0)),"0",VLOOKUP(B25,RésultatsV!$V$10:$Y$248,3,0))</f>
        <v>0</v>
      </c>
      <c r="P25" s="136">
        <f>IF(ISNA(VLOOKUP(B25,RésultatsV!$V$10:$Y$248,4,0)),"0",VLOOKUP(B25,RésultatsV!$V$10:$Y$248,4,0))</f>
        <v>0</v>
      </c>
      <c r="Q25" s="136">
        <f>IF(ISNA(VLOOKUP(E25,RésultatsV!$V$10:$Y$248,2,0)),"0",VLOOKUP(E25,RésultatsV!$V$10:$Y$248,2,0))</f>
        <v>0</v>
      </c>
      <c r="R25" s="136">
        <f>IF(ISNA(VLOOKUP(B25,RésultatsV!$AA$10:$AD$248,3,0)),"0",VLOOKUP(B25,RésultatsV!$AA$10:$AD$248,3,0))</f>
        <v>0</v>
      </c>
      <c r="S25" s="136">
        <f>IF(ISNA(VLOOKUP(B25,RésultatsV!$AA$10:$AD$248,4,0)),"0",VLOOKUP(B25,RésultatsV!$AA$10:$AD$248,4,0))</f>
        <v>0</v>
      </c>
      <c r="T25" s="136">
        <f>IF(ISNA(VLOOKUP(B25,RésultatsV!$AA$10:$AD$248,2,0)),"0",VLOOKUP(B25,RésultatsV!$AA$10:$AD$248,2,0))</f>
        <v>0</v>
      </c>
      <c r="U25" s="110">
        <f t="shared" si="0"/>
        <v>0</v>
      </c>
      <c r="V25" s="103">
        <f t="shared" si="1"/>
        <v>0</v>
      </c>
      <c r="W25" s="107">
        <f t="shared" si="4"/>
        <v>0</v>
      </c>
      <c r="X25" s="61">
        <f t="shared" si="10"/>
        <v>0</v>
      </c>
      <c r="Y25" s="52">
        <f t="shared" si="6"/>
        <v>0</v>
      </c>
      <c r="Z25" s="104">
        <f t="shared" si="7"/>
        <v>23.000158249999998</v>
      </c>
      <c r="AA25" s="115">
        <f>IF(B25="","",SMALL(Z$6:Z$185,ROWS(AD$6:AD25)))</f>
        <v>17.01170011</v>
      </c>
      <c r="AB25" s="270"/>
      <c r="AC25" s="4" t="str">
        <f>IF(OR(B25="",U25=""),"",INDEX($B$6:$B$185,MATCH(AA25,$Z$6:Z$185,0)))</f>
        <v>A6</v>
      </c>
      <c r="AD25" s="4">
        <f t="shared" si="2"/>
        <v>2</v>
      </c>
      <c r="AE25" s="4">
        <f t="shared" si="3"/>
        <v>-12</v>
      </c>
      <c r="AF25" s="113">
        <f t="shared" si="8"/>
        <v>3</v>
      </c>
      <c r="AG25" s="271">
        <f>IF(AA25="","",IF(AND(AD24=AD25,AE24=AE25,AF24=AF25),AG24,$AG$6+19))</f>
        <v>20</v>
      </c>
      <c r="AH25" s="34"/>
      <c r="AI25" s="94">
        <v>41</v>
      </c>
    </row>
    <row r="26" spans="1:35" s="23" customFormat="1" ht="18" customHeight="1">
      <c r="A26" s="282">
        <v>21</v>
      </c>
      <c r="B26" s="50">
        <f>+'Joueurs et TirageV'!C27</f>
        <v>0</v>
      </c>
      <c r="C26" s="136" t="str">
        <f>IF(ISNA(VLOOKUP(B26,RésultatsV!$B$10:$E$248,3,0)),"0",VLOOKUP(B26,RésultatsV!$B$10:$E$248,3,0))</f>
        <v>0</v>
      </c>
      <c r="D26" s="136">
        <f>IF(ISNA(VLOOKUP(B26,RésultatsV!$B$10:$E$248,4,0)),"0",VLOOKUP(B26,RésultatsV!$B$10:$E$248,4,0))</f>
        <v>0</v>
      </c>
      <c r="E26" s="136">
        <f>IF(ISNA(VLOOKUP(B26,RésultatsV!$B$10:$E$248,2,0)),"0",VLOOKUP(B26,RésultatsV!$B$10:$E$248,2,0))</f>
        <v>0</v>
      </c>
      <c r="F26" s="136">
        <f>IF(ISNA(VLOOKUP(B26,RésultatsV!$G$10:$J$248,3,0)),"0",VLOOKUP(B26,RésultatsV!$G$10:$J$248,3,0))</f>
        <v>0</v>
      </c>
      <c r="G26" s="136">
        <f>IF(ISNA(VLOOKUP(B26,RésultatsV!$G$10:$J$248,4,0)),"0",VLOOKUP(B26,RésultatsV!$G$10:$J$248,4,0))</f>
        <v>0</v>
      </c>
      <c r="H26" s="136">
        <f>IF(ISNA(VLOOKUP(B26,RésultatsV!$G$10:$J$248,2,0)),"0",VLOOKUP(B26,RésultatsV!$G$10:$J$248,2,0))</f>
        <v>0</v>
      </c>
      <c r="I26" s="136">
        <f>IF(ISNA(VLOOKUP(B26,RésultatsV!$L$10:$O$248,3,0)),"0",VLOOKUP(B26,RésultatsV!$L$10:$O$248,3,0))</f>
        <v>0</v>
      </c>
      <c r="J26" s="136">
        <f>IF(ISNA(VLOOKUP(B26,RésultatsV!$L$10:$O$248,4,0)),"0",VLOOKUP(B26,RésultatsV!$L$10:$O$248,4,0))</f>
        <v>0</v>
      </c>
      <c r="K26" s="136">
        <f>IF(ISNA(VLOOKUP(B26,RésultatsV!$L$10:$O$248,2,0)),"0",VLOOKUP(B26,RésultatsV!$L$10:$O$248,2,0))</f>
        <v>0</v>
      </c>
      <c r="L26" s="136">
        <f>IF(ISNA(VLOOKUP(B26,RésultatsV!$Q$10:$T$248,3,0)),"0",VLOOKUP(B26,RésultatsV!$Q$10:$T$248,3,0))</f>
        <v>0</v>
      </c>
      <c r="M26" s="136">
        <f>IF(ISNA(VLOOKUP(B26,RésultatsV!$Q$10:$T$248,4,0)),"0",VLOOKUP(B26,RésultatsV!$Q$10:$T$248,4,0))</f>
        <v>0</v>
      </c>
      <c r="N26" s="136">
        <f>IF(ISNA(VLOOKUP(B26,RésultatsV!$Q$10:$T$248,2,0)),"0",VLOOKUP(B26,RésultatsV!$Q$10:$T$248,2,0))</f>
        <v>0</v>
      </c>
      <c r="O26" s="136">
        <f>IF(ISNA(VLOOKUP(B26,RésultatsV!$V$10:$Y$248,3,0)),"0",VLOOKUP(B26,RésultatsV!$V$10:$Y$248,3,0))</f>
        <v>0</v>
      </c>
      <c r="P26" s="136">
        <f>IF(ISNA(VLOOKUP(B26,RésultatsV!$V$10:$Y$248,4,0)),"0",VLOOKUP(B26,RésultatsV!$V$10:$Y$248,4,0))</f>
        <v>0</v>
      </c>
      <c r="Q26" s="136">
        <f>IF(ISNA(VLOOKUP(E26,RésultatsV!$V$10:$Y$248,2,0)),"0",VLOOKUP(E26,RésultatsV!$V$10:$Y$248,2,0))</f>
        <v>0</v>
      </c>
      <c r="R26" s="136">
        <f>IF(ISNA(VLOOKUP(B26,RésultatsV!$AA$10:$AD$248,3,0)),"0",VLOOKUP(B26,RésultatsV!$AA$10:$AD$248,3,0))</f>
        <v>0</v>
      </c>
      <c r="S26" s="136">
        <f>IF(ISNA(VLOOKUP(B26,RésultatsV!$AA$10:$AD$248,4,0)),"0",VLOOKUP(B26,RésultatsV!$AA$10:$AD$248,4,0))</f>
        <v>0</v>
      </c>
      <c r="T26" s="136">
        <f>IF(ISNA(VLOOKUP(B26,RésultatsV!$AA$10:$AD$248,2,0)),"0",VLOOKUP(B26,RésultatsV!$AA$10:$AD$248,2,0))</f>
        <v>0</v>
      </c>
      <c r="U26" s="110">
        <f t="shared" si="0"/>
        <v>0</v>
      </c>
      <c r="V26" s="103">
        <f t="shared" si="1"/>
        <v>0</v>
      </c>
      <c r="W26" s="106">
        <f t="shared" si="4"/>
        <v>0</v>
      </c>
      <c r="X26" s="61">
        <f t="shared" si="10"/>
        <v>0</v>
      </c>
      <c r="Y26" s="52">
        <f t="shared" ref="Y26:Y65" si="14">IF(V26="","",IF(V26&gt;0,V26,0))</f>
        <v>0</v>
      </c>
      <c r="Z26" s="104">
        <f t="shared" si="7"/>
        <v>23.000158259999999</v>
      </c>
      <c r="AA26" s="115">
        <f>IF(B26="","",SMALL(Z$6:Z$185,ROWS(AD$6:AD26)))</f>
        <v>17.011700700000002</v>
      </c>
      <c r="AB26" s="270"/>
      <c r="AC26" s="4" t="str">
        <f>IF(OR(B26="",U26=""),"",INDEX($B$6:$B$185,MATCH(AA26,$Z$6:Z$185,0)))</f>
        <v>B5</v>
      </c>
      <c r="AD26" s="4">
        <f t="shared" si="2"/>
        <v>2</v>
      </c>
      <c r="AE26" s="4">
        <f t="shared" si="3"/>
        <v>-12</v>
      </c>
      <c r="AF26" s="113">
        <f t="shared" si="8"/>
        <v>3</v>
      </c>
      <c r="AG26" s="271">
        <f>IF(AA26="","",IF(AND(AD25=AD26,AE25=AE26,AF25=AF26),AG25,$AG$6+20))</f>
        <v>20</v>
      </c>
      <c r="AH26" s="34"/>
      <c r="AI26" s="94">
        <v>41</v>
      </c>
    </row>
    <row r="27" spans="1:35" s="23" customFormat="1" ht="18" customHeight="1">
      <c r="A27" s="282">
        <v>22</v>
      </c>
      <c r="B27" s="50">
        <f>+'Joueurs et TirageV'!C28</f>
        <v>0</v>
      </c>
      <c r="C27" s="136" t="str">
        <f>IF(ISNA(VLOOKUP(B27,RésultatsV!$B$10:$E$248,3,0)),"0",VLOOKUP(B27,RésultatsV!$B$10:$E$248,3,0))</f>
        <v>0</v>
      </c>
      <c r="D27" s="136">
        <f>IF(ISNA(VLOOKUP(B27,RésultatsV!$B$10:$E$248,4,0)),"0",VLOOKUP(B27,RésultatsV!$B$10:$E$248,4,0))</f>
        <v>0</v>
      </c>
      <c r="E27" s="136">
        <f>IF(ISNA(VLOOKUP(B27,RésultatsV!$B$10:$E$248,2,0)),"0",VLOOKUP(B27,RésultatsV!$B$10:$E$248,2,0))</f>
        <v>0</v>
      </c>
      <c r="F27" s="136">
        <f>IF(ISNA(VLOOKUP(B27,RésultatsV!$G$10:$J$248,3,0)),"0",VLOOKUP(B27,RésultatsV!$G$10:$J$248,3,0))</f>
        <v>0</v>
      </c>
      <c r="G27" s="136">
        <f>IF(ISNA(VLOOKUP(B27,RésultatsV!$G$10:$J$248,4,0)),"0",VLOOKUP(B27,RésultatsV!$G$10:$J$248,4,0))</f>
        <v>0</v>
      </c>
      <c r="H27" s="136">
        <f>IF(ISNA(VLOOKUP(B27,RésultatsV!$G$10:$J$248,2,0)),"0",VLOOKUP(B27,RésultatsV!$G$10:$J$248,2,0))</f>
        <v>0</v>
      </c>
      <c r="I27" s="136">
        <f>IF(ISNA(VLOOKUP(B27,RésultatsV!$L$10:$O$248,3,0)),"0",VLOOKUP(B27,RésultatsV!$L$10:$O$248,3,0))</f>
        <v>0</v>
      </c>
      <c r="J27" s="136">
        <f>IF(ISNA(VLOOKUP(B27,RésultatsV!$L$10:$O$248,4,0)),"0",VLOOKUP(B27,RésultatsV!$L$10:$O$248,4,0))</f>
        <v>0</v>
      </c>
      <c r="K27" s="136">
        <f>IF(ISNA(VLOOKUP(B27,RésultatsV!$L$10:$O$248,2,0)),"0",VLOOKUP(B27,RésultatsV!$L$10:$O$248,2,0))</f>
        <v>0</v>
      </c>
      <c r="L27" s="136">
        <f>IF(ISNA(VLOOKUP(B27,RésultatsV!$Q$10:$T$248,3,0)),"0",VLOOKUP(B27,RésultatsV!$Q$10:$T$248,3,0))</f>
        <v>0</v>
      </c>
      <c r="M27" s="136">
        <f>IF(ISNA(VLOOKUP(B27,RésultatsV!$Q$10:$T$248,4,0)),"0",VLOOKUP(B27,RésultatsV!$Q$10:$T$248,4,0))</f>
        <v>0</v>
      </c>
      <c r="N27" s="136">
        <f>IF(ISNA(VLOOKUP(B27,RésultatsV!$Q$10:$T$248,2,0)),"0",VLOOKUP(B27,RésultatsV!$Q$10:$T$248,2,0))</f>
        <v>0</v>
      </c>
      <c r="O27" s="136">
        <f>IF(ISNA(VLOOKUP(B27,RésultatsV!$V$10:$Y$248,3,0)),"0",VLOOKUP(B27,RésultatsV!$V$10:$Y$248,3,0))</f>
        <v>0</v>
      </c>
      <c r="P27" s="136">
        <f>IF(ISNA(VLOOKUP(B27,RésultatsV!$V$10:$Y$248,4,0)),"0",VLOOKUP(B27,RésultatsV!$V$10:$Y$248,4,0))</f>
        <v>0</v>
      </c>
      <c r="Q27" s="136">
        <f>IF(ISNA(VLOOKUP(E27,RésultatsV!$V$10:$Y$248,2,0)),"0",VLOOKUP(E27,RésultatsV!$V$10:$Y$248,2,0))</f>
        <v>0</v>
      </c>
      <c r="R27" s="136">
        <f>IF(ISNA(VLOOKUP(B27,RésultatsV!$AA$10:$AD$248,3,0)),"0",VLOOKUP(B27,RésultatsV!$AA$10:$AD$248,3,0))</f>
        <v>0</v>
      </c>
      <c r="S27" s="136">
        <f>IF(ISNA(VLOOKUP(B27,RésultatsV!$AA$10:$AD$248,4,0)),"0",VLOOKUP(B27,RésultatsV!$AA$10:$AD$248,4,0))</f>
        <v>0</v>
      </c>
      <c r="T27" s="136">
        <f>IF(ISNA(VLOOKUP(B27,RésultatsV!$AA$10:$AD$248,2,0)),"0",VLOOKUP(B27,RésultatsV!$AA$10:$AD$248,2,0))</f>
        <v>0</v>
      </c>
      <c r="U27" s="110">
        <f t="shared" si="0"/>
        <v>0</v>
      </c>
      <c r="V27" s="103">
        <f t="shared" si="1"/>
        <v>0</v>
      </c>
      <c r="W27" s="106">
        <f t="shared" si="4"/>
        <v>0</v>
      </c>
      <c r="X27" s="61">
        <f t="shared" si="10"/>
        <v>0</v>
      </c>
      <c r="Y27" s="52">
        <f t="shared" si="14"/>
        <v>0</v>
      </c>
      <c r="Z27" s="104">
        <f t="shared" si="7"/>
        <v>23.00015827</v>
      </c>
      <c r="AA27" s="115">
        <f>IF(B27="","",SMALL(Z$6:Z$185,ROWS(AD$6:AD27)))</f>
        <v>17.011701300000002</v>
      </c>
      <c r="AB27" s="270"/>
      <c r="AC27" s="4" t="str">
        <f>IF(OR(B27="",U27=""),"",INDEX($B$6:$B$185,MATCH(AA27,$Z$6:Z$185,0)))</f>
        <v>C5</v>
      </c>
      <c r="AD27" s="4">
        <f t="shared" si="2"/>
        <v>2</v>
      </c>
      <c r="AE27" s="4">
        <f t="shared" si="3"/>
        <v>-12</v>
      </c>
      <c r="AF27" s="113">
        <f t="shared" si="8"/>
        <v>3</v>
      </c>
      <c r="AG27" s="271">
        <f>IF(AA27="","",IF(AND(AD26=AD27,AE26=AE27,AF26=AF27),AG26,$AG$6+21))</f>
        <v>20</v>
      </c>
      <c r="AH27" s="34"/>
      <c r="AI27" s="94">
        <v>41</v>
      </c>
    </row>
    <row r="28" spans="1:35" s="23" customFormat="1" ht="18" customHeight="1">
      <c r="A28" s="282">
        <v>23</v>
      </c>
      <c r="B28" s="50">
        <f>+'Joueurs et TirageV'!C29</f>
        <v>0</v>
      </c>
      <c r="C28" s="136" t="str">
        <f>IF(ISNA(VLOOKUP(B28,RésultatsV!$B$10:$E$248,3,0)),"0",VLOOKUP(B28,RésultatsV!$B$10:$E$248,3,0))</f>
        <v>0</v>
      </c>
      <c r="D28" s="136">
        <f>IF(ISNA(VLOOKUP(B28,RésultatsV!$B$10:$E$248,4,0)),"0",VLOOKUP(B28,RésultatsV!$B$10:$E$248,4,0))</f>
        <v>0</v>
      </c>
      <c r="E28" s="136">
        <f>IF(ISNA(VLOOKUP(B28,RésultatsV!$B$10:$E$248,2,0)),"0",VLOOKUP(B28,RésultatsV!$B$10:$E$248,2,0))</f>
        <v>0</v>
      </c>
      <c r="F28" s="136">
        <f>IF(ISNA(VLOOKUP(B28,RésultatsV!$G$10:$J$248,3,0)),"0",VLOOKUP(B28,RésultatsV!$G$10:$J$248,3,0))</f>
        <v>0</v>
      </c>
      <c r="G28" s="136">
        <f>IF(ISNA(VLOOKUP(B28,RésultatsV!$G$10:$J$248,4,0)),"0",VLOOKUP(B28,RésultatsV!$G$10:$J$248,4,0))</f>
        <v>0</v>
      </c>
      <c r="H28" s="136">
        <f>IF(ISNA(VLOOKUP(B28,RésultatsV!$G$10:$J$248,2,0)),"0",VLOOKUP(B28,RésultatsV!$G$10:$J$248,2,0))</f>
        <v>0</v>
      </c>
      <c r="I28" s="136">
        <f>IF(ISNA(VLOOKUP(B28,RésultatsV!$L$10:$O$248,3,0)),"0",VLOOKUP(B28,RésultatsV!$L$10:$O$248,3,0))</f>
        <v>0</v>
      </c>
      <c r="J28" s="136">
        <f>IF(ISNA(VLOOKUP(B28,RésultatsV!$L$10:$O$248,4,0)),"0",VLOOKUP(B28,RésultatsV!$L$10:$O$248,4,0))</f>
        <v>0</v>
      </c>
      <c r="K28" s="136">
        <f>IF(ISNA(VLOOKUP(B28,RésultatsV!$L$10:$O$248,2,0)),"0",VLOOKUP(B28,RésultatsV!$L$10:$O$248,2,0))</f>
        <v>0</v>
      </c>
      <c r="L28" s="136">
        <f>IF(ISNA(VLOOKUP(B28,RésultatsV!$Q$10:$T$248,3,0)),"0",VLOOKUP(B28,RésultatsV!$Q$10:$T$248,3,0))</f>
        <v>0</v>
      </c>
      <c r="M28" s="136">
        <f>IF(ISNA(VLOOKUP(B28,RésultatsV!$Q$10:$T$248,4,0)),"0",VLOOKUP(B28,RésultatsV!$Q$10:$T$248,4,0))</f>
        <v>0</v>
      </c>
      <c r="N28" s="136">
        <f>IF(ISNA(VLOOKUP(B28,RésultatsV!$Q$10:$T$248,2,0)),"0",VLOOKUP(B28,RésultatsV!$Q$10:$T$248,2,0))</f>
        <v>0</v>
      </c>
      <c r="O28" s="136">
        <f>IF(ISNA(VLOOKUP(B28,RésultatsV!$V$10:$Y$248,3,0)),"0",VLOOKUP(B28,RésultatsV!$V$10:$Y$248,3,0))</f>
        <v>0</v>
      </c>
      <c r="P28" s="136">
        <f>IF(ISNA(VLOOKUP(B28,RésultatsV!$V$10:$Y$248,4,0)),"0",VLOOKUP(B28,RésultatsV!$V$10:$Y$248,4,0))</f>
        <v>0</v>
      </c>
      <c r="Q28" s="136">
        <f>IF(ISNA(VLOOKUP(E28,RésultatsV!$V$10:$Y$248,2,0)),"0",VLOOKUP(E28,RésultatsV!$V$10:$Y$248,2,0))</f>
        <v>0</v>
      </c>
      <c r="R28" s="136">
        <f>IF(ISNA(VLOOKUP(B28,RésultatsV!$AA$10:$AD$248,3,0)),"0",VLOOKUP(B28,RésultatsV!$AA$10:$AD$248,3,0))</f>
        <v>0</v>
      </c>
      <c r="S28" s="136">
        <f>IF(ISNA(VLOOKUP(B28,RésultatsV!$AA$10:$AD$248,4,0)),"0",VLOOKUP(B28,RésultatsV!$AA$10:$AD$248,4,0))</f>
        <v>0</v>
      </c>
      <c r="T28" s="136">
        <f>IF(ISNA(VLOOKUP(B28,RésultatsV!$AA$10:$AD$248,2,0)),"0",VLOOKUP(B28,RésultatsV!$AA$10:$AD$248,2,0))</f>
        <v>0</v>
      </c>
      <c r="U28" s="110">
        <f t="shared" si="0"/>
        <v>0</v>
      </c>
      <c r="V28" s="103">
        <f t="shared" si="1"/>
        <v>0</v>
      </c>
      <c r="W28" s="106">
        <f t="shared" si="4"/>
        <v>0</v>
      </c>
      <c r="X28" s="61">
        <f t="shared" si="10"/>
        <v>0</v>
      </c>
      <c r="Y28" s="52">
        <f t="shared" si="14"/>
        <v>0</v>
      </c>
      <c r="Z28" s="104">
        <f t="shared" si="7"/>
        <v>23.000158279999997</v>
      </c>
      <c r="AA28" s="115">
        <f>IF(B28="","",SMALL(Z$6:Z$185,ROWS(AD$6:AD28)))</f>
        <v>23.00015814</v>
      </c>
      <c r="AB28" s="270"/>
      <c r="AC28" s="4">
        <f>IF(OR(B28="",U28=""),"",INDEX($B$6:$B$185,MATCH(AA28,$Z$6:Z$185,0)))</f>
        <v>0</v>
      </c>
      <c r="AD28" s="4">
        <f t="shared" si="2"/>
        <v>0</v>
      </c>
      <c r="AE28" s="4">
        <f t="shared" si="3"/>
        <v>0</v>
      </c>
      <c r="AF28" s="113">
        <f t="shared" si="8"/>
        <v>0</v>
      </c>
      <c r="AG28" s="271">
        <f>IF(AA28="","",IF(AND(AD27=AD28,AE27=AE28,AF27=AF28),AG27,$AG$6+22))</f>
        <v>23</v>
      </c>
      <c r="AH28" s="34"/>
      <c r="AI28" s="94">
        <v>41</v>
      </c>
    </row>
    <row r="29" spans="1:35" s="23" customFormat="1" ht="18" customHeight="1">
      <c r="A29" s="282">
        <v>24</v>
      </c>
      <c r="B29" s="50">
        <f>+'Joueurs et TirageV'!C30</f>
        <v>0</v>
      </c>
      <c r="C29" s="136" t="str">
        <f>IF(ISNA(VLOOKUP(B29,RésultatsV!$B$10:$E$248,3,0)),"0",VLOOKUP(B29,RésultatsV!$B$10:$E$248,3,0))</f>
        <v>0</v>
      </c>
      <c r="D29" s="136">
        <f>IF(ISNA(VLOOKUP(B29,RésultatsV!$B$10:$E$248,4,0)),"0",VLOOKUP(B29,RésultatsV!$B$10:$E$248,4,0))</f>
        <v>0</v>
      </c>
      <c r="E29" s="136">
        <f>IF(ISNA(VLOOKUP(B29,RésultatsV!$B$10:$E$248,2,0)),"0",VLOOKUP(B29,RésultatsV!$B$10:$E$248,2,0))</f>
        <v>0</v>
      </c>
      <c r="F29" s="136">
        <f>IF(ISNA(VLOOKUP(B29,RésultatsV!$G$10:$J$248,3,0)),"0",VLOOKUP(B29,RésultatsV!$G$10:$J$248,3,0))</f>
        <v>0</v>
      </c>
      <c r="G29" s="136">
        <f>IF(ISNA(VLOOKUP(B29,RésultatsV!$G$10:$J$248,4,0)),"0",VLOOKUP(B29,RésultatsV!$G$10:$J$248,4,0))</f>
        <v>0</v>
      </c>
      <c r="H29" s="136">
        <f>IF(ISNA(VLOOKUP(B29,RésultatsV!$G$10:$J$248,2,0)),"0",VLOOKUP(B29,RésultatsV!$G$10:$J$248,2,0))</f>
        <v>0</v>
      </c>
      <c r="I29" s="136">
        <f>IF(ISNA(VLOOKUP(B29,RésultatsV!$L$10:$O$248,3,0)),"0",VLOOKUP(B29,RésultatsV!$L$10:$O$248,3,0))</f>
        <v>0</v>
      </c>
      <c r="J29" s="136">
        <f>IF(ISNA(VLOOKUP(B29,RésultatsV!$L$10:$O$248,4,0)),"0",VLOOKUP(B29,RésultatsV!$L$10:$O$248,4,0))</f>
        <v>0</v>
      </c>
      <c r="K29" s="136">
        <f>IF(ISNA(VLOOKUP(B29,RésultatsV!$L$10:$O$248,2,0)),"0",VLOOKUP(B29,RésultatsV!$L$10:$O$248,2,0))</f>
        <v>0</v>
      </c>
      <c r="L29" s="136">
        <f>IF(ISNA(VLOOKUP(B29,RésultatsV!$Q$10:$T$248,3,0)),"0",VLOOKUP(B29,RésultatsV!$Q$10:$T$248,3,0))</f>
        <v>0</v>
      </c>
      <c r="M29" s="136">
        <f>IF(ISNA(VLOOKUP(B29,RésultatsV!$Q$10:$T$248,4,0)),"0",VLOOKUP(B29,RésultatsV!$Q$10:$T$248,4,0))</f>
        <v>0</v>
      </c>
      <c r="N29" s="136">
        <f>IF(ISNA(VLOOKUP(B29,RésultatsV!$Q$10:$T$248,2,0)),"0",VLOOKUP(B29,RésultatsV!$Q$10:$T$248,2,0))</f>
        <v>0</v>
      </c>
      <c r="O29" s="136">
        <f>IF(ISNA(VLOOKUP(B29,RésultatsV!$V$10:$Y$248,3,0)),"0",VLOOKUP(B29,RésultatsV!$V$10:$Y$248,3,0))</f>
        <v>0</v>
      </c>
      <c r="P29" s="136">
        <f>IF(ISNA(VLOOKUP(B29,RésultatsV!$V$10:$Y$248,4,0)),"0",VLOOKUP(B29,RésultatsV!$V$10:$Y$248,4,0))</f>
        <v>0</v>
      </c>
      <c r="Q29" s="136">
        <f>IF(ISNA(VLOOKUP(E29,RésultatsV!$V$10:$Y$248,2,0)),"0",VLOOKUP(E29,RésultatsV!$V$10:$Y$248,2,0))</f>
        <v>0</v>
      </c>
      <c r="R29" s="136">
        <f>IF(ISNA(VLOOKUP(B29,RésultatsV!$AA$10:$AD$248,3,0)),"0",VLOOKUP(B29,RésultatsV!$AA$10:$AD$248,3,0))</f>
        <v>0</v>
      </c>
      <c r="S29" s="136">
        <f>IF(ISNA(VLOOKUP(B29,RésultatsV!$AA$10:$AD$248,4,0)),"0",VLOOKUP(B29,RésultatsV!$AA$10:$AD$248,4,0))</f>
        <v>0</v>
      </c>
      <c r="T29" s="136">
        <f>IF(ISNA(VLOOKUP(B29,RésultatsV!$AA$10:$AD$248,2,0)),"0",VLOOKUP(B29,RésultatsV!$AA$10:$AD$248,2,0))</f>
        <v>0</v>
      </c>
      <c r="U29" s="110">
        <f t="shared" si="0"/>
        <v>0</v>
      </c>
      <c r="V29" s="103">
        <f t="shared" si="1"/>
        <v>0</v>
      </c>
      <c r="W29" s="106">
        <f t="shared" si="4"/>
        <v>0</v>
      </c>
      <c r="X29" s="61">
        <f t="shared" si="10"/>
        <v>0</v>
      </c>
      <c r="Y29" s="52">
        <f t="shared" si="14"/>
        <v>0</v>
      </c>
      <c r="Z29" s="104">
        <f t="shared" si="7"/>
        <v>23.000158289999998</v>
      </c>
      <c r="AA29" s="115">
        <f>IF(B29="","",SMALL(Z$6:Z$185,ROWS(AD$6:AD29)))</f>
        <v>23.000158150000001</v>
      </c>
      <c r="AB29" s="270"/>
      <c r="AC29" s="4">
        <f>IF(OR(B29="",U29=""),"",INDEX($B$6:$B$185,MATCH(AA29,$Z$6:Z$185,0)))</f>
        <v>0</v>
      </c>
      <c r="AD29" s="4">
        <f t="shared" si="2"/>
        <v>0</v>
      </c>
      <c r="AE29" s="4">
        <f t="shared" si="3"/>
        <v>0</v>
      </c>
      <c r="AF29" s="113">
        <f t="shared" si="8"/>
        <v>0</v>
      </c>
      <c r="AG29" s="271">
        <f>IF(AA29="","",IF(AND(AD28=AD29,AE28=AE29,AF28=AF29),AG28,$AG$6+23))</f>
        <v>23</v>
      </c>
      <c r="AH29" s="34"/>
      <c r="AI29" s="94">
        <v>37</v>
      </c>
    </row>
    <row r="30" spans="1:35" s="23" customFormat="1" ht="18" customHeight="1">
      <c r="A30" s="282">
        <v>25</v>
      </c>
      <c r="B30" s="50">
        <f>+'Joueurs et TirageV'!C31</f>
        <v>0</v>
      </c>
      <c r="C30" s="136" t="str">
        <f>IF(ISNA(VLOOKUP(B30,RésultatsV!$B$10:$E$248,3,0)),"0",VLOOKUP(B30,RésultatsV!$B$10:$E$248,3,0))</f>
        <v>0</v>
      </c>
      <c r="D30" s="136">
        <f>IF(ISNA(VLOOKUP(B30,RésultatsV!$B$10:$E$248,4,0)),"0",VLOOKUP(B30,RésultatsV!$B$10:$E$248,4,0))</f>
        <v>0</v>
      </c>
      <c r="E30" s="136">
        <f>IF(ISNA(VLOOKUP(B30,RésultatsV!$B$10:$E$248,2,0)),"0",VLOOKUP(B30,RésultatsV!$B$10:$E$248,2,0))</f>
        <v>0</v>
      </c>
      <c r="F30" s="136">
        <f>IF(ISNA(VLOOKUP(B30,RésultatsV!$G$10:$J$248,3,0)),"0",VLOOKUP(B30,RésultatsV!$G$10:$J$248,3,0))</f>
        <v>0</v>
      </c>
      <c r="G30" s="136">
        <f>IF(ISNA(VLOOKUP(B30,RésultatsV!$G$10:$J$248,4,0)),"0",VLOOKUP(B30,RésultatsV!$G$10:$J$248,4,0))</f>
        <v>0</v>
      </c>
      <c r="H30" s="136">
        <f>IF(ISNA(VLOOKUP(B30,RésultatsV!$G$10:$J$248,2,0)),"0",VLOOKUP(B30,RésultatsV!$G$10:$J$248,2,0))</f>
        <v>0</v>
      </c>
      <c r="I30" s="136">
        <f>IF(ISNA(VLOOKUP(B30,RésultatsV!$L$10:$O$248,3,0)),"0",VLOOKUP(B30,RésultatsV!$L$10:$O$248,3,0))</f>
        <v>0</v>
      </c>
      <c r="J30" s="136">
        <f>IF(ISNA(VLOOKUP(B30,RésultatsV!$L$10:$O$248,4,0)),"0",VLOOKUP(B30,RésultatsV!$L$10:$O$248,4,0))</f>
        <v>0</v>
      </c>
      <c r="K30" s="136">
        <f>IF(ISNA(VLOOKUP(B30,RésultatsV!$L$10:$O$248,2,0)),"0",VLOOKUP(B30,RésultatsV!$L$10:$O$248,2,0))</f>
        <v>0</v>
      </c>
      <c r="L30" s="136">
        <f>IF(ISNA(VLOOKUP(B30,RésultatsV!$Q$10:$T$248,3,0)),"0",VLOOKUP(B30,RésultatsV!$Q$10:$T$248,3,0))</f>
        <v>0</v>
      </c>
      <c r="M30" s="136">
        <f>IF(ISNA(VLOOKUP(B30,RésultatsV!$Q$10:$T$248,4,0)),"0",VLOOKUP(B30,RésultatsV!$Q$10:$T$248,4,0))</f>
        <v>0</v>
      </c>
      <c r="N30" s="136">
        <f>IF(ISNA(VLOOKUP(B30,RésultatsV!$Q$10:$T$248,2,0)),"0",VLOOKUP(B30,RésultatsV!$Q$10:$T$248,2,0))</f>
        <v>0</v>
      </c>
      <c r="O30" s="136">
        <f>IF(ISNA(VLOOKUP(B30,RésultatsV!$V$10:$Y$248,3,0)),"0",VLOOKUP(B30,RésultatsV!$V$10:$Y$248,3,0))</f>
        <v>0</v>
      </c>
      <c r="P30" s="136">
        <f>IF(ISNA(VLOOKUP(B30,RésultatsV!$V$10:$Y$248,4,0)),"0",VLOOKUP(B30,RésultatsV!$V$10:$Y$248,4,0))</f>
        <v>0</v>
      </c>
      <c r="Q30" s="136">
        <f>IF(ISNA(VLOOKUP(E30,RésultatsV!$V$10:$Y$248,2,0)),"0",VLOOKUP(E30,RésultatsV!$V$10:$Y$248,2,0))</f>
        <v>0</v>
      </c>
      <c r="R30" s="136">
        <f>IF(ISNA(VLOOKUP(B30,RésultatsV!$AA$10:$AD$248,3,0)),"0",VLOOKUP(B30,RésultatsV!$AA$10:$AD$248,3,0))</f>
        <v>0</v>
      </c>
      <c r="S30" s="136">
        <f>IF(ISNA(VLOOKUP(B30,RésultatsV!$AA$10:$AD$248,4,0)),"0",VLOOKUP(B30,RésultatsV!$AA$10:$AD$248,4,0))</f>
        <v>0</v>
      </c>
      <c r="T30" s="136">
        <f>IF(ISNA(VLOOKUP(B30,RésultatsV!$AA$10:$AD$248,2,0)),"0",VLOOKUP(B30,RésultatsV!$AA$10:$AD$248,2,0))</f>
        <v>0</v>
      </c>
      <c r="U30" s="110">
        <f t="shared" si="0"/>
        <v>0</v>
      </c>
      <c r="V30" s="103">
        <f t="shared" si="1"/>
        <v>0</v>
      </c>
      <c r="W30" s="106">
        <f t="shared" si="4"/>
        <v>0</v>
      </c>
      <c r="X30" s="61">
        <f t="shared" si="10"/>
        <v>0</v>
      </c>
      <c r="Y30" s="52">
        <f t="shared" si="14"/>
        <v>0</v>
      </c>
      <c r="Z30" s="104">
        <f t="shared" si="7"/>
        <v>23.000158299999999</v>
      </c>
      <c r="AA30" s="115">
        <f>IF(B30="","",SMALL(Z$6:Z$185,ROWS(AD$6:AD30)))</f>
        <v>23.000158159999998</v>
      </c>
      <c r="AB30" s="270"/>
      <c r="AC30" s="4">
        <f>IF(OR(B30="",U30=""),"",INDEX($B$6:$B$185,MATCH(AA30,$Z$6:Z$185,0)))</f>
        <v>0</v>
      </c>
      <c r="AD30" s="4">
        <f t="shared" si="2"/>
        <v>0</v>
      </c>
      <c r="AE30" s="4">
        <f t="shared" si="3"/>
        <v>0</v>
      </c>
      <c r="AF30" s="113">
        <f t="shared" si="8"/>
        <v>0</v>
      </c>
      <c r="AG30" s="271">
        <f>IF(AA30="","",IF(AND(AD29=AD30,AE29=AE30,AF29=AF30),AG29,$AG$6+24))</f>
        <v>23</v>
      </c>
      <c r="AH30" s="34"/>
      <c r="AI30" s="94">
        <v>36</v>
      </c>
    </row>
    <row r="31" spans="1:35" s="23" customFormat="1" ht="18" customHeight="1">
      <c r="A31" s="282">
        <v>26</v>
      </c>
      <c r="B31" s="50">
        <f>+'Joueurs et TirageV'!C32</f>
        <v>0</v>
      </c>
      <c r="C31" s="136" t="str">
        <f>IF(ISNA(VLOOKUP(B31,RésultatsV!$B$10:$E$248,3,0)),"0",VLOOKUP(B31,RésultatsV!$B$10:$E$248,3,0))</f>
        <v>0</v>
      </c>
      <c r="D31" s="136">
        <f>IF(ISNA(VLOOKUP(B31,RésultatsV!$B$10:$E$248,4,0)),"0",VLOOKUP(B31,RésultatsV!$B$10:$E$248,4,0))</f>
        <v>0</v>
      </c>
      <c r="E31" s="136">
        <f>IF(ISNA(VLOOKUP(B31,RésultatsV!$B$10:$E$248,2,0)),"0",VLOOKUP(B31,RésultatsV!$B$10:$E$248,2,0))</f>
        <v>0</v>
      </c>
      <c r="F31" s="136">
        <f>IF(ISNA(VLOOKUP(B31,RésultatsV!$G$10:$J$248,3,0)),"0",VLOOKUP(B31,RésultatsV!$G$10:$J$248,3,0))</f>
        <v>0</v>
      </c>
      <c r="G31" s="136">
        <f>IF(ISNA(VLOOKUP(B31,RésultatsV!$G$10:$J$248,4,0)),"0",VLOOKUP(B31,RésultatsV!$G$10:$J$248,4,0))</f>
        <v>0</v>
      </c>
      <c r="H31" s="136">
        <f>IF(ISNA(VLOOKUP(B31,RésultatsV!$G$10:$J$248,2,0)),"0",VLOOKUP(B31,RésultatsV!$G$10:$J$248,2,0))</f>
        <v>0</v>
      </c>
      <c r="I31" s="136">
        <f>IF(ISNA(VLOOKUP(B31,RésultatsV!$L$10:$O$248,3,0)),"0",VLOOKUP(B31,RésultatsV!$L$10:$O$248,3,0))</f>
        <v>0</v>
      </c>
      <c r="J31" s="136">
        <f>IF(ISNA(VLOOKUP(B31,RésultatsV!$L$10:$O$248,4,0)),"0",VLOOKUP(B31,RésultatsV!$L$10:$O$248,4,0))</f>
        <v>0</v>
      </c>
      <c r="K31" s="136">
        <f>IF(ISNA(VLOOKUP(B31,RésultatsV!$L$10:$O$248,2,0)),"0",VLOOKUP(B31,RésultatsV!$L$10:$O$248,2,0))</f>
        <v>0</v>
      </c>
      <c r="L31" s="136">
        <f>IF(ISNA(VLOOKUP(B31,RésultatsV!$Q$10:$T$248,3,0)),"0",VLOOKUP(B31,RésultatsV!$Q$10:$T$248,3,0))</f>
        <v>0</v>
      </c>
      <c r="M31" s="136">
        <f>IF(ISNA(VLOOKUP(B31,RésultatsV!$Q$10:$T$248,4,0)),"0",VLOOKUP(B31,RésultatsV!$Q$10:$T$248,4,0))</f>
        <v>0</v>
      </c>
      <c r="N31" s="136">
        <f>IF(ISNA(VLOOKUP(B31,RésultatsV!$Q$10:$T$248,2,0)),"0",VLOOKUP(B31,RésultatsV!$Q$10:$T$248,2,0))</f>
        <v>0</v>
      </c>
      <c r="O31" s="136">
        <f>IF(ISNA(VLOOKUP(B31,RésultatsV!$V$10:$Y$248,3,0)),"0",VLOOKUP(B31,RésultatsV!$V$10:$Y$248,3,0))</f>
        <v>0</v>
      </c>
      <c r="P31" s="136">
        <f>IF(ISNA(VLOOKUP(B31,RésultatsV!$V$10:$Y$248,4,0)),"0",VLOOKUP(B31,RésultatsV!$V$10:$Y$248,4,0))</f>
        <v>0</v>
      </c>
      <c r="Q31" s="136">
        <f>IF(ISNA(VLOOKUP(E31,RésultatsV!$V$10:$Y$248,2,0)),"0",VLOOKUP(E31,RésultatsV!$V$10:$Y$248,2,0))</f>
        <v>0</v>
      </c>
      <c r="R31" s="136">
        <f>IF(ISNA(VLOOKUP(B31,RésultatsV!$AA$10:$AD$248,3,0)),"0",VLOOKUP(B31,RésultatsV!$AA$10:$AD$248,3,0))</f>
        <v>0</v>
      </c>
      <c r="S31" s="136">
        <f>IF(ISNA(VLOOKUP(B31,RésultatsV!$AA$10:$AD$248,4,0)),"0",VLOOKUP(B31,RésultatsV!$AA$10:$AD$248,4,0))</f>
        <v>0</v>
      </c>
      <c r="T31" s="136">
        <f>IF(ISNA(VLOOKUP(B31,RésultatsV!$AA$10:$AD$248,2,0)),"0",VLOOKUP(B31,RésultatsV!$AA$10:$AD$248,2,0))</f>
        <v>0</v>
      </c>
      <c r="U31" s="110">
        <f t="shared" si="0"/>
        <v>0</v>
      </c>
      <c r="V31" s="103">
        <f t="shared" si="1"/>
        <v>0</v>
      </c>
      <c r="W31" s="106">
        <f t="shared" si="4"/>
        <v>0</v>
      </c>
      <c r="X31" s="61">
        <f t="shared" si="10"/>
        <v>0</v>
      </c>
      <c r="Y31" s="52">
        <f t="shared" si="14"/>
        <v>0</v>
      </c>
      <c r="Z31" s="104">
        <f t="shared" si="7"/>
        <v>23.00015831</v>
      </c>
      <c r="AA31" s="115">
        <f>IF(B31="","",SMALL(Z$6:Z$185,ROWS(AD$6:AD31)))</f>
        <v>23.000158169999999</v>
      </c>
      <c r="AB31" s="270"/>
      <c r="AC31" s="4">
        <f>IF(OR(B31="",U31=""),"",INDEX($B$6:$B$185,MATCH(AA31,$Z$6:Z$185,0)))</f>
        <v>0</v>
      </c>
      <c r="AD31" s="4">
        <f t="shared" si="2"/>
        <v>0</v>
      </c>
      <c r="AE31" s="4">
        <f t="shared" si="3"/>
        <v>0</v>
      </c>
      <c r="AF31" s="113">
        <f t="shared" si="8"/>
        <v>0</v>
      </c>
      <c r="AG31" s="271">
        <f>IF(AA31="","",IF(AND(AD30=AD31,AE30=AE31,AF30=AF31),AG30,$AG$6+25))</f>
        <v>23</v>
      </c>
      <c r="AH31" s="34"/>
      <c r="AI31" s="94">
        <v>35</v>
      </c>
    </row>
    <row r="32" spans="1:35" s="23" customFormat="1" ht="18" customHeight="1">
      <c r="A32" s="282">
        <v>27</v>
      </c>
      <c r="B32" s="50">
        <f>+'Joueurs et TirageV'!C33</f>
        <v>0</v>
      </c>
      <c r="C32" s="136" t="str">
        <f>IF(ISNA(VLOOKUP(B32,RésultatsV!$B$10:$E$248,3,0)),"0",VLOOKUP(B32,RésultatsV!$B$10:$E$248,3,0))</f>
        <v>0</v>
      </c>
      <c r="D32" s="136">
        <f>IF(ISNA(VLOOKUP(B32,RésultatsV!$B$10:$E$248,4,0)),"0",VLOOKUP(B32,RésultatsV!$B$10:$E$248,4,0))</f>
        <v>0</v>
      </c>
      <c r="E32" s="136">
        <f>IF(ISNA(VLOOKUP(B32,RésultatsV!$B$10:$E$248,2,0)),"0",VLOOKUP(B32,RésultatsV!$B$10:$E$248,2,0))</f>
        <v>0</v>
      </c>
      <c r="F32" s="136">
        <f>IF(ISNA(VLOOKUP(B32,RésultatsV!$G$10:$J$248,3,0)),"0",VLOOKUP(B32,RésultatsV!$G$10:$J$248,3,0))</f>
        <v>0</v>
      </c>
      <c r="G32" s="136">
        <f>IF(ISNA(VLOOKUP(B32,RésultatsV!$G$10:$J$248,4,0)),"0",VLOOKUP(B32,RésultatsV!$G$10:$J$248,4,0))</f>
        <v>0</v>
      </c>
      <c r="H32" s="136">
        <f>IF(ISNA(VLOOKUP(B32,RésultatsV!$G$10:$J$248,2,0)),"0",VLOOKUP(B32,RésultatsV!$G$10:$J$248,2,0))</f>
        <v>0</v>
      </c>
      <c r="I32" s="136">
        <f>IF(ISNA(VLOOKUP(B32,RésultatsV!$L$10:$O$248,3,0)),"0",VLOOKUP(B32,RésultatsV!$L$10:$O$248,3,0))</f>
        <v>0</v>
      </c>
      <c r="J32" s="136">
        <f>IF(ISNA(VLOOKUP(B32,RésultatsV!$L$10:$O$248,4,0)),"0",VLOOKUP(B32,RésultatsV!$L$10:$O$248,4,0))</f>
        <v>0</v>
      </c>
      <c r="K32" s="136">
        <f>IF(ISNA(VLOOKUP(B32,RésultatsV!$L$10:$O$248,2,0)),"0",VLOOKUP(B32,RésultatsV!$L$10:$O$248,2,0))</f>
        <v>0</v>
      </c>
      <c r="L32" s="136">
        <f>IF(ISNA(VLOOKUP(B32,RésultatsV!$Q$10:$T$248,3,0)),"0",VLOOKUP(B32,RésultatsV!$Q$10:$T$248,3,0))</f>
        <v>0</v>
      </c>
      <c r="M32" s="136">
        <f>IF(ISNA(VLOOKUP(B32,RésultatsV!$Q$10:$T$248,4,0)),"0",VLOOKUP(B32,RésultatsV!$Q$10:$T$248,4,0))</f>
        <v>0</v>
      </c>
      <c r="N32" s="136">
        <f>IF(ISNA(VLOOKUP(B32,RésultatsV!$Q$10:$T$248,2,0)),"0",VLOOKUP(B32,RésultatsV!$Q$10:$T$248,2,0))</f>
        <v>0</v>
      </c>
      <c r="O32" s="136">
        <f>IF(ISNA(VLOOKUP(B32,RésultatsV!$V$10:$Y$248,3,0)),"0",VLOOKUP(B32,RésultatsV!$V$10:$Y$248,3,0))</f>
        <v>0</v>
      </c>
      <c r="P32" s="136">
        <f>IF(ISNA(VLOOKUP(B32,RésultatsV!$V$10:$Y$248,4,0)),"0",VLOOKUP(B32,RésultatsV!$V$10:$Y$248,4,0))</f>
        <v>0</v>
      </c>
      <c r="Q32" s="136">
        <f>IF(ISNA(VLOOKUP(E32,RésultatsV!$V$10:$Y$248,2,0)),"0",VLOOKUP(E32,RésultatsV!$V$10:$Y$248,2,0))</f>
        <v>0</v>
      </c>
      <c r="R32" s="136">
        <f>IF(ISNA(VLOOKUP(B32,RésultatsV!$AA$10:$AD$248,3,0)),"0",VLOOKUP(B32,RésultatsV!$AA$10:$AD$248,3,0))</f>
        <v>0</v>
      </c>
      <c r="S32" s="136">
        <f>IF(ISNA(VLOOKUP(B32,RésultatsV!$AA$10:$AD$248,4,0)),"0",VLOOKUP(B32,RésultatsV!$AA$10:$AD$248,4,0))</f>
        <v>0</v>
      </c>
      <c r="T32" s="136">
        <f>IF(ISNA(VLOOKUP(B32,RésultatsV!$AA$10:$AD$248,2,0)),"0",VLOOKUP(B32,RésultatsV!$AA$10:$AD$248,2,0))</f>
        <v>0</v>
      </c>
      <c r="U32" s="110">
        <f t="shared" si="0"/>
        <v>0</v>
      </c>
      <c r="V32" s="103">
        <f t="shared" si="1"/>
        <v>0</v>
      </c>
      <c r="W32" s="106">
        <f t="shared" si="4"/>
        <v>0</v>
      </c>
      <c r="X32" s="61">
        <f t="shared" si="10"/>
        <v>0</v>
      </c>
      <c r="Y32" s="52">
        <f t="shared" si="14"/>
        <v>0</v>
      </c>
      <c r="Z32" s="104">
        <f t="shared" si="7"/>
        <v>23.000158320000001</v>
      </c>
      <c r="AA32" s="115">
        <f>IF(B32="","",SMALL(Z$6:Z$185,ROWS(AD$6:AD32)))</f>
        <v>23.00015818</v>
      </c>
      <c r="AB32" s="270"/>
      <c r="AC32" s="4">
        <f>IF(OR(B32="",U32=""),"",INDEX($B$6:$B$185,MATCH(AA32,$Z$6:Z$185,0)))</f>
        <v>0</v>
      </c>
      <c r="AD32" s="4">
        <f t="shared" si="2"/>
        <v>0</v>
      </c>
      <c r="AE32" s="4">
        <f t="shared" si="3"/>
        <v>0</v>
      </c>
      <c r="AF32" s="113">
        <f t="shared" si="8"/>
        <v>0</v>
      </c>
      <c r="AG32" s="271">
        <f>IF(AA32="","",IF(AND(AD31=AD32,AE31=AE32,AF31=AF32),AG31,$AG$6+26))</f>
        <v>23</v>
      </c>
      <c r="AH32" s="34"/>
      <c r="AI32" s="94">
        <v>35</v>
      </c>
    </row>
    <row r="33" spans="1:35" s="23" customFormat="1" ht="18" customHeight="1">
      <c r="A33" s="282">
        <v>28</v>
      </c>
      <c r="B33" s="50">
        <f>+'Joueurs et TirageV'!C34</f>
        <v>0</v>
      </c>
      <c r="C33" s="136" t="str">
        <f>IF(ISNA(VLOOKUP(B33,RésultatsV!$B$10:$E$248,3,0)),"0",VLOOKUP(B33,RésultatsV!$B$10:$E$248,3,0))</f>
        <v>0</v>
      </c>
      <c r="D33" s="136">
        <f>IF(ISNA(VLOOKUP(B33,RésultatsV!$B$10:$E$248,4,0)),"0",VLOOKUP(B33,RésultatsV!$B$10:$E$248,4,0))</f>
        <v>0</v>
      </c>
      <c r="E33" s="136">
        <f>IF(ISNA(VLOOKUP(B33,RésultatsV!$B$10:$E$248,2,0)),"0",VLOOKUP(B33,RésultatsV!$B$10:$E$248,2,0))</f>
        <v>0</v>
      </c>
      <c r="F33" s="136">
        <f>IF(ISNA(VLOOKUP(B33,RésultatsV!$G$10:$J$248,3,0)),"0",VLOOKUP(B33,RésultatsV!$G$10:$J$248,3,0))</f>
        <v>0</v>
      </c>
      <c r="G33" s="136">
        <f>IF(ISNA(VLOOKUP(B33,RésultatsV!$G$10:$J$248,4,0)),"0",VLOOKUP(B33,RésultatsV!$G$10:$J$248,4,0))</f>
        <v>0</v>
      </c>
      <c r="H33" s="136">
        <f>IF(ISNA(VLOOKUP(B33,RésultatsV!$G$10:$J$248,2,0)),"0",VLOOKUP(B33,RésultatsV!$G$10:$J$248,2,0))</f>
        <v>0</v>
      </c>
      <c r="I33" s="136">
        <f>IF(ISNA(VLOOKUP(B33,RésultatsV!$L$10:$O$248,3,0)),"0",VLOOKUP(B33,RésultatsV!$L$10:$O$248,3,0))</f>
        <v>0</v>
      </c>
      <c r="J33" s="136">
        <f>IF(ISNA(VLOOKUP(B33,RésultatsV!$L$10:$O$248,4,0)),"0",VLOOKUP(B33,RésultatsV!$L$10:$O$248,4,0))</f>
        <v>0</v>
      </c>
      <c r="K33" s="136">
        <f>IF(ISNA(VLOOKUP(B33,RésultatsV!$L$10:$O$248,2,0)),"0",VLOOKUP(B33,RésultatsV!$L$10:$O$248,2,0))</f>
        <v>0</v>
      </c>
      <c r="L33" s="136">
        <f>IF(ISNA(VLOOKUP(B33,RésultatsV!$Q$10:$T$248,3,0)),"0",VLOOKUP(B33,RésultatsV!$Q$10:$T$248,3,0))</f>
        <v>0</v>
      </c>
      <c r="M33" s="136">
        <f>IF(ISNA(VLOOKUP(B33,RésultatsV!$Q$10:$T$248,4,0)),"0",VLOOKUP(B33,RésultatsV!$Q$10:$T$248,4,0))</f>
        <v>0</v>
      </c>
      <c r="N33" s="136">
        <f>IF(ISNA(VLOOKUP(B33,RésultatsV!$Q$10:$T$248,2,0)),"0",VLOOKUP(B33,RésultatsV!$Q$10:$T$248,2,0))</f>
        <v>0</v>
      </c>
      <c r="O33" s="136">
        <f>IF(ISNA(VLOOKUP(B33,RésultatsV!$V$10:$Y$248,3,0)),"0",VLOOKUP(B33,RésultatsV!$V$10:$Y$248,3,0))</f>
        <v>0</v>
      </c>
      <c r="P33" s="136">
        <f>IF(ISNA(VLOOKUP(B33,RésultatsV!$V$10:$Y$248,4,0)),"0",VLOOKUP(B33,RésultatsV!$V$10:$Y$248,4,0))</f>
        <v>0</v>
      </c>
      <c r="Q33" s="136">
        <f>IF(ISNA(VLOOKUP(E33,RésultatsV!$V$10:$Y$248,2,0)),"0",VLOOKUP(E33,RésultatsV!$V$10:$Y$248,2,0))</f>
        <v>0</v>
      </c>
      <c r="R33" s="136">
        <f>IF(ISNA(VLOOKUP(B33,RésultatsV!$AA$10:$AD$248,3,0)),"0",VLOOKUP(B33,RésultatsV!$AA$10:$AD$248,3,0))</f>
        <v>0</v>
      </c>
      <c r="S33" s="136">
        <f>IF(ISNA(VLOOKUP(B33,RésultatsV!$AA$10:$AD$248,4,0)),"0",VLOOKUP(B33,RésultatsV!$AA$10:$AD$248,4,0))</f>
        <v>0</v>
      </c>
      <c r="T33" s="136">
        <f>IF(ISNA(VLOOKUP(B33,RésultatsV!$AA$10:$AD$248,2,0)),"0",VLOOKUP(B33,RésultatsV!$AA$10:$AD$248,2,0))</f>
        <v>0</v>
      </c>
      <c r="U33" s="110">
        <f t="shared" si="0"/>
        <v>0</v>
      </c>
      <c r="V33" s="103">
        <f t="shared" si="1"/>
        <v>0</v>
      </c>
      <c r="W33" s="106">
        <f t="shared" si="4"/>
        <v>0</v>
      </c>
      <c r="X33" s="61">
        <f t="shared" si="10"/>
        <v>0</v>
      </c>
      <c r="Y33" s="52">
        <f t="shared" si="14"/>
        <v>0</v>
      </c>
      <c r="Z33" s="104">
        <f t="shared" si="7"/>
        <v>23.000158329999998</v>
      </c>
      <c r="AA33" s="115">
        <f>IF(B33="","",SMALL(Z$6:Z$185,ROWS(AD$6:AD33)))</f>
        <v>23.000158190000001</v>
      </c>
      <c r="AB33" s="270"/>
      <c r="AC33" s="4">
        <f>IF(OR(B33="",U33=""),"",INDEX($B$6:$B$185,MATCH(AA33,$Z$6:Z$185,0)))</f>
        <v>0</v>
      </c>
      <c r="AD33" s="4">
        <f t="shared" si="2"/>
        <v>0</v>
      </c>
      <c r="AE33" s="4">
        <f t="shared" si="3"/>
        <v>0</v>
      </c>
      <c r="AF33" s="113">
        <f t="shared" si="8"/>
        <v>0</v>
      </c>
      <c r="AG33" s="271">
        <f>IF(AA33="","",IF(AND(AD32=AD33,AE32=AE33,AF32=AF33),AG32,$AG$6+27))</f>
        <v>23</v>
      </c>
      <c r="AH33" s="34"/>
      <c r="AI33" s="94">
        <v>33</v>
      </c>
    </row>
    <row r="34" spans="1:35" s="23" customFormat="1" ht="18" customHeight="1">
      <c r="A34" s="282">
        <v>29</v>
      </c>
      <c r="B34" s="50">
        <f>+'Joueurs et TirageV'!C35</f>
        <v>0</v>
      </c>
      <c r="C34" s="136" t="str">
        <f>IF(ISNA(VLOOKUP(B34,RésultatsV!$B$10:$E$248,3,0)),"0",VLOOKUP(B34,RésultatsV!$B$10:$E$248,3,0))</f>
        <v>0</v>
      </c>
      <c r="D34" s="136">
        <f>IF(ISNA(VLOOKUP(B34,RésultatsV!$B$10:$E$248,4,0)),"0",VLOOKUP(B34,RésultatsV!$B$10:$E$248,4,0))</f>
        <v>0</v>
      </c>
      <c r="E34" s="136">
        <f>IF(ISNA(VLOOKUP(B34,RésultatsV!$B$10:$E$248,2,0)),"0",VLOOKUP(B34,RésultatsV!$B$10:$E$248,2,0))</f>
        <v>0</v>
      </c>
      <c r="F34" s="136">
        <f>IF(ISNA(VLOOKUP(B34,RésultatsV!$G$10:$J$248,3,0)),"0",VLOOKUP(B34,RésultatsV!$G$10:$J$248,3,0))</f>
        <v>0</v>
      </c>
      <c r="G34" s="136">
        <f>IF(ISNA(VLOOKUP(B34,RésultatsV!$G$10:$J$248,4,0)),"0",VLOOKUP(B34,RésultatsV!$G$10:$J$248,4,0))</f>
        <v>0</v>
      </c>
      <c r="H34" s="136">
        <f>IF(ISNA(VLOOKUP(B34,RésultatsV!$G$10:$J$248,2,0)),"0",VLOOKUP(B34,RésultatsV!$G$10:$J$248,2,0))</f>
        <v>0</v>
      </c>
      <c r="I34" s="136">
        <f>IF(ISNA(VLOOKUP(B34,RésultatsV!$L$10:$O$248,3,0)),"0",VLOOKUP(B34,RésultatsV!$L$10:$O$248,3,0))</f>
        <v>0</v>
      </c>
      <c r="J34" s="136">
        <f>IF(ISNA(VLOOKUP(B34,RésultatsV!$L$10:$O$248,4,0)),"0",VLOOKUP(B34,RésultatsV!$L$10:$O$248,4,0))</f>
        <v>0</v>
      </c>
      <c r="K34" s="136">
        <f>IF(ISNA(VLOOKUP(B34,RésultatsV!$L$10:$O$248,2,0)),"0",VLOOKUP(B34,RésultatsV!$L$10:$O$248,2,0))</f>
        <v>0</v>
      </c>
      <c r="L34" s="136">
        <f>IF(ISNA(VLOOKUP(B34,RésultatsV!$Q$10:$T$248,3,0)),"0",VLOOKUP(B34,RésultatsV!$Q$10:$T$248,3,0))</f>
        <v>0</v>
      </c>
      <c r="M34" s="136">
        <f>IF(ISNA(VLOOKUP(B34,RésultatsV!$Q$10:$T$248,4,0)),"0",VLOOKUP(B34,RésultatsV!$Q$10:$T$248,4,0))</f>
        <v>0</v>
      </c>
      <c r="N34" s="136">
        <f>IF(ISNA(VLOOKUP(B34,RésultatsV!$Q$10:$T$248,2,0)),"0",VLOOKUP(B34,RésultatsV!$Q$10:$T$248,2,0))</f>
        <v>0</v>
      </c>
      <c r="O34" s="136">
        <f>IF(ISNA(VLOOKUP(B34,RésultatsV!$V$10:$Y$248,3,0)),"0",VLOOKUP(B34,RésultatsV!$V$10:$Y$248,3,0))</f>
        <v>0</v>
      </c>
      <c r="P34" s="136">
        <f>IF(ISNA(VLOOKUP(B34,RésultatsV!$V$10:$Y$248,4,0)),"0",VLOOKUP(B34,RésultatsV!$V$10:$Y$248,4,0))</f>
        <v>0</v>
      </c>
      <c r="Q34" s="136">
        <f>IF(ISNA(VLOOKUP(E34,RésultatsV!$V$10:$Y$248,2,0)),"0",VLOOKUP(E34,RésultatsV!$V$10:$Y$248,2,0))</f>
        <v>0</v>
      </c>
      <c r="R34" s="136">
        <f>IF(ISNA(VLOOKUP(B34,RésultatsV!$AA$10:$AD$248,3,0)),"0",VLOOKUP(B34,RésultatsV!$AA$10:$AD$248,3,0))</f>
        <v>0</v>
      </c>
      <c r="S34" s="136">
        <f>IF(ISNA(VLOOKUP(B34,RésultatsV!$AA$10:$AD$248,4,0)),"0",VLOOKUP(B34,RésultatsV!$AA$10:$AD$248,4,0))</f>
        <v>0</v>
      </c>
      <c r="T34" s="136">
        <f>IF(ISNA(VLOOKUP(B34,RésultatsV!$AA$10:$AD$248,2,0)),"0",VLOOKUP(B34,RésultatsV!$AA$10:$AD$248,2,0))</f>
        <v>0</v>
      </c>
      <c r="U34" s="110">
        <f t="shared" si="0"/>
        <v>0</v>
      </c>
      <c r="V34" s="103">
        <f t="shared" si="1"/>
        <v>0</v>
      </c>
      <c r="W34" s="106">
        <f t="shared" si="4"/>
        <v>0</v>
      </c>
      <c r="X34" s="61">
        <f t="shared" si="10"/>
        <v>0</v>
      </c>
      <c r="Y34" s="52">
        <f t="shared" si="14"/>
        <v>0</v>
      </c>
      <c r="Z34" s="104">
        <f t="shared" si="7"/>
        <v>23.000158339999999</v>
      </c>
      <c r="AA34" s="115">
        <f>IF(B34="","",SMALL(Z$6:Z$185,ROWS(AD$6:AD34)))</f>
        <v>23.000158199999998</v>
      </c>
      <c r="AB34" s="270"/>
      <c r="AC34" s="4">
        <f>IF(OR(B34="",U34=""),"",INDEX($B$6:$B$185,MATCH(AA34,$Z$6:Z$185,0)))</f>
        <v>0</v>
      </c>
      <c r="AD34" s="4">
        <f t="shared" si="2"/>
        <v>0</v>
      </c>
      <c r="AE34" s="4">
        <f t="shared" si="3"/>
        <v>0</v>
      </c>
      <c r="AF34" s="113">
        <f t="shared" si="8"/>
        <v>0</v>
      </c>
      <c r="AG34" s="271">
        <f>IF(AA34="","",IF(AND(AD33=AD34,AE33=AE34,AF33=AF34),AG33,$AG$6+28))</f>
        <v>23</v>
      </c>
      <c r="AH34" s="34"/>
      <c r="AI34" s="94">
        <v>32</v>
      </c>
    </row>
    <row r="35" spans="1:35" s="23" customFormat="1" ht="18" customHeight="1">
      <c r="A35" s="282">
        <v>30</v>
      </c>
      <c r="B35" s="50">
        <f>+'Joueurs et TirageV'!C36</f>
        <v>0</v>
      </c>
      <c r="C35" s="136" t="str">
        <f>IF(ISNA(VLOOKUP(B35,RésultatsV!$B$10:$E$248,3,0)),"0",VLOOKUP(B35,RésultatsV!$B$10:$E$248,3,0))</f>
        <v>0</v>
      </c>
      <c r="D35" s="136">
        <f>IF(ISNA(VLOOKUP(B35,RésultatsV!$B$10:$E$248,4,0)),"0",VLOOKUP(B35,RésultatsV!$B$10:$E$248,4,0))</f>
        <v>0</v>
      </c>
      <c r="E35" s="136">
        <f>IF(ISNA(VLOOKUP(B35,RésultatsV!$B$10:$E$248,2,0)),"0",VLOOKUP(B35,RésultatsV!$B$10:$E$248,2,0))</f>
        <v>0</v>
      </c>
      <c r="F35" s="136">
        <f>IF(ISNA(VLOOKUP(B35,RésultatsV!$G$10:$J$248,3,0)),"0",VLOOKUP(B35,RésultatsV!$G$10:$J$248,3,0))</f>
        <v>0</v>
      </c>
      <c r="G35" s="136">
        <f>IF(ISNA(VLOOKUP(B35,RésultatsV!$G$10:$J$248,4,0)),"0",VLOOKUP(B35,RésultatsV!$G$10:$J$248,4,0))</f>
        <v>0</v>
      </c>
      <c r="H35" s="136">
        <f>IF(ISNA(VLOOKUP(B35,RésultatsV!$G$10:$J$248,2,0)),"0",VLOOKUP(B35,RésultatsV!$G$10:$J$248,2,0))</f>
        <v>0</v>
      </c>
      <c r="I35" s="136">
        <f>IF(ISNA(VLOOKUP(B35,RésultatsV!$L$10:$O$248,3,0)),"0",VLOOKUP(B35,RésultatsV!$L$10:$O$248,3,0))</f>
        <v>0</v>
      </c>
      <c r="J35" s="136">
        <f>IF(ISNA(VLOOKUP(B35,RésultatsV!$L$10:$O$248,4,0)),"0",VLOOKUP(B35,RésultatsV!$L$10:$O$248,4,0))</f>
        <v>0</v>
      </c>
      <c r="K35" s="136">
        <f>IF(ISNA(VLOOKUP(B35,RésultatsV!$L$10:$O$248,2,0)),"0",VLOOKUP(B35,RésultatsV!$L$10:$O$248,2,0))</f>
        <v>0</v>
      </c>
      <c r="L35" s="136">
        <f>IF(ISNA(VLOOKUP(B35,RésultatsV!$Q$10:$T$248,3,0)),"0",VLOOKUP(B35,RésultatsV!$Q$10:$T$248,3,0))</f>
        <v>0</v>
      </c>
      <c r="M35" s="136">
        <f>IF(ISNA(VLOOKUP(B35,RésultatsV!$Q$10:$T$248,4,0)),"0",VLOOKUP(B35,RésultatsV!$Q$10:$T$248,4,0))</f>
        <v>0</v>
      </c>
      <c r="N35" s="136">
        <f>IF(ISNA(VLOOKUP(B35,RésultatsV!$Q$10:$T$248,2,0)),"0",VLOOKUP(B35,RésultatsV!$Q$10:$T$248,2,0))</f>
        <v>0</v>
      </c>
      <c r="O35" s="136">
        <f>IF(ISNA(VLOOKUP(B35,RésultatsV!$V$10:$Y$248,3,0)),"0",VLOOKUP(B35,RésultatsV!$V$10:$Y$248,3,0))</f>
        <v>0</v>
      </c>
      <c r="P35" s="136">
        <f>IF(ISNA(VLOOKUP(B35,RésultatsV!$V$10:$Y$248,4,0)),"0",VLOOKUP(B35,RésultatsV!$V$10:$Y$248,4,0))</f>
        <v>0</v>
      </c>
      <c r="Q35" s="136">
        <f>IF(ISNA(VLOOKUP(E35,RésultatsV!$V$10:$Y$248,2,0)),"0",VLOOKUP(E35,RésultatsV!$V$10:$Y$248,2,0))</f>
        <v>0</v>
      </c>
      <c r="R35" s="136">
        <f>IF(ISNA(VLOOKUP(B35,RésultatsV!$AA$10:$AD$248,3,0)),"0",VLOOKUP(B35,RésultatsV!$AA$10:$AD$248,3,0))</f>
        <v>0</v>
      </c>
      <c r="S35" s="136">
        <f>IF(ISNA(VLOOKUP(B35,RésultatsV!$AA$10:$AD$248,4,0)),"0",VLOOKUP(B35,RésultatsV!$AA$10:$AD$248,4,0))</f>
        <v>0</v>
      </c>
      <c r="T35" s="136">
        <f>IF(ISNA(VLOOKUP(B35,RésultatsV!$AA$10:$AD$248,2,0)),"0",VLOOKUP(B35,RésultatsV!$AA$10:$AD$248,2,0))</f>
        <v>0</v>
      </c>
      <c r="U35" s="110">
        <f t="shared" si="0"/>
        <v>0</v>
      </c>
      <c r="V35" s="103">
        <f t="shared" si="1"/>
        <v>0</v>
      </c>
      <c r="W35" s="106">
        <f t="shared" si="4"/>
        <v>0</v>
      </c>
      <c r="X35" s="61">
        <f t="shared" si="10"/>
        <v>0</v>
      </c>
      <c r="Y35" s="52">
        <f t="shared" si="14"/>
        <v>0</v>
      </c>
      <c r="Z35" s="104">
        <f t="shared" si="7"/>
        <v>23.00015835</v>
      </c>
      <c r="AA35" s="115">
        <f>IF(B35="","",SMALL(Z$6:Z$185,ROWS(AD$6:AD35)))</f>
        <v>23.000158209999999</v>
      </c>
      <c r="AB35" s="270"/>
      <c r="AC35" s="4">
        <f>IF(OR(B35="",U35=""),"",INDEX($B$6:$B$185,MATCH(AA35,$Z$6:Z$185,0)))</f>
        <v>0</v>
      </c>
      <c r="AD35" s="4">
        <f t="shared" si="2"/>
        <v>0</v>
      </c>
      <c r="AE35" s="4">
        <f t="shared" si="3"/>
        <v>0</v>
      </c>
      <c r="AF35" s="113">
        <f t="shared" si="8"/>
        <v>0</v>
      </c>
      <c r="AG35" s="271">
        <f>IF(AA35="","",IF(AND(AD34=AD35,AE34=AE35,AF34=AF35),AG34,$AG$6+29))</f>
        <v>23</v>
      </c>
      <c r="AH35" s="34"/>
      <c r="AI35" s="94">
        <v>32</v>
      </c>
    </row>
    <row r="36" spans="1:35" s="23" customFormat="1" ht="18" customHeight="1">
      <c r="A36" s="282">
        <v>31</v>
      </c>
      <c r="B36" s="50">
        <f>+'Joueurs et TirageV'!C37</f>
        <v>0</v>
      </c>
      <c r="C36" s="136" t="str">
        <f>IF(ISNA(VLOOKUP(B36,RésultatsV!$B$10:$E$248,3,0)),"0",VLOOKUP(B36,RésultatsV!$B$10:$E$248,3,0))</f>
        <v>0</v>
      </c>
      <c r="D36" s="136">
        <f>IF(ISNA(VLOOKUP(B36,RésultatsV!$B$10:$E$248,4,0)),"0",VLOOKUP(B36,RésultatsV!$B$10:$E$248,4,0))</f>
        <v>0</v>
      </c>
      <c r="E36" s="136">
        <f>IF(ISNA(VLOOKUP(B36,RésultatsV!$B$10:$E$248,2,0)),"0",VLOOKUP(B36,RésultatsV!$B$10:$E$248,2,0))</f>
        <v>0</v>
      </c>
      <c r="F36" s="136">
        <f>IF(ISNA(VLOOKUP(B36,RésultatsV!$G$10:$J$248,3,0)),"0",VLOOKUP(B36,RésultatsV!$G$10:$J$248,3,0))</f>
        <v>0</v>
      </c>
      <c r="G36" s="136">
        <f>IF(ISNA(VLOOKUP(B36,RésultatsV!$G$10:$J$248,4,0)),"0",VLOOKUP(B36,RésultatsV!$G$10:$J$248,4,0))</f>
        <v>0</v>
      </c>
      <c r="H36" s="136">
        <f>IF(ISNA(VLOOKUP(B36,RésultatsV!$G$10:$J$248,2,0)),"0",VLOOKUP(B36,RésultatsV!$G$10:$J$248,2,0))</f>
        <v>0</v>
      </c>
      <c r="I36" s="136">
        <f>IF(ISNA(VLOOKUP(B36,RésultatsV!$L$10:$O$248,3,0)),"0",VLOOKUP(B36,RésultatsV!$L$10:$O$248,3,0))</f>
        <v>0</v>
      </c>
      <c r="J36" s="136">
        <f>IF(ISNA(VLOOKUP(B36,RésultatsV!$L$10:$O$248,4,0)),"0",VLOOKUP(B36,RésultatsV!$L$10:$O$248,4,0))</f>
        <v>0</v>
      </c>
      <c r="K36" s="136">
        <f>IF(ISNA(VLOOKUP(B36,RésultatsV!$L$10:$O$248,2,0)),"0",VLOOKUP(B36,RésultatsV!$L$10:$O$248,2,0))</f>
        <v>0</v>
      </c>
      <c r="L36" s="136">
        <f>IF(ISNA(VLOOKUP(B36,RésultatsV!$Q$10:$T$248,3,0)),"0",VLOOKUP(B36,RésultatsV!$Q$10:$T$248,3,0))</f>
        <v>0</v>
      </c>
      <c r="M36" s="136">
        <f>IF(ISNA(VLOOKUP(B36,RésultatsV!$Q$10:$T$248,4,0)),"0",VLOOKUP(B36,RésultatsV!$Q$10:$T$248,4,0))</f>
        <v>0</v>
      </c>
      <c r="N36" s="136">
        <f>IF(ISNA(VLOOKUP(B36,RésultatsV!$Q$10:$T$248,2,0)),"0",VLOOKUP(B36,RésultatsV!$Q$10:$T$248,2,0))</f>
        <v>0</v>
      </c>
      <c r="O36" s="136">
        <f>IF(ISNA(VLOOKUP(B36,RésultatsV!$V$10:$Y$248,3,0)),"0",VLOOKUP(B36,RésultatsV!$V$10:$Y$248,3,0))</f>
        <v>0</v>
      </c>
      <c r="P36" s="136">
        <f>IF(ISNA(VLOOKUP(B36,RésultatsV!$V$10:$Y$248,4,0)),"0",VLOOKUP(B36,RésultatsV!$V$10:$Y$248,4,0))</f>
        <v>0</v>
      </c>
      <c r="Q36" s="136">
        <f>IF(ISNA(VLOOKUP(E36,RésultatsV!$V$10:$Y$248,2,0)),"0",VLOOKUP(E36,RésultatsV!$V$10:$Y$248,2,0))</f>
        <v>0</v>
      </c>
      <c r="R36" s="136">
        <f>IF(ISNA(VLOOKUP(B36,RésultatsV!$AA$10:$AD$248,3,0)),"0",VLOOKUP(B36,RésultatsV!$AA$10:$AD$248,3,0))</f>
        <v>0</v>
      </c>
      <c r="S36" s="136">
        <f>IF(ISNA(VLOOKUP(B36,RésultatsV!$AA$10:$AD$248,4,0)),"0",VLOOKUP(B36,RésultatsV!$AA$10:$AD$248,4,0))</f>
        <v>0</v>
      </c>
      <c r="T36" s="136">
        <f>IF(ISNA(VLOOKUP(B36,RésultatsV!$AA$10:$AD$248,2,0)),"0",VLOOKUP(B36,RésultatsV!$AA$10:$AD$248,2,0))</f>
        <v>0</v>
      </c>
      <c r="U36" s="110">
        <f t="shared" si="0"/>
        <v>0</v>
      </c>
      <c r="V36" s="103">
        <f t="shared" si="1"/>
        <v>0</v>
      </c>
      <c r="W36" s="106">
        <f t="shared" si="4"/>
        <v>0</v>
      </c>
      <c r="X36" s="61">
        <f t="shared" si="10"/>
        <v>0</v>
      </c>
      <c r="Y36" s="52">
        <f t="shared" si="14"/>
        <v>0</v>
      </c>
      <c r="Z36" s="104">
        <f t="shared" si="7"/>
        <v>23.00015836</v>
      </c>
      <c r="AA36" s="115">
        <f>IF(B36="","",SMALL(Z$6:Z$185,ROWS(AD$6:AD36)))</f>
        <v>23.000158219999999</v>
      </c>
      <c r="AB36" s="270"/>
      <c r="AC36" s="4">
        <f>IF(OR(B36="",U36=""),"",INDEX($B$6:$B$185,MATCH(AA36,$Z$6:Z$185,0)))</f>
        <v>0</v>
      </c>
      <c r="AD36" s="4">
        <f t="shared" si="2"/>
        <v>0</v>
      </c>
      <c r="AE36" s="4">
        <f t="shared" si="3"/>
        <v>0</v>
      </c>
      <c r="AF36" s="113">
        <f t="shared" si="8"/>
        <v>0</v>
      </c>
      <c r="AG36" s="271">
        <f>IF(AA36="","",IF(AND(AD35=AD36,AE35=AE36,AF35=AF36),AG35,$AG$6+30))</f>
        <v>23</v>
      </c>
      <c r="AH36" s="34"/>
      <c r="AI36" s="94">
        <v>30</v>
      </c>
    </row>
    <row r="37" spans="1:35" s="23" customFormat="1" ht="18" customHeight="1">
      <c r="A37" s="282">
        <v>32</v>
      </c>
      <c r="B37" s="50">
        <f>+'Joueurs et TirageV'!C38</f>
        <v>0</v>
      </c>
      <c r="C37" s="136" t="str">
        <f>IF(ISNA(VLOOKUP(B37,RésultatsV!$B$10:$E$248,3,0)),"0",VLOOKUP(B37,RésultatsV!$B$10:$E$248,3,0))</f>
        <v>0</v>
      </c>
      <c r="D37" s="136">
        <f>IF(ISNA(VLOOKUP(B37,RésultatsV!$B$10:$E$248,4,0)),"0",VLOOKUP(B37,RésultatsV!$B$10:$E$248,4,0))</f>
        <v>0</v>
      </c>
      <c r="E37" s="136">
        <f>IF(ISNA(VLOOKUP(B37,RésultatsV!$B$10:$E$248,2,0)),"0",VLOOKUP(B37,RésultatsV!$B$10:$E$248,2,0))</f>
        <v>0</v>
      </c>
      <c r="F37" s="136">
        <f>IF(ISNA(VLOOKUP(B37,RésultatsV!$G$10:$J$248,3,0)),"0",VLOOKUP(B37,RésultatsV!$G$10:$J$248,3,0))</f>
        <v>0</v>
      </c>
      <c r="G37" s="136">
        <f>IF(ISNA(VLOOKUP(B37,RésultatsV!$G$10:$J$248,4,0)),"0",VLOOKUP(B37,RésultatsV!$G$10:$J$248,4,0))</f>
        <v>0</v>
      </c>
      <c r="H37" s="136">
        <f>IF(ISNA(VLOOKUP(B37,RésultatsV!$G$10:$J$248,2,0)),"0",VLOOKUP(B37,RésultatsV!$G$10:$J$248,2,0))</f>
        <v>0</v>
      </c>
      <c r="I37" s="136">
        <f>IF(ISNA(VLOOKUP(B37,RésultatsV!$L$10:$O$248,3,0)),"0",VLOOKUP(B37,RésultatsV!$L$10:$O$248,3,0))</f>
        <v>0</v>
      </c>
      <c r="J37" s="136">
        <f>IF(ISNA(VLOOKUP(B37,RésultatsV!$L$10:$O$248,4,0)),"0",VLOOKUP(B37,RésultatsV!$L$10:$O$248,4,0))</f>
        <v>0</v>
      </c>
      <c r="K37" s="136">
        <f>IF(ISNA(VLOOKUP(B37,RésultatsV!$L$10:$O$248,2,0)),"0",VLOOKUP(B37,RésultatsV!$L$10:$O$248,2,0))</f>
        <v>0</v>
      </c>
      <c r="L37" s="136">
        <f>IF(ISNA(VLOOKUP(B37,RésultatsV!$Q$10:$T$248,3,0)),"0",VLOOKUP(B37,RésultatsV!$Q$10:$T$248,3,0))</f>
        <v>0</v>
      </c>
      <c r="M37" s="136">
        <f>IF(ISNA(VLOOKUP(B37,RésultatsV!$Q$10:$T$248,4,0)),"0",VLOOKUP(B37,RésultatsV!$Q$10:$T$248,4,0))</f>
        <v>0</v>
      </c>
      <c r="N37" s="136">
        <f>IF(ISNA(VLOOKUP(B37,RésultatsV!$Q$10:$T$248,2,0)),"0",VLOOKUP(B37,RésultatsV!$Q$10:$T$248,2,0))</f>
        <v>0</v>
      </c>
      <c r="O37" s="136">
        <f>IF(ISNA(VLOOKUP(B37,RésultatsV!$V$10:$Y$248,3,0)),"0",VLOOKUP(B37,RésultatsV!$V$10:$Y$248,3,0))</f>
        <v>0</v>
      </c>
      <c r="P37" s="136">
        <f>IF(ISNA(VLOOKUP(B37,RésultatsV!$V$10:$Y$248,4,0)),"0",VLOOKUP(B37,RésultatsV!$V$10:$Y$248,4,0))</f>
        <v>0</v>
      </c>
      <c r="Q37" s="136">
        <f>IF(ISNA(VLOOKUP(E37,RésultatsV!$V$10:$Y$248,2,0)),"0",VLOOKUP(E37,RésultatsV!$V$10:$Y$248,2,0))</f>
        <v>0</v>
      </c>
      <c r="R37" s="136">
        <f>IF(ISNA(VLOOKUP(B37,RésultatsV!$AA$10:$AD$248,3,0)),"0",VLOOKUP(B37,RésultatsV!$AA$10:$AD$248,3,0))</f>
        <v>0</v>
      </c>
      <c r="S37" s="136">
        <f>IF(ISNA(VLOOKUP(B37,RésultatsV!$AA$10:$AD$248,4,0)),"0",VLOOKUP(B37,RésultatsV!$AA$10:$AD$248,4,0))</f>
        <v>0</v>
      </c>
      <c r="T37" s="136">
        <f>IF(ISNA(VLOOKUP(B37,RésultatsV!$AA$10:$AD$248,2,0)),"0",VLOOKUP(B37,RésultatsV!$AA$10:$AD$248,2,0))</f>
        <v>0</v>
      </c>
      <c r="U37" s="110">
        <f t="shared" si="0"/>
        <v>0</v>
      </c>
      <c r="V37" s="103">
        <f t="shared" si="1"/>
        <v>0</v>
      </c>
      <c r="W37" s="106">
        <f t="shared" si="4"/>
        <v>0</v>
      </c>
      <c r="X37" s="61">
        <f t="shared" si="10"/>
        <v>0</v>
      </c>
      <c r="Y37" s="52">
        <f t="shared" si="14"/>
        <v>0</v>
      </c>
      <c r="Z37" s="104">
        <f t="shared" si="7"/>
        <v>23.000158369999998</v>
      </c>
      <c r="AA37" s="115">
        <f>IF(B37="","",SMALL(Z$6:Z$185,ROWS(AD$6:AD37)))</f>
        <v>23.00015823</v>
      </c>
      <c r="AB37" s="270"/>
      <c r="AC37" s="4">
        <f>IF(OR(B37="",U37=""),"",INDEX($B$6:$B$185,MATCH(AA37,$Z$6:Z$185,0)))</f>
        <v>0</v>
      </c>
      <c r="AD37" s="4">
        <f t="shared" si="2"/>
        <v>0</v>
      </c>
      <c r="AE37" s="4">
        <f t="shared" si="3"/>
        <v>0</v>
      </c>
      <c r="AF37" s="113">
        <f t="shared" si="8"/>
        <v>0</v>
      </c>
      <c r="AG37" s="271">
        <f>IF(AA37="","",IF(AND(AD36=AD37,AE36=AE37,AF36=AF37),AG36,$AG$6+31))</f>
        <v>23</v>
      </c>
      <c r="AH37" s="34"/>
      <c r="AI37" s="94">
        <v>29</v>
      </c>
    </row>
    <row r="38" spans="1:35" s="23" customFormat="1" ht="18" customHeight="1">
      <c r="A38" s="282">
        <v>33</v>
      </c>
      <c r="B38" s="50">
        <f>+'Joueurs et TirageV'!C39</f>
        <v>0</v>
      </c>
      <c r="C38" s="136" t="str">
        <f>IF(ISNA(VLOOKUP(B38,RésultatsV!$B$10:$E$248,3,0)),"0",VLOOKUP(B38,RésultatsV!$B$10:$E$248,3,0))</f>
        <v>0</v>
      </c>
      <c r="D38" s="136">
        <f>IF(ISNA(VLOOKUP(B38,RésultatsV!$B$10:$E$248,4,0)),"0",VLOOKUP(B38,RésultatsV!$B$10:$E$248,4,0))</f>
        <v>0</v>
      </c>
      <c r="E38" s="136">
        <f>IF(ISNA(VLOOKUP(B38,RésultatsV!$B$10:$E$248,2,0)),"0",VLOOKUP(B38,RésultatsV!$B$10:$E$248,2,0))</f>
        <v>0</v>
      </c>
      <c r="F38" s="136">
        <f>IF(ISNA(VLOOKUP(B38,RésultatsV!$G$10:$J$248,3,0)),"0",VLOOKUP(B38,RésultatsV!$G$10:$J$248,3,0))</f>
        <v>0</v>
      </c>
      <c r="G38" s="136">
        <f>IF(ISNA(VLOOKUP(B38,RésultatsV!$G$10:$J$248,4,0)),"0",VLOOKUP(B38,RésultatsV!$G$10:$J$248,4,0))</f>
        <v>0</v>
      </c>
      <c r="H38" s="136">
        <f>IF(ISNA(VLOOKUP(B38,RésultatsV!$G$10:$J$248,2,0)),"0",VLOOKUP(B38,RésultatsV!$G$10:$J$248,2,0))</f>
        <v>0</v>
      </c>
      <c r="I38" s="136">
        <f>IF(ISNA(VLOOKUP(B38,RésultatsV!$L$10:$O$248,3,0)),"0",VLOOKUP(B38,RésultatsV!$L$10:$O$248,3,0))</f>
        <v>0</v>
      </c>
      <c r="J38" s="136">
        <f>IF(ISNA(VLOOKUP(B38,RésultatsV!$L$10:$O$248,4,0)),"0",VLOOKUP(B38,RésultatsV!$L$10:$O$248,4,0))</f>
        <v>0</v>
      </c>
      <c r="K38" s="136">
        <f>IF(ISNA(VLOOKUP(B38,RésultatsV!$L$10:$O$248,2,0)),"0",VLOOKUP(B38,RésultatsV!$L$10:$O$248,2,0))</f>
        <v>0</v>
      </c>
      <c r="L38" s="136">
        <f>IF(ISNA(VLOOKUP(B38,RésultatsV!$Q$10:$T$248,3,0)),"0",VLOOKUP(B38,RésultatsV!$Q$10:$T$248,3,0))</f>
        <v>0</v>
      </c>
      <c r="M38" s="136">
        <f>IF(ISNA(VLOOKUP(B38,RésultatsV!$Q$10:$T$248,4,0)),"0",VLOOKUP(B38,RésultatsV!$Q$10:$T$248,4,0))</f>
        <v>0</v>
      </c>
      <c r="N38" s="136">
        <f>IF(ISNA(VLOOKUP(B38,RésultatsV!$Q$10:$T$248,2,0)),"0",VLOOKUP(B38,RésultatsV!$Q$10:$T$248,2,0))</f>
        <v>0</v>
      </c>
      <c r="O38" s="136">
        <f>IF(ISNA(VLOOKUP(B38,RésultatsV!$V$10:$Y$248,3,0)),"0",VLOOKUP(B38,RésultatsV!$V$10:$Y$248,3,0))</f>
        <v>0</v>
      </c>
      <c r="P38" s="136">
        <f>IF(ISNA(VLOOKUP(B38,RésultatsV!$V$10:$Y$248,4,0)),"0",VLOOKUP(B38,RésultatsV!$V$10:$Y$248,4,0))</f>
        <v>0</v>
      </c>
      <c r="Q38" s="136">
        <f>IF(ISNA(VLOOKUP(E38,RésultatsV!$V$10:$Y$248,2,0)),"0",VLOOKUP(E38,RésultatsV!$V$10:$Y$248,2,0))</f>
        <v>0</v>
      </c>
      <c r="R38" s="136">
        <f>IF(ISNA(VLOOKUP(B38,RésultatsV!$AA$10:$AD$248,3,0)),"0",VLOOKUP(B38,RésultatsV!$AA$10:$AD$248,3,0))</f>
        <v>0</v>
      </c>
      <c r="S38" s="136">
        <f>IF(ISNA(VLOOKUP(B38,RésultatsV!$AA$10:$AD$248,4,0)),"0",VLOOKUP(B38,RésultatsV!$AA$10:$AD$248,4,0))</f>
        <v>0</v>
      </c>
      <c r="T38" s="136">
        <f>IF(ISNA(VLOOKUP(B38,RésultatsV!$AA$10:$AD$248,2,0)),"0",VLOOKUP(B38,RésultatsV!$AA$10:$AD$248,2,0))</f>
        <v>0</v>
      </c>
      <c r="U38" s="110">
        <f t="shared" ref="U38:U69" si="15">SUMIFS(C38:R38,$C$5:$R$5,"Pts",C38:R38,"&lt;&gt;#N/A")</f>
        <v>0</v>
      </c>
      <c r="V38" s="103">
        <f t="shared" ref="V38:V69" si="16">SUMIFS(D38:S38,$D$5:$S$5,"GA",D38:S38,"&lt;&gt;#N/A")</f>
        <v>0</v>
      </c>
      <c r="W38" s="106">
        <f t="shared" si="4"/>
        <v>0</v>
      </c>
      <c r="X38" s="61">
        <f t="shared" si="10"/>
        <v>0</v>
      </c>
      <c r="Y38" s="52">
        <f t="shared" si="14"/>
        <v>0</v>
      </c>
      <c r="Z38" s="104">
        <f t="shared" si="7"/>
        <v>23.000158379999998</v>
      </c>
      <c r="AA38" s="115">
        <f>IF(B38="","",SMALL(Z$6:Z$185,ROWS(AD$6:AD38)))</f>
        <v>23.000158239999998</v>
      </c>
      <c r="AB38" s="270"/>
      <c r="AC38" s="4">
        <f>IF(OR(B38="",U38=""),"",INDEX($B$6:$B$185,MATCH(AA38,$Z$6:Z$185,0)))</f>
        <v>0</v>
      </c>
      <c r="AD38" s="4">
        <f t="shared" ref="AD38:AD69" si="17">IF(B38="","",INDEX($U$6:$U$185,MATCH(AA38,$Z$6:$Z$185,0)))</f>
        <v>0</v>
      </c>
      <c r="AE38" s="4">
        <f t="shared" ref="AE38:AE69" si="18">IF(B38="","",INDEX($V$6:$V$185,MATCH(AA38,$Z$6:$Z$185,0)))</f>
        <v>0</v>
      </c>
      <c r="AF38" s="113">
        <f t="shared" si="8"/>
        <v>0</v>
      </c>
      <c r="AG38" s="271">
        <f>IF(AA38="","",IF(AND(AD37=AD38,AE37=AE38,AF37=AF38),AG37,$AG$6+32))</f>
        <v>23</v>
      </c>
      <c r="AH38" s="34"/>
      <c r="AI38" s="94">
        <v>28</v>
      </c>
    </row>
    <row r="39" spans="1:35" s="23" customFormat="1" ht="18" customHeight="1">
      <c r="A39" s="282">
        <v>34</v>
      </c>
      <c r="B39" s="50">
        <f>+'Joueurs et TirageV'!C40</f>
        <v>0</v>
      </c>
      <c r="C39" s="136" t="str">
        <f>IF(ISNA(VLOOKUP(B39,RésultatsV!$B$10:$E$248,3,0)),"0",VLOOKUP(B39,RésultatsV!$B$10:$E$248,3,0))</f>
        <v>0</v>
      </c>
      <c r="D39" s="136">
        <f>IF(ISNA(VLOOKUP(B39,RésultatsV!$B$10:$E$248,4,0)),"0",VLOOKUP(B39,RésultatsV!$B$10:$E$248,4,0))</f>
        <v>0</v>
      </c>
      <c r="E39" s="136">
        <f>IF(ISNA(VLOOKUP(B39,RésultatsV!$B$10:$E$248,2,0)),"0",VLOOKUP(B39,RésultatsV!$B$10:$E$248,2,0))</f>
        <v>0</v>
      </c>
      <c r="F39" s="136">
        <f>IF(ISNA(VLOOKUP(B39,RésultatsV!$G$10:$J$248,3,0)),"0",VLOOKUP(B39,RésultatsV!$G$10:$J$248,3,0))</f>
        <v>0</v>
      </c>
      <c r="G39" s="136">
        <f>IF(ISNA(VLOOKUP(B39,RésultatsV!$G$10:$J$248,4,0)),"0",VLOOKUP(B39,RésultatsV!$G$10:$J$248,4,0))</f>
        <v>0</v>
      </c>
      <c r="H39" s="136">
        <f>IF(ISNA(VLOOKUP(B39,RésultatsV!$G$10:$J$248,2,0)),"0",VLOOKUP(B39,RésultatsV!$G$10:$J$248,2,0))</f>
        <v>0</v>
      </c>
      <c r="I39" s="136">
        <f>IF(ISNA(VLOOKUP(B39,RésultatsV!$L$10:$O$248,3,0)),"0",VLOOKUP(B39,RésultatsV!$L$10:$O$248,3,0))</f>
        <v>0</v>
      </c>
      <c r="J39" s="136">
        <f>IF(ISNA(VLOOKUP(B39,RésultatsV!$L$10:$O$248,4,0)),"0",VLOOKUP(B39,RésultatsV!$L$10:$O$248,4,0))</f>
        <v>0</v>
      </c>
      <c r="K39" s="136">
        <f>IF(ISNA(VLOOKUP(B39,RésultatsV!$L$10:$O$248,2,0)),"0",VLOOKUP(B39,RésultatsV!$L$10:$O$248,2,0))</f>
        <v>0</v>
      </c>
      <c r="L39" s="136">
        <f>IF(ISNA(VLOOKUP(B39,RésultatsV!$Q$10:$T$248,3,0)),"0",VLOOKUP(B39,RésultatsV!$Q$10:$T$248,3,0))</f>
        <v>0</v>
      </c>
      <c r="M39" s="136">
        <f>IF(ISNA(VLOOKUP(B39,RésultatsV!$Q$10:$T$248,4,0)),"0",VLOOKUP(B39,RésultatsV!$Q$10:$T$248,4,0))</f>
        <v>0</v>
      </c>
      <c r="N39" s="136">
        <f>IF(ISNA(VLOOKUP(B39,RésultatsV!$Q$10:$T$248,2,0)),"0",VLOOKUP(B39,RésultatsV!$Q$10:$T$248,2,0))</f>
        <v>0</v>
      </c>
      <c r="O39" s="136">
        <f>IF(ISNA(VLOOKUP(B39,RésultatsV!$V$10:$Y$248,3,0)),"0",VLOOKUP(B39,RésultatsV!$V$10:$Y$248,3,0))</f>
        <v>0</v>
      </c>
      <c r="P39" s="136">
        <f>IF(ISNA(VLOOKUP(B39,RésultatsV!$V$10:$Y$248,4,0)),"0",VLOOKUP(B39,RésultatsV!$V$10:$Y$248,4,0))</f>
        <v>0</v>
      </c>
      <c r="Q39" s="136">
        <f>IF(ISNA(VLOOKUP(E39,RésultatsV!$V$10:$Y$248,2,0)),"0",VLOOKUP(E39,RésultatsV!$V$10:$Y$248,2,0))</f>
        <v>0</v>
      </c>
      <c r="R39" s="136">
        <f>IF(ISNA(VLOOKUP(B39,RésultatsV!$AA$10:$AD$248,3,0)),"0",VLOOKUP(B39,RésultatsV!$AA$10:$AD$248,3,0))</f>
        <v>0</v>
      </c>
      <c r="S39" s="136">
        <f>IF(ISNA(VLOOKUP(B39,RésultatsV!$AA$10:$AD$248,4,0)),"0",VLOOKUP(B39,RésultatsV!$AA$10:$AD$248,4,0))</f>
        <v>0</v>
      </c>
      <c r="T39" s="136">
        <f>IF(ISNA(VLOOKUP(B39,RésultatsV!$AA$10:$AD$248,2,0)),"0",VLOOKUP(B39,RésultatsV!$AA$10:$AD$248,2,0))</f>
        <v>0</v>
      </c>
      <c r="U39" s="110">
        <f t="shared" si="15"/>
        <v>0</v>
      </c>
      <c r="V39" s="103">
        <f t="shared" si="16"/>
        <v>0</v>
      </c>
      <c r="W39" s="106">
        <f t="shared" si="4"/>
        <v>0</v>
      </c>
      <c r="X39" s="61">
        <f t="shared" si="10"/>
        <v>0</v>
      </c>
      <c r="Y39" s="52">
        <f t="shared" si="14"/>
        <v>0</v>
      </c>
      <c r="Z39" s="104">
        <f t="shared" si="7"/>
        <v>23.000158389999999</v>
      </c>
      <c r="AA39" s="115">
        <f>IF(B39="","",SMALL(Z$6:Z$185,ROWS(AD$6:AD39)))</f>
        <v>23.000158249999998</v>
      </c>
      <c r="AB39" s="270"/>
      <c r="AC39" s="4">
        <f>IF(OR(B39="",U39=""),"",INDEX($B$6:$B$185,MATCH(AA39,$Z$6:Z$185,0)))</f>
        <v>0</v>
      </c>
      <c r="AD39" s="4">
        <f t="shared" si="17"/>
        <v>0</v>
      </c>
      <c r="AE39" s="4">
        <f t="shared" si="18"/>
        <v>0</v>
      </c>
      <c r="AF39" s="113">
        <f t="shared" si="8"/>
        <v>0</v>
      </c>
      <c r="AG39" s="271">
        <f>IF(AA39="","",IF(AND(AD38=AD39,AE38=AE39,AF38=AF39),AG38,$AG$6+33))</f>
        <v>23</v>
      </c>
      <c r="AH39" s="34"/>
      <c r="AI39" s="94">
        <v>27</v>
      </c>
    </row>
    <row r="40" spans="1:35" s="23" customFormat="1" ht="18" customHeight="1">
      <c r="A40" s="282">
        <v>35</v>
      </c>
      <c r="B40" s="50">
        <f>+'Joueurs et TirageV'!C41</f>
        <v>0</v>
      </c>
      <c r="C40" s="136" t="str">
        <f>IF(ISNA(VLOOKUP(B40,RésultatsV!$B$10:$E$248,3,0)),"0",VLOOKUP(B40,RésultatsV!$B$10:$E$248,3,0))</f>
        <v>0</v>
      </c>
      <c r="D40" s="136">
        <f>IF(ISNA(VLOOKUP(B40,RésultatsV!$B$10:$E$248,4,0)),"0",VLOOKUP(B40,RésultatsV!$B$10:$E$248,4,0))</f>
        <v>0</v>
      </c>
      <c r="E40" s="136">
        <f>IF(ISNA(VLOOKUP(B40,RésultatsV!$B$10:$E$248,2,0)),"0",VLOOKUP(B40,RésultatsV!$B$10:$E$248,2,0))</f>
        <v>0</v>
      </c>
      <c r="F40" s="136">
        <f>IF(ISNA(VLOOKUP(B40,RésultatsV!$G$10:$J$248,3,0)),"0",VLOOKUP(B40,RésultatsV!$G$10:$J$248,3,0))</f>
        <v>0</v>
      </c>
      <c r="G40" s="136">
        <f>IF(ISNA(VLOOKUP(B40,RésultatsV!$G$10:$J$248,4,0)),"0",VLOOKUP(B40,RésultatsV!$G$10:$J$248,4,0))</f>
        <v>0</v>
      </c>
      <c r="H40" s="136">
        <f>IF(ISNA(VLOOKUP(B40,RésultatsV!$G$10:$J$248,2,0)),"0",VLOOKUP(B40,RésultatsV!$G$10:$J$248,2,0))</f>
        <v>0</v>
      </c>
      <c r="I40" s="136">
        <f>IF(ISNA(VLOOKUP(B40,RésultatsV!$L$10:$O$248,3,0)),"0",VLOOKUP(B40,RésultatsV!$L$10:$O$248,3,0))</f>
        <v>0</v>
      </c>
      <c r="J40" s="136">
        <f>IF(ISNA(VLOOKUP(B40,RésultatsV!$L$10:$O$248,4,0)),"0",VLOOKUP(B40,RésultatsV!$L$10:$O$248,4,0))</f>
        <v>0</v>
      </c>
      <c r="K40" s="136">
        <f>IF(ISNA(VLOOKUP(B40,RésultatsV!$L$10:$O$248,2,0)),"0",VLOOKUP(B40,RésultatsV!$L$10:$O$248,2,0))</f>
        <v>0</v>
      </c>
      <c r="L40" s="136">
        <f>IF(ISNA(VLOOKUP(B40,RésultatsV!$Q$10:$T$248,3,0)),"0",VLOOKUP(B40,RésultatsV!$Q$10:$T$248,3,0))</f>
        <v>0</v>
      </c>
      <c r="M40" s="136">
        <f>IF(ISNA(VLOOKUP(B40,RésultatsV!$Q$10:$T$248,4,0)),"0",VLOOKUP(B40,RésultatsV!$Q$10:$T$248,4,0))</f>
        <v>0</v>
      </c>
      <c r="N40" s="136">
        <f>IF(ISNA(VLOOKUP(B40,RésultatsV!$Q$10:$T$248,2,0)),"0",VLOOKUP(B40,RésultatsV!$Q$10:$T$248,2,0))</f>
        <v>0</v>
      </c>
      <c r="O40" s="136">
        <f>IF(ISNA(VLOOKUP(B40,RésultatsV!$V$10:$Y$248,3,0)),"0",VLOOKUP(B40,RésultatsV!$V$10:$Y$248,3,0))</f>
        <v>0</v>
      </c>
      <c r="P40" s="136">
        <f>IF(ISNA(VLOOKUP(B40,RésultatsV!$V$10:$Y$248,4,0)),"0",VLOOKUP(B40,RésultatsV!$V$10:$Y$248,4,0))</f>
        <v>0</v>
      </c>
      <c r="Q40" s="136">
        <f>IF(ISNA(VLOOKUP(E40,RésultatsV!$V$10:$Y$248,2,0)),"0",VLOOKUP(E40,RésultatsV!$V$10:$Y$248,2,0))</f>
        <v>0</v>
      </c>
      <c r="R40" s="136">
        <f>IF(ISNA(VLOOKUP(B40,RésultatsV!$AA$10:$AD$248,3,0)),"0",VLOOKUP(B40,RésultatsV!$AA$10:$AD$248,3,0))</f>
        <v>0</v>
      </c>
      <c r="S40" s="136">
        <f>IF(ISNA(VLOOKUP(B40,RésultatsV!$AA$10:$AD$248,4,0)),"0",VLOOKUP(B40,RésultatsV!$AA$10:$AD$248,4,0))</f>
        <v>0</v>
      </c>
      <c r="T40" s="136">
        <f>IF(ISNA(VLOOKUP(B40,RésultatsV!$AA$10:$AD$248,2,0)),"0",VLOOKUP(B40,RésultatsV!$AA$10:$AD$248,2,0))</f>
        <v>0</v>
      </c>
      <c r="U40" s="110">
        <f t="shared" si="15"/>
        <v>0</v>
      </c>
      <c r="V40" s="103">
        <f t="shared" si="16"/>
        <v>0</v>
      </c>
      <c r="W40" s="106">
        <f t="shared" si="4"/>
        <v>0</v>
      </c>
      <c r="X40" s="61">
        <f t="shared" si="10"/>
        <v>0</v>
      </c>
      <c r="Y40" s="52">
        <f t="shared" si="14"/>
        <v>0</v>
      </c>
      <c r="Z40" s="104">
        <f t="shared" si="7"/>
        <v>23.0001584</v>
      </c>
      <c r="AA40" s="115">
        <f>IF(B40="","",SMALL(Z$6:Z$185,ROWS(AD$6:AD40)))</f>
        <v>23.000158259999999</v>
      </c>
      <c r="AB40" s="270"/>
      <c r="AC40" s="4">
        <f>IF(OR(B40="",U40=""),"",INDEX($B$6:$B$185,MATCH(AA40,$Z$6:Z$185,0)))</f>
        <v>0</v>
      </c>
      <c r="AD40" s="4">
        <f t="shared" si="17"/>
        <v>0</v>
      </c>
      <c r="AE40" s="4">
        <f t="shared" si="18"/>
        <v>0</v>
      </c>
      <c r="AF40" s="113">
        <f t="shared" si="8"/>
        <v>0</v>
      </c>
      <c r="AG40" s="271">
        <f>IF(AA40="","",IF(AND(AD39=AD40,AE39=AE40,AF39=AF40),AG39,$AG$6+34))</f>
        <v>23</v>
      </c>
      <c r="AH40" s="34"/>
      <c r="AI40" s="94">
        <v>26</v>
      </c>
    </row>
    <row r="41" spans="1:35" s="23" customFormat="1" ht="18" customHeight="1">
      <c r="A41" s="282">
        <v>36</v>
      </c>
      <c r="B41" s="50">
        <f>+'Joueurs et TirageV'!C42</f>
        <v>0</v>
      </c>
      <c r="C41" s="136" t="str">
        <f>IF(ISNA(VLOOKUP(B41,RésultatsV!$B$10:$E$248,3,0)),"0",VLOOKUP(B41,RésultatsV!$B$10:$E$248,3,0))</f>
        <v>0</v>
      </c>
      <c r="D41" s="136">
        <f>IF(ISNA(VLOOKUP(B41,RésultatsV!$B$10:$E$248,4,0)),"0",VLOOKUP(B41,RésultatsV!$B$10:$E$248,4,0))</f>
        <v>0</v>
      </c>
      <c r="E41" s="136">
        <f>IF(ISNA(VLOOKUP(B41,RésultatsV!$B$10:$E$248,2,0)),"0",VLOOKUP(B41,RésultatsV!$B$10:$E$248,2,0))</f>
        <v>0</v>
      </c>
      <c r="F41" s="136">
        <f>IF(ISNA(VLOOKUP(B41,RésultatsV!$G$10:$J$248,3,0)),"0",VLOOKUP(B41,RésultatsV!$G$10:$J$248,3,0))</f>
        <v>0</v>
      </c>
      <c r="G41" s="136">
        <f>IF(ISNA(VLOOKUP(B41,RésultatsV!$G$10:$J$248,4,0)),"0",VLOOKUP(B41,RésultatsV!$G$10:$J$248,4,0))</f>
        <v>0</v>
      </c>
      <c r="H41" s="136">
        <f>IF(ISNA(VLOOKUP(B41,RésultatsV!$G$10:$J$248,2,0)),"0",VLOOKUP(B41,RésultatsV!$G$10:$J$248,2,0))</f>
        <v>0</v>
      </c>
      <c r="I41" s="136">
        <f>IF(ISNA(VLOOKUP(B41,RésultatsV!$L$10:$O$248,3,0)),"0",VLOOKUP(B41,RésultatsV!$L$10:$O$248,3,0))</f>
        <v>0</v>
      </c>
      <c r="J41" s="136">
        <f>IF(ISNA(VLOOKUP(B41,RésultatsV!$L$10:$O$248,4,0)),"0",VLOOKUP(B41,RésultatsV!$L$10:$O$248,4,0))</f>
        <v>0</v>
      </c>
      <c r="K41" s="136">
        <f>IF(ISNA(VLOOKUP(B41,RésultatsV!$L$10:$O$248,2,0)),"0",VLOOKUP(B41,RésultatsV!$L$10:$O$248,2,0))</f>
        <v>0</v>
      </c>
      <c r="L41" s="136">
        <f>IF(ISNA(VLOOKUP(B41,RésultatsV!$Q$10:$T$248,3,0)),"0",VLOOKUP(B41,RésultatsV!$Q$10:$T$248,3,0))</f>
        <v>0</v>
      </c>
      <c r="M41" s="136">
        <f>IF(ISNA(VLOOKUP(B41,RésultatsV!$Q$10:$T$248,4,0)),"0",VLOOKUP(B41,RésultatsV!$Q$10:$T$248,4,0))</f>
        <v>0</v>
      </c>
      <c r="N41" s="136">
        <f>IF(ISNA(VLOOKUP(B41,RésultatsV!$Q$10:$T$248,2,0)),"0",VLOOKUP(B41,RésultatsV!$Q$10:$T$248,2,0))</f>
        <v>0</v>
      </c>
      <c r="O41" s="136">
        <f>IF(ISNA(VLOOKUP(B41,RésultatsV!$V$10:$Y$248,3,0)),"0",VLOOKUP(B41,RésultatsV!$V$10:$Y$248,3,0))</f>
        <v>0</v>
      </c>
      <c r="P41" s="136">
        <f>IF(ISNA(VLOOKUP(B41,RésultatsV!$V$10:$Y$248,4,0)),"0",VLOOKUP(B41,RésultatsV!$V$10:$Y$248,4,0))</f>
        <v>0</v>
      </c>
      <c r="Q41" s="136">
        <f>IF(ISNA(VLOOKUP(E41,RésultatsV!$V$10:$Y$248,2,0)),"0",VLOOKUP(E41,RésultatsV!$V$10:$Y$248,2,0))</f>
        <v>0</v>
      </c>
      <c r="R41" s="136">
        <f>IF(ISNA(VLOOKUP(B41,RésultatsV!$AA$10:$AD$248,3,0)),"0",VLOOKUP(B41,RésultatsV!$AA$10:$AD$248,3,0))</f>
        <v>0</v>
      </c>
      <c r="S41" s="136">
        <f>IF(ISNA(VLOOKUP(B41,RésultatsV!$AA$10:$AD$248,4,0)),"0",VLOOKUP(B41,RésultatsV!$AA$10:$AD$248,4,0))</f>
        <v>0</v>
      </c>
      <c r="T41" s="136">
        <f>IF(ISNA(VLOOKUP(B41,RésultatsV!$AA$10:$AD$248,2,0)),"0",VLOOKUP(B41,RésultatsV!$AA$10:$AD$248,2,0))</f>
        <v>0</v>
      </c>
      <c r="U41" s="110">
        <f t="shared" si="15"/>
        <v>0</v>
      </c>
      <c r="V41" s="103">
        <f t="shared" si="16"/>
        <v>0</v>
      </c>
      <c r="W41" s="106">
        <f t="shared" si="4"/>
        <v>0</v>
      </c>
      <c r="X41" s="61">
        <f t="shared" si="10"/>
        <v>0</v>
      </c>
      <c r="Y41" s="52">
        <f t="shared" si="14"/>
        <v>0</v>
      </c>
      <c r="Z41" s="104">
        <f t="shared" si="7"/>
        <v>23.000158409999997</v>
      </c>
      <c r="AA41" s="115">
        <f>IF(B41="","",SMALL(Z$6:Z$185,ROWS(AD$6:AD41)))</f>
        <v>23.00015827</v>
      </c>
      <c r="AB41" s="270"/>
      <c r="AC41" s="4">
        <f>IF(OR(B41="",U41=""),"",INDEX($B$6:$B$185,MATCH(AA41,$Z$6:Z$185,0)))</f>
        <v>0</v>
      </c>
      <c r="AD41" s="4">
        <f t="shared" si="17"/>
        <v>0</v>
      </c>
      <c r="AE41" s="4">
        <f t="shared" si="18"/>
        <v>0</v>
      </c>
      <c r="AF41" s="113">
        <f t="shared" si="8"/>
        <v>0</v>
      </c>
      <c r="AG41" s="271">
        <f>IF(AA41="","",IF(AND(AD40=AD41,AE40=AE41,AF40=AF41),AG40,$AG$6+35))</f>
        <v>23</v>
      </c>
      <c r="AH41" s="34"/>
      <c r="AI41" s="94">
        <v>25</v>
      </c>
    </row>
    <row r="42" spans="1:35" s="23" customFormat="1" ht="18" customHeight="1">
      <c r="A42" s="282">
        <v>37</v>
      </c>
      <c r="B42" s="50">
        <f>+'Joueurs et TirageV'!C43</f>
        <v>0</v>
      </c>
      <c r="C42" s="136" t="str">
        <f>IF(ISNA(VLOOKUP(B42,RésultatsV!$B$10:$E$248,3,0)),"0",VLOOKUP(B42,RésultatsV!$B$10:$E$248,3,0))</f>
        <v>0</v>
      </c>
      <c r="D42" s="136">
        <f>IF(ISNA(VLOOKUP(B42,RésultatsV!$B$10:$E$248,4,0)),"0",VLOOKUP(B42,RésultatsV!$B$10:$E$248,4,0))</f>
        <v>0</v>
      </c>
      <c r="E42" s="136">
        <f>IF(ISNA(VLOOKUP(B42,RésultatsV!$B$10:$E$248,2,0)),"0",VLOOKUP(B42,RésultatsV!$B$10:$E$248,2,0))</f>
        <v>0</v>
      </c>
      <c r="F42" s="136">
        <f>IF(ISNA(VLOOKUP(B42,RésultatsV!$G$10:$J$248,3,0)),"0",VLOOKUP(B42,RésultatsV!$G$10:$J$248,3,0))</f>
        <v>0</v>
      </c>
      <c r="G42" s="136">
        <f>IF(ISNA(VLOOKUP(B42,RésultatsV!$G$10:$J$248,4,0)),"0",VLOOKUP(B42,RésultatsV!$G$10:$J$248,4,0))</f>
        <v>0</v>
      </c>
      <c r="H42" s="136">
        <f>IF(ISNA(VLOOKUP(B42,RésultatsV!$G$10:$J$248,2,0)),"0",VLOOKUP(B42,RésultatsV!$G$10:$J$248,2,0))</f>
        <v>0</v>
      </c>
      <c r="I42" s="136">
        <f>IF(ISNA(VLOOKUP(B42,RésultatsV!$L$10:$O$248,3,0)),"0",VLOOKUP(B42,RésultatsV!$L$10:$O$248,3,0))</f>
        <v>0</v>
      </c>
      <c r="J42" s="136">
        <f>IF(ISNA(VLOOKUP(B42,RésultatsV!$L$10:$O$248,4,0)),"0",VLOOKUP(B42,RésultatsV!$L$10:$O$248,4,0))</f>
        <v>0</v>
      </c>
      <c r="K42" s="136">
        <f>IF(ISNA(VLOOKUP(B42,RésultatsV!$L$10:$O$248,2,0)),"0",VLOOKUP(B42,RésultatsV!$L$10:$O$248,2,0))</f>
        <v>0</v>
      </c>
      <c r="L42" s="136">
        <f>IF(ISNA(VLOOKUP(B42,RésultatsV!$Q$10:$T$248,3,0)),"0",VLOOKUP(B42,RésultatsV!$Q$10:$T$248,3,0))</f>
        <v>0</v>
      </c>
      <c r="M42" s="136">
        <f>IF(ISNA(VLOOKUP(B42,RésultatsV!$Q$10:$T$248,4,0)),"0",VLOOKUP(B42,RésultatsV!$Q$10:$T$248,4,0))</f>
        <v>0</v>
      </c>
      <c r="N42" s="136">
        <f>IF(ISNA(VLOOKUP(B42,RésultatsV!$Q$10:$T$248,2,0)),"0",VLOOKUP(B42,RésultatsV!$Q$10:$T$248,2,0))</f>
        <v>0</v>
      </c>
      <c r="O42" s="136">
        <f>IF(ISNA(VLOOKUP(B42,RésultatsV!$V$10:$Y$248,3,0)),"0",VLOOKUP(B42,RésultatsV!$V$10:$Y$248,3,0))</f>
        <v>0</v>
      </c>
      <c r="P42" s="136">
        <f>IF(ISNA(VLOOKUP(B42,RésultatsV!$V$10:$Y$248,4,0)),"0",VLOOKUP(B42,RésultatsV!$V$10:$Y$248,4,0))</f>
        <v>0</v>
      </c>
      <c r="Q42" s="136">
        <f>IF(ISNA(VLOOKUP(E42,RésultatsV!$V$10:$Y$248,2,0)),"0",VLOOKUP(E42,RésultatsV!$V$10:$Y$248,2,0))</f>
        <v>0</v>
      </c>
      <c r="R42" s="136">
        <f>IF(ISNA(VLOOKUP(B42,RésultatsV!$AA$10:$AD$248,3,0)),"0",VLOOKUP(B42,RésultatsV!$AA$10:$AD$248,3,0))</f>
        <v>0</v>
      </c>
      <c r="S42" s="136">
        <f>IF(ISNA(VLOOKUP(B42,RésultatsV!$AA$10:$AD$248,4,0)),"0",VLOOKUP(B42,RésultatsV!$AA$10:$AD$248,4,0))</f>
        <v>0</v>
      </c>
      <c r="T42" s="136">
        <f>IF(ISNA(VLOOKUP(B42,RésultatsV!$AA$10:$AD$248,2,0)),"0",VLOOKUP(B42,RésultatsV!$AA$10:$AD$248,2,0))</f>
        <v>0</v>
      </c>
      <c r="U42" s="110">
        <f t="shared" si="15"/>
        <v>0</v>
      </c>
      <c r="V42" s="103">
        <f t="shared" si="16"/>
        <v>0</v>
      </c>
      <c r="W42" s="106">
        <f t="shared" si="4"/>
        <v>0</v>
      </c>
      <c r="X42" s="61">
        <f t="shared" si="10"/>
        <v>0</v>
      </c>
      <c r="Y42" s="52">
        <f t="shared" si="14"/>
        <v>0</v>
      </c>
      <c r="Z42" s="104">
        <f t="shared" si="7"/>
        <v>23.000158419999998</v>
      </c>
      <c r="AA42" s="115">
        <f>IF(B42="","",SMALL(Z$6:Z$185,ROWS(AD$6:AD42)))</f>
        <v>23.000158279999997</v>
      </c>
      <c r="AB42" s="270"/>
      <c r="AC42" s="4">
        <f>IF(OR(B42="",U42=""),"",INDEX($B$6:$B$185,MATCH(AA42,$Z$6:Z$185,0)))</f>
        <v>0</v>
      </c>
      <c r="AD42" s="4">
        <f t="shared" si="17"/>
        <v>0</v>
      </c>
      <c r="AE42" s="4">
        <f t="shared" si="18"/>
        <v>0</v>
      </c>
      <c r="AF42" s="113">
        <f t="shared" si="8"/>
        <v>0</v>
      </c>
      <c r="AG42" s="271">
        <f>IF(AA42="","",IF(AND(AD41=AD42,AE41=AE42,AF41=AF42),AG41,$AG$6+36))</f>
        <v>23</v>
      </c>
      <c r="AH42" s="34"/>
      <c r="AI42" s="94">
        <v>24</v>
      </c>
    </row>
    <row r="43" spans="1:35" s="23" customFormat="1" ht="18" customHeight="1">
      <c r="A43" s="282">
        <v>38</v>
      </c>
      <c r="B43" s="50">
        <f>+'Joueurs et TirageV'!C44</f>
        <v>0</v>
      </c>
      <c r="C43" s="136" t="str">
        <f>IF(ISNA(VLOOKUP(B43,RésultatsV!$B$10:$E$248,3,0)),"0",VLOOKUP(B43,RésultatsV!$B$10:$E$248,3,0))</f>
        <v>0</v>
      </c>
      <c r="D43" s="136">
        <f>IF(ISNA(VLOOKUP(B43,RésultatsV!$B$10:$E$248,4,0)),"0",VLOOKUP(B43,RésultatsV!$B$10:$E$248,4,0))</f>
        <v>0</v>
      </c>
      <c r="E43" s="136">
        <f>IF(ISNA(VLOOKUP(B43,RésultatsV!$B$10:$E$248,2,0)),"0",VLOOKUP(B43,RésultatsV!$B$10:$E$248,2,0))</f>
        <v>0</v>
      </c>
      <c r="F43" s="136">
        <f>IF(ISNA(VLOOKUP(B43,RésultatsV!$G$10:$J$248,3,0)),"0",VLOOKUP(B43,RésultatsV!$G$10:$J$248,3,0))</f>
        <v>0</v>
      </c>
      <c r="G43" s="136">
        <f>IF(ISNA(VLOOKUP(B43,RésultatsV!$G$10:$J$248,4,0)),"0",VLOOKUP(B43,RésultatsV!$G$10:$J$248,4,0))</f>
        <v>0</v>
      </c>
      <c r="H43" s="136">
        <f>IF(ISNA(VLOOKUP(B43,RésultatsV!$G$10:$J$248,2,0)),"0",VLOOKUP(B43,RésultatsV!$G$10:$J$248,2,0))</f>
        <v>0</v>
      </c>
      <c r="I43" s="136">
        <f>IF(ISNA(VLOOKUP(B43,RésultatsV!$L$10:$O$248,3,0)),"0",VLOOKUP(B43,RésultatsV!$L$10:$O$248,3,0))</f>
        <v>0</v>
      </c>
      <c r="J43" s="136">
        <f>IF(ISNA(VLOOKUP(B43,RésultatsV!$L$10:$O$248,4,0)),"0",VLOOKUP(B43,RésultatsV!$L$10:$O$248,4,0))</f>
        <v>0</v>
      </c>
      <c r="K43" s="136">
        <f>IF(ISNA(VLOOKUP(B43,RésultatsV!$L$10:$O$248,2,0)),"0",VLOOKUP(B43,RésultatsV!$L$10:$O$248,2,0))</f>
        <v>0</v>
      </c>
      <c r="L43" s="136">
        <f>IF(ISNA(VLOOKUP(B43,RésultatsV!$Q$10:$T$248,3,0)),"0",VLOOKUP(B43,RésultatsV!$Q$10:$T$248,3,0))</f>
        <v>0</v>
      </c>
      <c r="M43" s="136">
        <f>IF(ISNA(VLOOKUP(B43,RésultatsV!$Q$10:$T$248,4,0)),"0",VLOOKUP(B43,RésultatsV!$Q$10:$T$248,4,0))</f>
        <v>0</v>
      </c>
      <c r="N43" s="136">
        <f>IF(ISNA(VLOOKUP(B43,RésultatsV!$Q$10:$T$248,2,0)),"0",VLOOKUP(B43,RésultatsV!$Q$10:$T$248,2,0))</f>
        <v>0</v>
      </c>
      <c r="O43" s="136">
        <f>IF(ISNA(VLOOKUP(B43,RésultatsV!$V$10:$Y$248,3,0)),"0",VLOOKUP(B43,RésultatsV!$V$10:$Y$248,3,0))</f>
        <v>0</v>
      </c>
      <c r="P43" s="136">
        <f>IF(ISNA(VLOOKUP(B43,RésultatsV!$V$10:$Y$248,4,0)),"0",VLOOKUP(B43,RésultatsV!$V$10:$Y$248,4,0))</f>
        <v>0</v>
      </c>
      <c r="Q43" s="136">
        <f>IF(ISNA(VLOOKUP(E43,RésultatsV!$V$10:$Y$248,2,0)),"0",VLOOKUP(E43,RésultatsV!$V$10:$Y$248,2,0))</f>
        <v>0</v>
      </c>
      <c r="R43" s="136">
        <f>IF(ISNA(VLOOKUP(B43,RésultatsV!$AA$10:$AD$248,3,0)),"0",VLOOKUP(B43,RésultatsV!$AA$10:$AD$248,3,0))</f>
        <v>0</v>
      </c>
      <c r="S43" s="136">
        <f>IF(ISNA(VLOOKUP(B43,RésultatsV!$AA$10:$AD$248,4,0)),"0",VLOOKUP(B43,RésultatsV!$AA$10:$AD$248,4,0))</f>
        <v>0</v>
      </c>
      <c r="T43" s="136">
        <f>IF(ISNA(VLOOKUP(B43,RésultatsV!$AA$10:$AD$248,2,0)),"0",VLOOKUP(B43,RésultatsV!$AA$10:$AD$248,2,0))</f>
        <v>0</v>
      </c>
      <c r="U43" s="110">
        <f t="shared" si="15"/>
        <v>0</v>
      </c>
      <c r="V43" s="103">
        <f t="shared" si="16"/>
        <v>0</v>
      </c>
      <c r="W43" s="106">
        <f t="shared" si="4"/>
        <v>0</v>
      </c>
      <c r="X43" s="61">
        <f t="shared" si="10"/>
        <v>0</v>
      </c>
      <c r="Y43" s="52">
        <f t="shared" si="14"/>
        <v>0</v>
      </c>
      <c r="Z43" s="104">
        <f t="shared" si="7"/>
        <v>23.000158429999999</v>
      </c>
      <c r="AA43" s="115">
        <f>IF(B43="","",SMALL(Z$6:Z$185,ROWS(AD$6:AD43)))</f>
        <v>23.000158289999998</v>
      </c>
      <c r="AB43" s="270"/>
      <c r="AC43" s="4">
        <f>IF(OR(B43="",U43=""),"",INDEX($B$6:$B$185,MATCH(AA43,$Z$6:Z$185,0)))</f>
        <v>0</v>
      </c>
      <c r="AD43" s="4">
        <f t="shared" si="17"/>
        <v>0</v>
      </c>
      <c r="AE43" s="4">
        <f t="shared" si="18"/>
        <v>0</v>
      </c>
      <c r="AF43" s="113">
        <f t="shared" si="8"/>
        <v>0</v>
      </c>
      <c r="AG43" s="271">
        <f>IF(AA43="","",IF(AND(AD42=AD43,AE42=AE43,AF42=AF43),AG42,$AG$6+37))</f>
        <v>23</v>
      </c>
      <c r="AH43" s="34"/>
      <c r="AI43" s="94">
        <v>23</v>
      </c>
    </row>
    <row r="44" spans="1:35" s="23" customFormat="1" ht="18" customHeight="1">
      <c r="A44" s="282">
        <v>39</v>
      </c>
      <c r="B44" s="50">
        <f>+'Joueurs et TirageV'!C45</f>
        <v>0</v>
      </c>
      <c r="C44" s="136" t="str">
        <f>IF(ISNA(VLOOKUP(B44,RésultatsV!$B$10:$E$248,3,0)),"0",VLOOKUP(B44,RésultatsV!$B$10:$E$248,3,0))</f>
        <v>0</v>
      </c>
      <c r="D44" s="136">
        <f>IF(ISNA(VLOOKUP(B44,RésultatsV!$B$10:$E$248,4,0)),"0",VLOOKUP(B44,RésultatsV!$B$10:$E$248,4,0))</f>
        <v>0</v>
      </c>
      <c r="E44" s="136">
        <f>IF(ISNA(VLOOKUP(B44,RésultatsV!$B$10:$E$248,2,0)),"0",VLOOKUP(B44,RésultatsV!$B$10:$E$248,2,0))</f>
        <v>0</v>
      </c>
      <c r="F44" s="136">
        <f>IF(ISNA(VLOOKUP(B44,RésultatsV!$G$10:$J$248,3,0)),"0",VLOOKUP(B44,RésultatsV!$G$10:$J$248,3,0))</f>
        <v>0</v>
      </c>
      <c r="G44" s="136">
        <f>IF(ISNA(VLOOKUP(B44,RésultatsV!$G$10:$J$248,4,0)),"0",VLOOKUP(B44,RésultatsV!$G$10:$J$248,4,0))</f>
        <v>0</v>
      </c>
      <c r="H44" s="136">
        <f>IF(ISNA(VLOOKUP(B44,RésultatsV!$G$10:$J$248,2,0)),"0",VLOOKUP(B44,RésultatsV!$G$10:$J$248,2,0))</f>
        <v>0</v>
      </c>
      <c r="I44" s="136">
        <f>IF(ISNA(VLOOKUP(B44,RésultatsV!$L$10:$O$248,3,0)),"0",VLOOKUP(B44,RésultatsV!$L$10:$O$248,3,0))</f>
        <v>0</v>
      </c>
      <c r="J44" s="136">
        <f>IF(ISNA(VLOOKUP(B44,RésultatsV!$L$10:$O$248,4,0)),"0",VLOOKUP(B44,RésultatsV!$L$10:$O$248,4,0))</f>
        <v>0</v>
      </c>
      <c r="K44" s="136">
        <f>IF(ISNA(VLOOKUP(B44,RésultatsV!$L$10:$O$248,2,0)),"0",VLOOKUP(B44,RésultatsV!$L$10:$O$248,2,0))</f>
        <v>0</v>
      </c>
      <c r="L44" s="136">
        <f>IF(ISNA(VLOOKUP(B44,RésultatsV!$Q$10:$T$248,3,0)),"0",VLOOKUP(B44,RésultatsV!$Q$10:$T$248,3,0))</f>
        <v>0</v>
      </c>
      <c r="M44" s="136">
        <f>IF(ISNA(VLOOKUP(B44,RésultatsV!$Q$10:$T$248,4,0)),"0",VLOOKUP(B44,RésultatsV!$Q$10:$T$248,4,0))</f>
        <v>0</v>
      </c>
      <c r="N44" s="136">
        <f>IF(ISNA(VLOOKUP(B44,RésultatsV!$Q$10:$T$248,2,0)),"0",VLOOKUP(B44,RésultatsV!$Q$10:$T$248,2,0))</f>
        <v>0</v>
      </c>
      <c r="O44" s="136">
        <f>IF(ISNA(VLOOKUP(B44,RésultatsV!$V$10:$Y$248,3,0)),"0",VLOOKUP(B44,RésultatsV!$V$10:$Y$248,3,0))</f>
        <v>0</v>
      </c>
      <c r="P44" s="136">
        <f>IF(ISNA(VLOOKUP(B44,RésultatsV!$V$10:$Y$248,4,0)),"0",VLOOKUP(B44,RésultatsV!$V$10:$Y$248,4,0))</f>
        <v>0</v>
      </c>
      <c r="Q44" s="136">
        <f>IF(ISNA(VLOOKUP(E44,RésultatsV!$V$10:$Y$248,2,0)),"0",VLOOKUP(E44,RésultatsV!$V$10:$Y$248,2,0))</f>
        <v>0</v>
      </c>
      <c r="R44" s="136">
        <f>IF(ISNA(VLOOKUP(B44,RésultatsV!$AA$10:$AD$248,3,0)),"0",VLOOKUP(B44,RésultatsV!$AA$10:$AD$248,3,0))</f>
        <v>0</v>
      </c>
      <c r="S44" s="136">
        <f>IF(ISNA(VLOOKUP(B44,RésultatsV!$AA$10:$AD$248,4,0)),"0",VLOOKUP(B44,RésultatsV!$AA$10:$AD$248,4,0))</f>
        <v>0</v>
      </c>
      <c r="T44" s="136">
        <f>IF(ISNA(VLOOKUP(B44,RésultatsV!$AA$10:$AD$248,2,0)),"0",VLOOKUP(B44,RésultatsV!$AA$10:$AD$248,2,0))</f>
        <v>0</v>
      </c>
      <c r="U44" s="110">
        <f t="shared" si="15"/>
        <v>0</v>
      </c>
      <c r="V44" s="103">
        <f t="shared" si="16"/>
        <v>0</v>
      </c>
      <c r="W44" s="106">
        <f t="shared" si="4"/>
        <v>0</v>
      </c>
      <c r="X44" s="61">
        <f t="shared" si="10"/>
        <v>0</v>
      </c>
      <c r="Y44" s="52">
        <f t="shared" si="14"/>
        <v>0</v>
      </c>
      <c r="Z44" s="104">
        <f t="shared" si="7"/>
        <v>23.00015844</v>
      </c>
      <c r="AA44" s="115">
        <f>IF(B44="","",SMALL(Z$6:Z$185,ROWS(AD$6:AD44)))</f>
        <v>23.000158299999999</v>
      </c>
      <c r="AB44" s="270"/>
      <c r="AC44" s="4">
        <f>IF(OR(B44="",U44=""),"",INDEX($B$6:$B$185,MATCH(AA44,$Z$6:Z$185,0)))</f>
        <v>0</v>
      </c>
      <c r="AD44" s="4">
        <f t="shared" si="17"/>
        <v>0</v>
      </c>
      <c r="AE44" s="4">
        <f t="shared" si="18"/>
        <v>0</v>
      </c>
      <c r="AF44" s="113">
        <f t="shared" si="8"/>
        <v>0</v>
      </c>
      <c r="AG44" s="271">
        <f>IF(AA44="","",IF(AND(AD43=AD44,AE43=AE44,AF43=AF44),AG43,$AG$6+38))</f>
        <v>23</v>
      </c>
      <c r="AH44" s="34"/>
      <c r="AI44" s="94">
        <v>22</v>
      </c>
    </row>
    <row r="45" spans="1:35" s="23" customFormat="1" ht="18" customHeight="1">
      <c r="A45" s="282">
        <v>40</v>
      </c>
      <c r="B45" s="50">
        <f>+'Joueurs et TirageV'!C46</f>
        <v>0</v>
      </c>
      <c r="C45" s="136" t="str">
        <f>IF(ISNA(VLOOKUP(B45,RésultatsV!$B$10:$E$248,3,0)),"0",VLOOKUP(B45,RésultatsV!$B$10:$E$248,3,0))</f>
        <v>0</v>
      </c>
      <c r="D45" s="136">
        <f>IF(ISNA(VLOOKUP(B45,RésultatsV!$B$10:$E$248,4,0)),"0",VLOOKUP(B45,RésultatsV!$B$10:$E$248,4,0))</f>
        <v>0</v>
      </c>
      <c r="E45" s="136">
        <f>IF(ISNA(VLOOKUP(B45,RésultatsV!$B$10:$E$248,2,0)),"0",VLOOKUP(B45,RésultatsV!$B$10:$E$248,2,0))</f>
        <v>0</v>
      </c>
      <c r="F45" s="136">
        <f>IF(ISNA(VLOOKUP(B45,RésultatsV!$G$10:$J$248,3,0)),"0",VLOOKUP(B45,RésultatsV!$G$10:$J$248,3,0))</f>
        <v>0</v>
      </c>
      <c r="G45" s="136">
        <f>IF(ISNA(VLOOKUP(B45,RésultatsV!$G$10:$J$248,4,0)),"0",VLOOKUP(B45,RésultatsV!$G$10:$J$248,4,0))</f>
        <v>0</v>
      </c>
      <c r="H45" s="136">
        <f>IF(ISNA(VLOOKUP(B45,RésultatsV!$G$10:$J$248,2,0)),"0",VLOOKUP(B45,RésultatsV!$G$10:$J$248,2,0))</f>
        <v>0</v>
      </c>
      <c r="I45" s="136">
        <f>IF(ISNA(VLOOKUP(B45,RésultatsV!$L$10:$O$248,3,0)),"0",VLOOKUP(B45,RésultatsV!$L$10:$O$248,3,0))</f>
        <v>0</v>
      </c>
      <c r="J45" s="136">
        <f>IF(ISNA(VLOOKUP(B45,RésultatsV!$L$10:$O$248,4,0)),"0",VLOOKUP(B45,RésultatsV!$L$10:$O$248,4,0))</f>
        <v>0</v>
      </c>
      <c r="K45" s="136">
        <f>IF(ISNA(VLOOKUP(B45,RésultatsV!$L$10:$O$248,2,0)),"0",VLOOKUP(B45,RésultatsV!$L$10:$O$248,2,0))</f>
        <v>0</v>
      </c>
      <c r="L45" s="136">
        <f>IF(ISNA(VLOOKUP(B45,RésultatsV!$Q$10:$T$248,3,0)),"0",VLOOKUP(B45,RésultatsV!$Q$10:$T$248,3,0))</f>
        <v>0</v>
      </c>
      <c r="M45" s="136">
        <f>IF(ISNA(VLOOKUP(B45,RésultatsV!$Q$10:$T$248,4,0)),"0",VLOOKUP(B45,RésultatsV!$Q$10:$T$248,4,0))</f>
        <v>0</v>
      </c>
      <c r="N45" s="136">
        <f>IF(ISNA(VLOOKUP(B45,RésultatsV!$Q$10:$T$248,2,0)),"0",VLOOKUP(B45,RésultatsV!$Q$10:$T$248,2,0))</f>
        <v>0</v>
      </c>
      <c r="O45" s="136">
        <f>IF(ISNA(VLOOKUP(B45,RésultatsV!$V$10:$Y$248,3,0)),"0",VLOOKUP(B45,RésultatsV!$V$10:$Y$248,3,0))</f>
        <v>0</v>
      </c>
      <c r="P45" s="136">
        <f>IF(ISNA(VLOOKUP(B45,RésultatsV!$V$10:$Y$248,4,0)),"0",VLOOKUP(B45,RésultatsV!$V$10:$Y$248,4,0))</f>
        <v>0</v>
      </c>
      <c r="Q45" s="136">
        <f>IF(ISNA(VLOOKUP(E45,RésultatsV!$V$10:$Y$248,2,0)),"0",VLOOKUP(E45,RésultatsV!$V$10:$Y$248,2,0))</f>
        <v>0</v>
      </c>
      <c r="R45" s="136">
        <f>IF(ISNA(VLOOKUP(B45,RésultatsV!$AA$10:$AD$248,3,0)),"0",VLOOKUP(B45,RésultatsV!$AA$10:$AD$248,3,0))</f>
        <v>0</v>
      </c>
      <c r="S45" s="136">
        <f>IF(ISNA(VLOOKUP(B45,RésultatsV!$AA$10:$AD$248,4,0)),"0",VLOOKUP(B45,RésultatsV!$AA$10:$AD$248,4,0))</f>
        <v>0</v>
      </c>
      <c r="T45" s="136">
        <f>IF(ISNA(VLOOKUP(B45,RésultatsV!$AA$10:$AD$248,2,0)),"0",VLOOKUP(B45,RésultatsV!$AA$10:$AD$248,2,0))</f>
        <v>0</v>
      </c>
      <c r="U45" s="110">
        <f t="shared" si="15"/>
        <v>0</v>
      </c>
      <c r="V45" s="103">
        <f t="shared" si="16"/>
        <v>0</v>
      </c>
      <c r="W45" s="106">
        <f t="shared" si="4"/>
        <v>0</v>
      </c>
      <c r="X45" s="61">
        <f t="shared" si="10"/>
        <v>0</v>
      </c>
      <c r="Y45" s="52">
        <f t="shared" si="14"/>
        <v>0</v>
      </c>
      <c r="Z45" s="104">
        <f t="shared" si="7"/>
        <v>23.000158450000001</v>
      </c>
      <c r="AA45" s="115">
        <f>IF(B45="","",SMALL(Z$6:Z$185,ROWS(AD$6:AD45)))</f>
        <v>23.00015831</v>
      </c>
      <c r="AB45" s="270"/>
      <c r="AC45" s="4">
        <f>IF(OR(B45="",U45=""),"",INDEX($B$6:$B$185,MATCH(AA45,$Z$6:Z$185,0)))</f>
        <v>0</v>
      </c>
      <c r="AD45" s="4">
        <f t="shared" si="17"/>
        <v>0</v>
      </c>
      <c r="AE45" s="4">
        <f t="shared" si="18"/>
        <v>0</v>
      </c>
      <c r="AF45" s="113">
        <f t="shared" si="8"/>
        <v>0</v>
      </c>
      <c r="AG45" s="271">
        <f>IF(AA45="","",IF(AND(AD44=AD45,AE44=AE45,AF44=AF45),AG44,$AG$6+39))</f>
        <v>23</v>
      </c>
      <c r="AH45" s="34"/>
      <c r="AI45" s="94">
        <v>21</v>
      </c>
    </row>
    <row r="46" spans="1:35" s="23" customFormat="1" ht="18" customHeight="1">
      <c r="A46" s="282">
        <v>41</v>
      </c>
      <c r="B46" s="50">
        <f>+'Joueurs et TirageV'!C47</f>
        <v>0</v>
      </c>
      <c r="C46" s="136" t="str">
        <f>IF(ISNA(VLOOKUP(B46,RésultatsV!$B$10:$E$248,3,0)),"0",VLOOKUP(B46,RésultatsV!$B$10:$E$248,3,0))</f>
        <v>0</v>
      </c>
      <c r="D46" s="136">
        <f>IF(ISNA(VLOOKUP(B46,RésultatsV!$B$10:$E$248,4,0)),"0",VLOOKUP(B46,RésultatsV!$B$10:$E$248,4,0))</f>
        <v>0</v>
      </c>
      <c r="E46" s="136">
        <f>IF(ISNA(VLOOKUP(B46,RésultatsV!$B$10:$E$248,2,0)),"0",VLOOKUP(B46,RésultatsV!$B$10:$E$248,2,0))</f>
        <v>0</v>
      </c>
      <c r="F46" s="136">
        <f>IF(ISNA(VLOOKUP(B46,RésultatsV!$G$10:$J$248,3,0)),"0",VLOOKUP(B46,RésultatsV!$G$10:$J$248,3,0))</f>
        <v>0</v>
      </c>
      <c r="G46" s="136">
        <f>IF(ISNA(VLOOKUP(B46,RésultatsV!$G$10:$J$248,4,0)),"0",VLOOKUP(B46,RésultatsV!$G$10:$J$248,4,0))</f>
        <v>0</v>
      </c>
      <c r="H46" s="136">
        <f>IF(ISNA(VLOOKUP(B46,RésultatsV!$G$10:$J$248,2,0)),"0",VLOOKUP(B46,RésultatsV!$G$10:$J$248,2,0))</f>
        <v>0</v>
      </c>
      <c r="I46" s="136">
        <f>IF(ISNA(VLOOKUP(B46,RésultatsV!$L$10:$O$248,3,0)),"0",VLOOKUP(B46,RésultatsV!$L$10:$O$248,3,0))</f>
        <v>0</v>
      </c>
      <c r="J46" s="136">
        <f>IF(ISNA(VLOOKUP(B46,RésultatsV!$L$10:$O$248,4,0)),"0",VLOOKUP(B46,RésultatsV!$L$10:$O$248,4,0))</f>
        <v>0</v>
      </c>
      <c r="K46" s="136">
        <f>IF(ISNA(VLOOKUP(B46,RésultatsV!$L$10:$O$248,2,0)),"0",VLOOKUP(B46,RésultatsV!$L$10:$O$248,2,0))</f>
        <v>0</v>
      </c>
      <c r="L46" s="136">
        <f>IF(ISNA(VLOOKUP(B46,RésultatsV!$Q$10:$T$248,3,0)),"0",VLOOKUP(B46,RésultatsV!$Q$10:$T$248,3,0))</f>
        <v>0</v>
      </c>
      <c r="M46" s="136">
        <f>IF(ISNA(VLOOKUP(B46,RésultatsV!$Q$10:$T$248,4,0)),"0",VLOOKUP(B46,RésultatsV!$Q$10:$T$248,4,0))</f>
        <v>0</v>
      </c>
      <c r="N46" s="136">
        <f>IF(ISNA(VLOOKUP(B46,RésultatsV!$Q$10:$T$248,2,0)),"0",VLOOKUP(B46,RésultatsV!$Q$10:$T$248,2,0))</f>
        <v>0</v>
      </c>
      <c r="O46" s="136">
        <f>IF(ISNA(VLOOKUP(B46,RésultatsV!$V$10:$Y$248,3,0)),"0",VLOOKUP(B46,RésultatsV!$V$10:$Y$248,3,0))</f>
        <v>0</v>
      </c>
      <c r="P46" s="136">
        <f>IF(ISNA(VLOOKUP(B46,RésultatsV!$V$10:$Y$248,4,0)),"0",VLOOKUP(B46,RésultatsV!$V$10:$Y$248,4,0))</f>
        <v>0</v>
      </c>
      <c r="Q46" s="136">
        <f>IF(ISNA(VLOOKUP(E46,RésultatsV!$V$10:$Y$248,2,0)),"0",VLOOKUP(E46,RésultatsV!$V$10:$Y$248,2,0))</f>
        <v>0</v>
      </c>
      <c r="R46" s="136">
        <f>IF(ISNA(VLOOKUP(B46,RésultatsV!$AA$10:$AD$248,3,0)),"0",VLOOKUP(B46,RésultatsV!$AA$10:$AD$248,3,0))</f>
        <v>0</v>
      </c>
      <c r="S46" s="136">
        <f>IF(ISNA(VLOOKUP(B46,RésultatsV!$AA$10:$AD$248,4,0)),"0",VLOOKUP(B46,RésultatsV!$AA$10:$AD$248,4,0))</f>
        <v>0</v>
      </c>
      <c r="T46" s="136">
        <f>IF(ISNA(VLOOKUP(B46,RésultatsV!$AA$10:$AD$248,2,0)),"0",VLOOKUP(B46,RésultatsV!$AA$10:$AD$248,2,0))</f>
        <v>0</v>
      </c>
      <c r="U46" s="110">
        <f t="shared" si="15"/>
        <v>0</v>
      </c>
      <c r="V46" s="103">
        <f t="shared" si="16"/>
        <v>0</v>
      </c>
      <c r="W46" s="106">
        <f t="shared" si="4"/>
        <v>0</v>
      </c>
      <c r="X46" s="61">
        <f t="shared" si="10"/>
        <v>0</v>
      </c>
      <c r="Y46" s="52">
        <f t="shared" si="14"/>
        <v>0</v>
      </c>
      <c r="Z46" s="104">
        <f t="shared" si="7"/>
        <v>23.000158459999998</v>
      </c>
      <c r="AA46" s="115">
        <f>IF(B46="","",SMALL(Z$6:Z$185,ROWS(AD$6:AD46)))</f>
        <v>23.000158320000001</v>
      </c>
      <c r="AB46" s="270"/>
      <c r="AC46" s="4">
        <f>IF(OR(B46="",U46=""),"",INDEX($B$6:$B$185,MATCH(AA46,$Z$6:Z$185,0)))</f>
        <v>0</v>
      </c>
      <c r="AD46" s="4">
        <f t="shared" si="17"/>
        <v>0</v>
      </c>
      <c r="AE46" s="4">
        <f t="shared" si="18"/>
        <v>0</v>
      </c>
      <c r="AF46" s="113">
        <f t="shared" si="8"/>
        <v>0</v>
      </c>
      <c r="AG46" s="271">
        <f>IF(AA46="","",IF(AND(AD45=AD46,AE45=AE46,AF45=AF46),AG45,$AG$6+40))</f>
        <v>23</v>
      </c>
      <c r="AH46" s="34"/>
      <c r="AI46" s="94">
        <v>20</v>
      </c>
    </row>
    <row r="47" spans="1:35" s="23" customFormat="1" ht="18" customHeight="1">
      <c r="A47" s="282">
        <v>42</v>
      </c>
      <c r="B47" s="50">
        <f>+'Joueurs et TirageV'!C48</f>
        <v>0</v>
      </c>
      <c r="C47" s="136" t="str">
        <f>IF(ISNA(VLOOKUP(B47,RésultatsV!$B$10:$E$248,3,0)),"0",VLOOKUP(B47,RésultatsV!$B$10:$E$248,3,0))</f>
        <v>0</v>
      </c>
      <c r="D47" s="136">
        <f>IF(ISNA(VLOOKUP(B47,RésultatsV!$B$10:$E$248,4,0)),"0",VLOOKUP(B47,RésultatsV!$B$10:$E$248,4,0))</f>
        <v>0</v>
      </c>
      <c r="E47" s="136">
        <f>IF(ISNA(VLOOKUP(B47,RésultatsV!$B$10:$E$248,2,0)),"0",VLOOKUP(B47,RésultatsV!$B$10:$E$248,2,0))</f>
        <v>0</v>
      </c>
      <c r="F47" s="136">
        <f>IF(ISNA(VLOOKUP(B47,RésultatsV!$G$10:$J$248,3,0)),"0",VLOOKUP(B47,RésultatsV!$G$10:$J$248,3,0))</f>
        <v>0</v>
      </c>
      <c r="G47" s="136">
        <f>IF(ISNA(VLOOKUP(B47,RésultatsV!$G$10:$J$248,4,0)),"0",VLOOKUP(B47,RésultatsV!$G$10:$J$248,4,0))</f>
        <v>0</v>
      </c>
      <c r="H47" s="136">
        <f>IF(ISNA(VLOOKUP(B47,RésultatsV!$G$10:$J$248,2,0)),"0",VLOOKUP(B47,RésultatsV!$G$10:$J$248,2,0))</f>
        <v>0</v>
      </c>
      <c r="I47" s="136">
        <f>IF(ISNA(VLOOKUP(B47,RésultatsV!$L$10:$O$248,3,0)),"0",VLOOKUP(B47,RésultatsV!$L$10:$O$248,3,0))</f>
        <v>0</v>
      </c>
      <c r="J47" s="136">
        <f>IF(ISNA(VLOOKUP(B47,RésultatsV!$L$10:$O$248,4,0)),"0",VLOOKUP(B47,RésultatsV!$L$10:$O$248,4,0))</f>
        <v>0</v>
      </c>
      <c r="K47" s="136">
        <f>IF(ISNA(VLOOKUP(B47,RésultatsV!$L$10:$O$248,2,0)),"0",VLOOKUP(B47,RésultatsV!$L$10:$O$248,2,0))</f>
        <v>0</v>
      </c>
      <c r="L47" s="136">
        <f>IF(ISNA(VLOOKUP(B47,RésultatsV!$Q$10:$T$248,3,0)),"0",VLOOKUP(B47,RésultatsV!$Q$10:$T$248,3,0))</f>
        <v>0</v>
      </c>
      <c r="M47" s="136">
        <f>IF(ISNA(VLOOKUP(B47,RésultatsV!$Q$10:$T$248,4,0)),"0",VLOOKUP(B47,RésultatsV!$Q$10:$T$248,4,0))</f>
        <v>0</v>
      </c>
      <c r="N47" s="136">
        <f>IF(ISNA(VLOOKUP(B47,RésultatsV!$Q$10:$T$248,2,0)),"0",VLOOKUP(B47,RésultatsV!$Q$10:$T$248,2,0))</f>
        <v>0</v>
      </c>
      <c r="O47" s="136">
        <f>IF(ISNA(VLOOKUP(B47,RésultatsV!$V$10:$Y$248,3,0)),"0",VLOOKUP(B47,RésultatsV!$V$10:$Y$248,3,0))</f>
        <v>0</v>
      </c>
      <c r="P47" s="136">
        <f>IF(ISNA(VLOOKUP(B47,RésultatsV!$V$10:$Y$248,4,0)),"0",VLOOKUP(B47,RésultatsV!$V$10:$Y$248,4,0))</f>
        <v>0</v>
      </c>
      <c r="Q47" s="136">
        <f>IF(ISNA(VLOOKUP(E47,RésultatsV!$V$10:$Y$248,2,0)),"0",VLOOKUP(E47,RésultatsV!$V$10:$Y$248,2,0))</f>
        <v>0</v>
      </c>
      <c r="R47" s="136">
        <f>IF(ISNA(VLOOKUP(B47,RésultatsV!$AA$10:$AD$248,3,0)),"0",VLOOKUP(B47,RésultatsV!$AA$10:$AD$248,3,0))</f>
        <v>0</v>
      </c>
      <c r="S47" s="136">
        <f>IF(ISNA(VLOOKUP(B47,RésultatsV!$AA$10:$AD$248,4,0)),"0",VLOOKUP(B47,RésultatsV!$AA$10:$AD$248,4,0))</f>
        <v>0</v>
      </c>
      <c r="T47" s="136">
        <f>IF(ISNA(VLOOKUP(B47,RésultatsV!$AA$10:$AD$248,2,0)),"0",VLOOKUP(B47,RésultatsV!$AA$10:$AD$248,2,0))</f>
        <v>0</v>
      </c>
      <c r="U47" s="110">
        <f t="shared" si="15"/>
        <v>0</v>
      </c>
      <c r="V47" s="103">
        <f t="shared" si="16"/>
        <v>0</v>
      </c>
      <c r="W47" s="106">
        <f t="shared" si="4"/>
        <v>0</v>
      </c>
      <c r="X47" s="61">
        <f t="shared" si="10"/>
        <v>0</v>
      </c>
      <c r="Y47" s="52">
        <f t="shared" si="14"/>
        <v>0</v>
      </c>
      <c r="Z47" s="104">
        <f t="shared" si="7"/>
        <v>23.000158469999999</v>
      </c>
      <c r="AA47" s="115">
        <f>IF(B47="","",SMALL(Z$6:Z$185,ROWS(AD$6:AD47)))</f>
        <v>23.000158329999998</v>
      </c>
      <c r="AB47" s="270"/>
      <c r="AC47" s="4">
        <f>IF(OR(B47="",U47=""),"",INDEX($B$6:$B$185,MATCH(AA47,$Z$6:Z$185,0)))</f>
        <v>0</v>
      </c>
      <c r="AD47" s="4">
        <f t="shared" si="17"/>
        <v>0</v>
      </c>
      <c r="AE47" s="4">
        <f t="shared" si="18"/>
        <v>0</v>
      </c>
      <c r="AF47" s="113">
        <f t="shared" si="8"/>
        <v>0</v>
      </c>
      <c r="AG47" s="271">
        <f>IF(AA47="","",IF(AND(AD46=AD47,AE46=AE47,AF46=AF47),AG46,$AG$6+41))</f>
        <v>23</v>
      </c>
      <c r="AH47" s="34"/>
      <c r="AI47" s="94">
        <v>19</v>
      </c>
    </row>
    <row r="48" spans="1:35" s="23" customFormat="1" ht="18" customHeight="1">
      <c r="A48" s="282">
        <v>43</v>
      </c>
      <c r="B48" s="50">
        <f>+'Joueurs et TirageV'!C49</f>
        <v>0</v>
      </c>
      <c r="C48" s="136" t="str">
        <f>IF(ISNA(VLOOKUP(B48,RésultatsV!$B$10:$E$248,3,0)),"0",VLOOKUP(B48,RésultatsV!$B$10:$E$248,3,0))</f>
        <v>0</v>
      </c>
      <c r="D48" s="136">
        <f>IF(ISNA(VLOOKUP(B48,RésultatsV!$B$10:$E$248,4,0)),"0",VLOOKUP(B48,RésultatsV!$B$10:$E$248,4,0))</f>
        <v>0</v>
      </c>
      <c r="E48" s="136">
        <f>IF(ISNA(VLOOKUP(B48,RésultatsV!$B$10:$E$248,2,0)),"0",VLOOKUP(B48,RésultatsV!$B$10:$E$248,2,0))</f>
        <v>0</v>
      </c>
      <c r="F48" s="136">
        <f>IF(ISNA(VLOOKUP(B48,RésultatsV!$G$10:$J$248,3,0)),"0",VLOOKUP(B48,RésultatsV!$G$10:$J$248,3,0))</f>
        <v>0</v>
      </c>
      <c r="G48" s="136">
        <f>IF(ISNA(VLOOKUP(B48,RésultatsV!$G$10:$J$248,4,0)),"0",VLOOKUP(B48,RésultatsV!$G$10:$J$248,4,0))</f>
        <v>0</v>
      </c>
      <c r="H48" s="136">
        <f>IF(ISNA(VLOOKUP(B48,RésultatsV!$G$10:$J$248,2,0)),"0",VLOOKUP(B48,RésultatsV!$G$10:$J$248,2,0))</f>
        <v>0</v>
      </c>
      <c r="I48" s="136">
        <f>IF(ISNA(VLOOKUP(B48,RésultatsV!$L$10:$O$248,3,0)),"0",VLOOKUP(B48,RésultatsV!$L$10:$O$248,3,0))</f>
        <v>0</v>
      </c>
      <c r="J48" s="136">
        <f>IF(ISNA(VLOOKUP(B48,RésultatsV!$L$10:$O$248,4,0)),"0",VLOOKUP(B48,RésultatsV!$L$10:$O$248,4,0))</f>
        <v>0</v>
      </c>
      <c r="K48" s="136">
        <f>IF(ISNA(VLOOKUP(B48,RésultatsV!$L$10:$O$248,2,0)),"0",VLOOKUP(B48,RésultatsV!$L$10:$O$248,2,0))</f>
        <v>0</v>
      </c>
      <c r="L48" s="136">
        <f>IF(ISNA(VLOOKUP(B48,RésultatsV!$Q$10:$T$248,3,0)),"0",VLOOKUP(B48,RésultatsV!$Q$10:$T$248,3,0))</f>
        <v>0</v>
      </c>
      <c r="M48" s="136">
        <f>IF(ISNA(VLOOKUP(B48,RésultatsV!$Q$10:$T$248,4,0)),"0",VLOOKUP(B48,RésultatsV!$Q$10:$T$248,4,0))</f>
        <v>0</v>
      </c>
      <c r="N48" s="136">
        <f>IF(ISNA(VLOOKUP(B48,RésultatsV!$Q$10:$T$248,2,0)),"0",VLOOKUP(B48,RésultatsV!$Q$10:$T$248,2,0))</f>
        <v>0</v>
      </c>
      <c r="O48" s="136">
        <f>IF(ISNA(VLOOKUP(B48,RésultatsV!$V$10:$Y$248,3,0)),"0",VLOOKUP(B48,RésultatsV!$V$10:$Y$248,3,0))</f>
        <v>0</v>
      </c>
      <c r="P48" s="136">
        <f>IF(ISNA(VLOOKUP(B48,RésultatsV!$V$10:$Y$248,4,0)),"0",VLOOKUP(B48,RésultatsV!$V$10:$Y$248,4,0))</f>
        <v>0</v>
      </c>
      <c r="Q48" s="136">
        <f>IF(ISNA(VLOOKUP(E48,RésultatsV!$V$10:$Y$248,2,0)),"0",VLOOKUP(E48,RésultatsV!$V$10:$Y$248,2,0))</f>
        <v>0</v>
      </c>
      <c r="R48" s="136">
        <f>IF(ISNA(VLOOKUP(B48,RésultatsV!$AA$10:$AD$248,3,0)),"0",VLOOKUP(B48,RésultatsV!$AA$10:$AD$248,3,0))</f>
        <v>0</v>
      </c>
      <c r="S48" s="136">
        <f>IF(ISNA(VLOOKUP(B48,RésultatsV!$AA$10:$AD$248,4,0)),"0",VLOOKUP(B48,RésultatsV!$AA$10:$AD$248,4,0))</f>
        <v>0</v>
      </c>
      <c r="T48" s="136">
        <f>IF(ISNA(VLOOKUP(B48,RésultatsV!$AA$10:$AD$248,2,0)),"0",VLOOKUP(B48,RésultatsV!$AA$10:$AD$248,2,0))</f>
        <v>0</v>
      </c>
      <c r="U48" s="110">
        <f t="shared" si="15"/>
        <v>0</v>
      </c>
      <c r="V48" s="103">
        <f t="shared" si="16"/>
        <v>0</v>
      </c>
      <c r="W48" s="106">
        <f t="shared" si="4"/>
        <v>0</v>
      </c>
      <c r="X48" s="61">
        <f t="shared" si="10"/>
        <v>0</v>
      </c>
      <c r="Y48" s="52">
        <f t="shared" si="14"/>
        <v>0</v>
      </c>
      <c r="Z48" s="104">
        <f t="shared" si="7"/>
        <v>23.00015848</v>
      </c>
      <c r="AA48" s="115">
        <f>IF(B48="","",SMALL(Z$6:Z$185,ROWS(AD$6:AD48)))</f>
        <v>23.000158339999999</v>
      </c>
      <c r="AB48" s="270"/>
      <c r="AC48" s="4">
        <f>IF(OR(B48="",U48=""),"",INDEX($B$6:$B$185,MATCH(AA48,$Z$6:Z$185,0)))</f>
        <v>0</v>
      </c>
      <c r="AD48" s="4">
        <f t="shared" si="17"/>
        <v>0</v>
      </c>
      <c r="AE48" s="4">
        <f t="shared" si="18"/>
        <v>0</v>
      </c>
      <c r="AF48" s="113">
        <f t="shared" si="8"/>
        <v>0</v>
      </c>
      <c r="AG48" s="271">
        <f>IF(AA48="","",IF(AND(AD47=AD48,AE47=AE48,AF47=AF48),AG47,$AG$6+42))</f>
        <v>23</v>
      </c>
      <c r="AH48" s="34"/>
      <c r="AI48" s="94">
        <v>19</v>
      </c>
    </row>
    <row r="49" spans="1:35" s="23" customFormat="1" ht="18" customHeight="1">
      <c r="A49" s="282">
        <v>44</v>
      </c>
      <c r="B49" s="50">
        <f>+'Joueurs et TirageV'!C50</f>
        <v>0</v>
      </c>
      <c r="C49" s="136" t="str">
        <f>IF(ISNA(VLOOKUP(B49,RésultatsV!$B$10:$E$248,3,0)),"0",VLOOKUP(B49,RésultatsV!$B$10:$E$248,3,0))</f>
        <v>0</v>
      </c>
      <c r="D49" s="136">
        <f>IF(ISNA(VLOOKUP(B49,RésultatsV!$B$10:$E$248,4,0)),"0",VLOOKUP(B49,RésultatsV!$B$10:$E$248,4,0))</f>
        <v>0</v>
      </c>
      <c r="E49" s="136">
        <f>IF(ISNA(VLOOKUP(B49,RésultatsV!$B$10:$E$248,2,0)),"0",VLOOKUP(B49,RésultatsV!$B$10:$E$248,2,0))</f>
        <v>0</v>
      </c>
      <c r="F49" s="136">
        <f>IF(ISNA(VLOOKUP(B49,RésultatsV!$G$10:$J$248,3,0)),"0",VLOOKUP(B49,RésultatsV!$G$10:$J$248,3,0))</f>
        <v>0</v>
      </c>
      <c r="G49" s="136">
        <f>IF(ISNA(VLOOKUP(B49,RésultatsV!$G$10:$J$248,4,0)),"0",VLOOKUP(B49,RésultatsV!$G$10:$J$248,4,0))</f>
        <v>0</v>
      </c>
      <c r="H49" s="136">
        <f>IF(ISNA(VLOOKUP(B49,RésultatsV!$G$10:$J$248,2,0)),"0",VLOOKUP(B49,RésultatsV!$G$10:$J$248,2,0))</f>
        <v>0</v>
      </c>
      <c r="I49" s="136">
        <f>IF(ISNA(VLOOKUP(B49,RésultatsV!$L$10:$O$248,3,0)),"0",VLOOKUP(B49,RésultatsV!$L$10:$O$248,3,0))</f>
        <v>0</v>
      </c>
      <c r="J49" s="136">
        <f>IF(ISNA(VLOOKUP(B49,RésultatsV!$L$10:$O$248,4,0)),"0",VLOOKUP(B49,RésultatsV!$L$10:$O$248,4,0))</f>
        <v>0</v>
      </c>
      <c r="K49" s="136">
        <f>IF(ISNA(VLOOKUP(B49,RésultatsV!$L$10:$O$248,2,0)),"0",VLOOKUP(B49,RésultatsV!$L$10:$O$248,2,0))</f>
        <v>0</v>
      </c>
      <c r="L49" s="136">
        <f>IF(ISNA(VLOOKUP(B49,RésultatsV!$Q$10:$T$248,3,0)),"0",VLOOKUP(B49,RésultatsV!$Q$10:$T$248,3,0))</f>
        <v>0</v>
      </c>
      <c r="M49" s="136">
        <f>IF(ISNA(VLOOKUP(B49,RésultatsV!$Q$10:$T$248,4,0)),"0",VLOOKUP(B49,RésultatsV!$Q$10:$T$248,4,0))</f>
        <v>0</v>
      </c>
      <c r="N49" s="136">
        <f>IF(ISNA(VLOOKUP(B49,RésultatsV!$Q$10:$T$248,2,0)),"0",VLOOKUP(B49,RésultatsV!$Q$10:$T$248,2,0))</f>
        <v>0</v>
      </c>
      <c r="O49" s="136">
        <f>IF(ISNA(VLOOKUP(B49,RésultatsV!$V$10:$Y$248,3,0)),"0",VLOOKUP(B49,RésultatsV!$V$10:$Y$248,3,0))</f>
        <v>0</v>
      </c>
      <c r="P49" s="136">
        <f>IF(ISNA(VLOOKUP(B49,RésultatsV!$V$10:$Y$248,4,0)),"0",VLOOKUP(B49,RésultatsV!$V$10:$Y$248,4,0))</f>
        <v>0</v>
      </c>
      <c r="Q49" s="136">
        <f>IF(ISNA(VLOOKUP(E49,RésultatsV!$V$10:$Y$248,2,0)),"0",VLOOKUP(E49,RésultatsV!$V$10:$Y$248,2,0))</f>
        <v>0</v>
      </c>
      <c r="R49" s="136">
        <f>IF(ISNA(VLOOKUP(B49,RésultatsV!$AA$10:$AD$248,3,0)),"0",VLOOKUP(B49,RésultatsV!$AA$10:$AD$248,3,0))</f>
        <v>0</v>
      </c>
      <c r="S49" s="136">
        <f>IF(ISNA(VLOOKUP(B49,RésultatsV!$AA$10:$AD$248,4,0)),"0",VLOOKUP(B49,RésultatsV!$AA$10:$AD$248,4,0))</f>
        <v>0</v>
      </c>
      <c r="T49" s="136">
        <f>IF(ISNA(VLOOKUP(B49,RésultatsV!$AA$10:$AD$248,2,0)),"0",VLOOKUP(B49,RésultatsV!$AA$10:$AD$248,2,0))</f>
        <v>0</v>
      </c>
      <c r="U49" s="110">
        <f t="shared" si="15"/>
        <v>0</v>
      </c>
      <c r="V49" s="103">
        <f t="shared" si="16"/>
        <v>0</v>
      </c>
      <c r="W49" s="106">
        <f t="shared" si="4"/>
        <v>0</v>
      </c>
      <c r="X49" s="61">
        <f t="shared" si="10"/>
        <v>0</v>
      </c>
      <c r="Y49" s="52">
        <f t="shared" si="14"/>
        <v>0</v>
      </c>
      <c r="Z49" s="104">
        <f t="shared" si="7"/>
        <v>23.00015849</v>
      </c>
      <c r="AA49" s="115">
        <f>IF(B49="","",SMALL(Z$6:Z$185,ROWS(AD$6:AD49)))</f>
        <v>23.00015835</v>
      </c>
      <c r="AB49" s="270"/>
      <c r="AC49" s="4">
        <f>IF(OR(B49="",U49=""),"",INDEX($B$6:$B$185,MATCH(AA49,$Z$6:Z$185,0)))</f>
        <v>0</v>
      </c>
      <c r="AD49" s="4">
        <f t="shared" si="17"/>
        <v>0</v>
      </c>
      <c r="AE49" s="4">
        <f t="shared" si="18"/>
        <v>0</v>
      </c>
      <c r="AF49" s="113">
        <f t="shared" si="8"/>
        <v>0</v>
      </c>
      <c r="AG49" s="271">
        <f>IF(AA49="","",IF(AND(AD48=AD49,AE48=AE49,AF48=AF49),AG48,$AG$6+43))</f>
        <v>23</v>
      </c>
      <c r="AH49" s="34"/>
      <c r="AI49" s="94">
        <v>17</v>
      </c>
    </row>
    <row r="50" spans="1:35" s="23" customFormat="1" ht="18" customHeight="1">
      <c r="A50" s="282">
        <v>45</v>
      </c>
      <c r="B50" s="50">
        <f>+'Joueurs et TirageV'!C51</f>
        <v>0</v>
      </c>
      <c r="C50" s="136" t="str">
        <f>IF(ISNA(VLOOKUP(B50,RésultatsV!$B$10:$E$248,3,0)),"0",VLOOKUP(B50,RésultatsV!$B$10:$E$248,3,0))</f>
        <v>0</v>
      </c>
      <c r="D50" s="136">
        <f>IF(ISNA(VLOOKUP(B50,RésultatsV!$B$10:$E$248,4,0)),"0",VLOOKUP(B50,RésultatsV!$B$10:$E$248,4,0))</f>
        <v>0</v>
      </c>
      <c r="E50" s="136">
        <f>IF(ISNA(VLOOKUP(B50,RésultatsV!$B$10:$E$248,2,0)),"0",VLOOKUP(B50,RésultatsV!$B$10:$E$248,2,0))</f>
        <v>0</v>
      </c>
      <c r="F50" s="136">
        <f>IF(ISNA(VLOOKUP(B50,RésultatsV!$G$10:$J$248,3,0)),"0",VLOOKUP(B50,RésultatsV!$G$10:$J$248,3,0))</f>
        <v>0</v>
      </c>
      <c r="G50" s="136">
        <f>IF(ISNA(VLOOKUP(B50,RésultatsV!$G$10:$J$248,4,0)),"0",VLOOKUP(B50,RésultatsV!$G$10:$J$248,4,0))</f>
        <v>0</v>
      </c>
      <c r="H50" s="136">
        <f>IF(ISNA(VLOOKUP(B50,RésultatsV!$G$10:$J$248,2,0)),"0",VLOOKUP(B50,RésultatsV!$G$10:$J$248,2,0))</f>
        <v>0</v>
      </c>
      <c r="I50" s="136">
        <f>IF(ISNA(VLOOKUP(B50,RésultatsV!$L$10:$O$248,3,0)),"0",VLOOKUP(B50,RésultatsV!$L$10:$O$248,3,0))</f>
        <v>0</v>
      </c>
      <c r="J50" s="136">
        <f>IF(ISNA(VLOOKUP(B50,RésultatsV!$L$10:$O$248,4,0)),"0",VLOOKUP(B50,RésultatsV!$L$10:$O$248,4,0))</f>
        <v>0</v>
      </c>
      <c r="K50" s="136">
        <f>IF(ISNA(VLOOKUP(B50,RésultatsV!$L$10:$O$248,2,0)),"0",VLOOKUP(B50,RésultatsV!$L$10:$O$248,2,0))</f>
        <v>0</v>
      </c>
      <c r="L50" s="136">
        <f>IF(ISNA(VLOOKUP(B50,RésultatsV!$Q$10:$T$248,3,0)),"0",VLOOKUP(B50,RésultatsV!$Q$10:$T$248,3,0))</f>
        <v>0</v>
      </c>
      <c r="M50" s="136">
        <f>IF(ISNA(VLOOKUP(B50,RésultatsV!$Q$10:$T$248,4,0)),"0",VLOOKUP(B50,RésultatsV!$Q$10:$T$248,4,0))</f>
        <v>0</v>
      </c>
      <c r="N50" s="136">
        <f>IF(ISNA(VLOOKUP(B50,RésultatsV!$Q$10:$T$248,2,0)),"0",VLOOKUP(B50,RésultatsV!$Q$10:$T$248,2,0))</f>
        <v>0</v>
      </c>
      <c r="O50" s="136">
        <f>IF(ISNA(VLOOKUP(B50,RésultatsV!$V$10:$Y$248,3,0)),"0",VLOOKUP(B50,RésultatsV!$V$10:$Y$248,3,0))</f>
        <v>0</v>
      </c>
      <c r="P50" s="136">
        <f>IF(ISNA(VLOOKUP(B50,RésultatsV!$V$10:$Y$248,4,0)),"0",VLOOKUP(B50,RésultatsV!$V$10:$Y$248,4,0))</f>
        <v>0</v>
      </c>
      <c r="Q50" s="136">
        <f>IF(ISNA(VLOOKUP(E50,RésultatsV!$V$10:$Y$248,2,0)),"0",VLOOKUP(E50,RésultatsV!$V$10:$Y$248,2,0))</f>
        <v>0</v>
      </c>
      <c r="R50" s="136">
        <f>IF(ISNA(VLOOKUP(B50,RésultatsV!$AA$10:$AD$248,3,0)),"0",VLOOKUP(B50,RésultatsV!$AA$10:$AD$248,3,0))</f>
        <v>0</v>
      </c>
      <c r="S50" s="136">
        <f>IF(ISNA(VLOOKUP(B50,RésultatsV!$AA$10:$AD$248,4,0)),"0",VLOOKUP(B50,RésultatsV!$AA$10:$AD$248,4,0))</f>
        <v>0</v>
      </c>
      <c r="T50" s="136">
        <f>IF(ISNA(VLOOKUP(B50,RésultatsV!$AA$10:$AD$248,2,0)),"0",VLOOKUP(B50,RésultatsV!$AA$10:$AD$248,2,0))</f>
        <v>0</v>
      </c>
      <c r="U50" s="110">
        <f t="shared" si="15"/>
        <v>0</v>
      </c>
      <c r="V50" s="103">
        <f t="shared" si="16"/>
        <v>0</v>
      </c>
      <c r="W50" s="106">
        <f t="shared" si="4"/>
        <v>0</v>
      </c>
      <c r="X50" s="61">
        <f t="shared" si="10"/>
        <v>0</v>
      </c>
      <c r="Y50" s="52">
        <f t="shared" si="14"/>
        <v>0</v>
      </c>
      <c r="Z50" s="104">
        <f t="shared" si="7"/>
        <v>23.000158499999998</v>
      </c>
      <c r="AA50" s="115">
        <f>IF(B50="","",SMALL(Z$6:Z$185,ROWS(AD$6:AD50)))</f>
        <v>23.00015836</v>
      </c>
      <c r="AB50" s="270"/>
      <c r="AC50" s="4">
        <f>IF(OR(B50="",U50=""),"",INDEX($B$6:$B$185,MATCH(AA50,$Z$6:Z$185,0)))</f>
        <v>0</v>
      </c>
      <c r="AD50" s="4">
        <f t="shared" si="17"/>
        <v>0</v>
      </c>
      <c r="AE50" s="4">
        <f t="shared" si="18"/>
        <v>0</v>
      </c>
      <c r="AF50" s="113">
        <f t="shared" si="8"/>
        <v>0</v>
      </c>
      <c r="AG50" s="271">
        <f>IF(AA50="","",IF(AND(AD49=AD50,AE49=AE50,AF49=AF50),AG49,$AG$6+44))</f>
        <v>23</v>
      </c>
      <c r="AH50" s="34"/>
      <c r="AI50" s="94">
        <v>16</v>
      </c>
    </row>
    <row r="51" spans="1:35" s="23" customFormat="1" ht="18" customHeight="1">
      <c r="A51" s="282">
        <v>46</v>
      </c>
      <c r="B51" s="50">
        <f>+'Joueurs et TirageV'!C52</f>
        <v>0</v>
      </c>
      <c r="C51" s="136" t="str">
        <f>IF(ISNA(VLOOKUP(B51,RésultatsV!$B$10:$E$248,3,0)),"0",VLOOKUP(B51,RésultatsV!$B$10:$E$248,3,0))</f>
        <v>0</v>
      </c>
      <c r="D51" s="136">
        <f>IF(ISNA(VLOOKUP(B51,RésultatsV!$B$10:$E$248,4,0)),"0",VLOOKUP(B51,RésultatsV!$B$10:$E$248,4,0))</f>
        <v>0</v>
      </c>
      <c r="E51" s="136">
        <f>IF(ISNA(VLOOKUP(B51,RésultatsV!$B$10:$E$248,2,0)),"0",VLOOKUP(B51,RésultatsV!$B$10:$E$248,2,0))</f>
        <v>0</v>
      </c>
      <c r="F51" s="136">
        <f>IF(ISNA(VLOOKUP(B51,RésultatsV!$G$10:$J$248,3,0)),"0",VLOOKUP(B51,RésultatsV!$G$10:$J$248,3,0))</f>
        <v>0</v>
      </c>
      <c r="G51" s="136">
        <f>IF(ISNA(VLOOKUP(B51,RésultatsV!$G$10:$J$248,4,0)),"0",VLOOKUP(B51,RésultatsV!$G$10:$J$248,4,0))</f>
        <v>0</v>
      </c>
      <c r="H51" s="136">
        <f>IF(ISNA(VLOOKUP(B51,RésultatsV!$G$10:$J$248,2,0)),"0",VLOOKUP(B51,RésultatsV!$G$10:$J$248,2,0))</f>
        <v>0</v>
      </c>
      <c r="I51" s="136">
        <f>IF(ISNA(VLOOKUP(B51,RésultatsV!$L$10:$O$248,3,0)),"0",VLOOKUP(B51,RésultatsV!$L$10:$O$248,3,0))</f>
        <v>0</v>
      </c>
      <c r="J51" s="136">
        <f>IF(ISNA(VLOOKUP(B51,RésultatsV!$L$10:$O$248,4,0)),"0",VLOOKUP(B51,RésultatsV!$L$10:$O$248,4,0))</f>
        <v>0</v>
      </c>
      <c r="K51" s="136">
        <f>IF(ISNA(VLOOKUP(B51,RésultatsV!$L$10:$O$248,2,0)),"0",VLOOKUP(B51,RésultatsV!$L$10:$O$248,2,0))</f>
        <v>0</v>
      </c>
      <c r="L51" s="136">
        <f>IF(ISNA(VLOOKUP(B51,RésultatsV!$Q$10:$T$248,3,0)),"0",VLOOKUP(B51,RésultatsV!$Q$10:$T$248,3,0))</f>
        <v>0</v>
      </c>
      <c r="M51" s="136">
        <f>IF(ISNA(VLOOKUP(B51,RésultatsV!$Q$10:$T$248,4,0)),"0",VLOOKUP(B51,RésultatsV!$Q$10:$T$248,4,0))</f>
        <v>0</v>
      </c>
      <c r="N51" s="136">
        <f>IF(ISNA(VLOOKUP(B51,RésultatsV!$Q$10:$T$248,2,0)),"0",VLOOKUP(B51,RésultatsV!$Q$10:$T$248,2,0))</f>
        <v>0</v>
      </c>
      <c r="O51" s="136">
        <f>IF(ISNA(VLOOKUP(B51,RésultatsV!$V$10:$Y$248,3,0)),"0",VLOOKUP(B51,RésultatsV!$V$10:$Y$248,3,0))</f>
        <v>0</v>
      </c>
      <c r="P51" s="136">
        <f>IF(ISNA(VLOOKUP(B51,RésultatsV!$V$10:$Y$248,4,0)),"0",VLOOKUP(B51,RésultatsV!$V$10:$Y$248,4,0))</f>
        <v>0</v>
      </c>
      <c r="Q51" s="136">
        <f>IF(ISNA(VLOOKUP(E51,RésultatsV!$V$10:$Y$248,2,0)),"0",VLOOKUP(E51,RésultatsV!$V$10:$Y$248,2,0))</f>
        <v>0</v>
      </c>
      <c r="R51" s="136">
        <f>IF(ISNA(VLOOKUP(B51,RésultatsV!$AA$10:$AD$248,3,0)),"0",VLOOKUP(B51,RésultatsV!$AA$10:$AD$248,3,0))</f>
        <v>0</v>
      </c>
      <c r="S51" s="136">
        <f>IF(ISNA(VLOOKUP(B51,RésultatsV!$AA$10:$AD$248,4,0)),"0",VLOOKUP(B51,RésultatsV!$AA$10:$AD$248,4,0))</f>
        <v>0</v>
      </c>
      <c r="T51" s="136">
        <f>IF(ISNA(VLOOKUP(B51,RésultatsV!$AA$10:$AD$248,2,0)),"0",VLOOKUP(B51,RésultatsV!$AA$10:$AD$248,2,0))</f>
        <v>0</v>
      </c>
      <c r="U51" s="110">
        <f t="shared" si="15"/>
        <v>0</v>
      </c>
      <c r="V51" s="103">
        <f t="shared" si="16"/>
        <v>0</v>
      </c>
      <c r="W51" s="106">
        <f t="shared" si="4"/>
        <v>0</v>
      </c>
      <c r="X51" s="61">
        <f t="shared" si="10"/>
        <v>0</v>
      </c>
      <c r="Y51" s="52">
        <f t="shared" si="14"/>
        <v>0</v>
      </c>
      <c r="Z51" s="104">
        <f t="shared" si="7"/>
        <v>23.000158509999999</v>
      </c>
      <c r="AA51" s="115">
        <f>IF(B51="","",SMALL(Z$6:Z$185,ROWS(AD$6:AD51)))</f>
        <v>23.000158369999998</v>
      </c>
      <c r="AB51" s="270"/>
      <c r="AC51" s="4">
        <f>IF(OR(B51="",U51=""),"",INDEX($B$6:$B$185,MATCH(AA51,$Z$6:Z$185,0)))</f>
        <v>0</v>
      </c>
      <c r="AD51" s="4">
        <f t="shared" si="17"/>
        <v>0</v>
      </c>
      <c r="AE51" s="4">
        <f t="shared" si="18"/>
        <v>0</v>
      </c>
      <c r="AF51" s="113">
        <f t="shared" si="8"/>
        <v>0</v>
      </c>
      <c r="AG51" s="271">
        <f>IF(AA51="","",IF(AND(AD50=AD51,AE50=AE51,AF50=AF51),AG50,$AG$6+45))</f>
        <v>23</v>
      </c>
      <c r="AH51" s="34"/>
      <c r="AI51" s="94">
        <v>15</v>
      </c>
    </row>
    <row r="52" spans="1:35" s="23" customFormat="1" ht="18" customHeight="1">
      <c r="A52" s="282">
        <v>47</v>
      </c>
      <c r="B52" s="50">
        <f>+'Joueurs et TirageV'!C53</f>
        <v>0</v>
      </c>
      <c r="C52" s="136" t="str">
        <f>IF(ISNA(VLOOKUP(B52,RésultatsV!$B$10:$E$248,3,0)),"0",VLOOKUP(B52,RésultatsV!$B$10:$E$248,3,0))</f>
        <v>0</v>
      </c>
      <c r="D52" s="136">
        <f>IF(ISNA(VLOOKUP(B52,RésultatsV!$B$10:$E$248,4,0)),"0",VLOOKUP(B52,RésultatsV!$B$10:$E$248,4,0))</f>
        <v>0</v>
      </c>
      <c r="E52" s="136">
        <f>IF(ISNA(VLOOKUP(B52,RésultatsV!$B$10:$E$248,2,0)),"0",VLOOKUP(B52,RésultatsV!$B$10:$E$248,2,0))</f>
        <v>0</v>
      </c>
      <c r="F52" s="136">
        <f>IF(ISNA(VLOOKUP(B52,RésultatsV!$G$10:$J$248,3,0)),"0",VLOOKUP(B52,RésultatsV!$G$10:$J$248,3,0))</f>
        <v>0</v>
      </c>
      <c r="G52" s="136">
        <f>IF(ISNA(VLOOKUP(B52,RésultatsV!$G$10:$J$248,4,0)),"0",VLOOKUP(B52,RésultatsV!$G$10:$J$248,4,0))</f>
        <v>0</v>
      </c>
      <c r="H52" s="136">
        <f>IF(ISNA(VLOOKUP(B52,RésultatsV!$G$10:$J$248,2,0)),"0",VLOOKUP(B52,RésultatsV!$G$10:$J$248,2,0))</f>
        <v>0</v>
      </c>
      <c r="I52" s="136">
        <f>IF(ISNA(VLOOKUP(B52,RésultatsV!$L$10:$O$248,3,0)),"0",VLOOKUP(B52,RésultatsV!$L$10:$O$248,3,0))</f>
        <v>0</v>
      </c>
      <c r="J52" s="136">
        <f>IF(ISNA(VLOOKUP(B52,RésultatsV!$L$10:$O$248,4,0)),"0",VLOOKUP(B52,RésultatsV!$L$10:$O$248,4,0))</f>
        <v>0</v>
      </c>
      <c r="K52" s="136">
        <f>IF(ISNA(VLOOKUP(B52,RésultatsV!$L$10:$O$248,2,0)),"0",VLOOKUP(B52,RésultatsV!$L$10:$O$248,2,0))</f>
        <v>0</v>
      </c>
      <c r="L52" s="136">
        <f>IF(ISNA(VLOOKUP(B52,RésultatsV!$Q$10:$T$248,3,0)),"0",VLOOKUP(B52,RésultatsV!$Q$10:$T$248,3,0))</f>
        <v>0</v>
      </c>
      <c r="M52" s="136">
        <f>IF(ISNA(VLOOKUP(B52,RésultatsV!$Q$10:$T$248,4,0)),"0",VLOOKUP(B52,RésultatsV!$Q$10:$T$248,4,0))</f>
        <v>0</v>
      </c>
      <c r="N52" s="136">
        <f>IF(ISNA(VLOOKUP(B52,RésultatsV!$Q$10:$T$248,2,0)),"0",VLOOKUP(B52,RésultatsV!$Q$10:$T$248,2,0))</f>
        <v>0</v>
      </c>
      <c r="O52" s="136">
        <f>IF(ISNA(VLOOKUP(B52,RésultatsV!$V$10:$Y$248,3,0)),"0",VLOOKUP(B52,RésultatsV!$V$10:$Y$248,3,0))</f>
        <v>0</v>
      </c>
      <c r="P52" s="136">
        <f>IF(ISNA(VLOOKUP(B52,RésultatsV!$V$10:$Y$248,4,0)),"0",VLOOKUP(B52,RésultatsV!$V$10:$Y$248,4,0))</f>
        <v>0</v>
      </c>
      <c r="Q52" s="136">
        <f>IF(ISNA(VLOOKUP(E52,RésultatsV!$V$10:$Y$248,2,0)),"0",VLOOKUP(E52,RésultatsV!$V$10:$Y$248,2,0))</f>
        <v>0</v>
      </c>
      <c r="R52" s="136">
        <f>IF(ISNA(VLOOKUP(B52,RésultatsV!$AA$10:$AD$248,3,0)),"0",VLOOKUP(B52,RésultatsV!$AA$10:$AD$248,3,0))</f>
        <v>0</v>
      </c>
      <c r="S52" s="136">
        <f>IF(ISNA(VLOOKUP(B52,RésultatsV!$AA$10:$AD$248,4,0)),"0",VLOOKUP(B52,RésultatsV!$AA$10:$AD$248,4,0))</f>
        <v>0</v>
      </c>
      <c r="T52" s="136">
        <f>IF(ISNA(VLOOKUP(B52,RésultatsV!$AA$10:$AD$248,2,0)),"0",VLOOKUP(B52,RésultatsV!$AA$10:$AD$248,2,0))</f>
        <v>0</v>
      </c>
      <c r="U52" s="110">
        <f t="shared" si="15"/>
        <v>0</v>
      </c>
      <c r="V52" s="103">
        <f t="shared" si="16"/>
        <v>0</v>
      </c>
      <c r="W52" s="106">
        <f t="shared" si="4"/>
        <v>0</v>
      </c>
      <c r="X52" s="61">
        <f t="shared" si="10"/>
        <v>0</v>
      </c>
      <c r="Y52" s="52">
        <f t="shared" si="14"/>
        <v>0</v>
      </c>
      <c r="Z52" s="104">
        <f t="shared" si="7"/>
        <v>23.000158519999999</v>
      </c>
      <c r="AA52" s="115">
        <f>IF(B52="","",SMALL(Z$6:Z$185,ROWS(AD$6:AD52)))</f>
        <v>23.000158379999998</v>
      </c>
      <c r="AB52" s="270"/>
      <c r="AC52" s="4">
        <f>IF(OR(B52="",U52=""),"",INDEX($B$6:$B$185,MATCH(AA52,$Z$6:Z$185,0)))</f>
        <v>0</v>
      </c>
      <c r="AD52" s="4">
        <f t="shared" si="17"/>
        <v>0</v>
      </c>
      <c r="AE52" s="4">
        <f t="shared" si="18"/>
        <v>0</v>
      </c>
      <c r="AF52" s="113">
        <f t="shared" si="8"/>
        <v>0</v>
      </c>
      <c r="AG52" s="271">
        <f>IF(AA52="","",IF(AND(AD51=AD52,AE51=AE52,AF51=AF52),AG51,$AG$6+46))</f>
        <v>23</v>
      </c>
      <c r="AH52" s="34"/>
      <c r="AI52" s="94">
        <v>14</v>
      </c>
    </row>
    <row r="53" spans="1:35" s="23" customFormat="1" ht="18" customHeight="1">
      <c r="A53" s="282">
        <v>48</v>
      </c>
      <c r="B53" s="50">
        <f>+'Joueurs et TirageV'!C54</f>
        <v>0</v>
      </c>
      <c r="C53" s="136" t="str">
        <f>IF(ISNA(VLOOKUP(B53,RésultatsV!$B$10:$E$248,3,0)),"0",VLOOKUP(B53,RésultatsV!$B$10:$E$248,3,0))</f>
        <v>0</v>
      </c>
      <c r="D53" s="136">
        <f>IF(ISNA(VLOOKUP(B53,RésultatsV!$B$10:$E$248,4,0)),"0",VLOOKUP(B53,RésultatsV!$B$10:$E$248,4,0))</f>
        <v>0</v>
      </c>
      <c r="E53" s="136">
        <f>IF(ISNA(VLOOKUP(B53,RésultatsV!$B$10:$E$248,2,0)),"0",VLOOKUP(B53,RésultatsV!$B$10:$E$248,2,0))</f>
        <v>0</v>
      </c>
      <c r="F53" s="136">
        <f>IF(ISNA(VLOOKUP(B53,RésultatsV!$G$10:$J$248,3,0)),"0",VLOOKUP(B53,RésultatsV!$G$10:$J$248,3,0))</f>
        <v>0</v>
      </c>
      <c r="G53" s="136">
        <f>IF(ISNA(VLOOKUP(B53,RésultatsV!$G$10:$J$248,4,0)),"0",VLOOKUP(B53,RésultatsV!$G$10:$J$248,4,0))</f>
        <v>0</v>
      </c>
      <c r="H53" s="136">
        <f>IF(ISNA(VLOOKUP(B53,RésultatsV!$G$10:$J$248,2,0)),"0",VLOOKUP(B53,RésultatsV!$G$10:$J$248,2,0))</f>
        <v>0</v>
      </c>
      <c r="I53" s="136">
        <f>IF(ISNA(VLOOKUP(B53,RésultatsV!$L$10:$O$248,3,0)),"0",VLOOKUP(B53,RésultatsV!$L$10:$O$248,3,0))</f>
        <v>0</v>
      </c>
      <c r="J53" s="136">
        <f>IF(ISNA(VLOOKUP(B53,RésultatsV!$L$10:$O$248,4,0)),"0",VLOOKUP(B53,RésultatsV!$L$10:$O$248,4,0))</f>
        <v>0</v>
      </c>
      <c r="K53" s="136">
        <f>IF(ISNA(VLOOKUP(B53,RésultatsV!$L$10:$O$248,2,0)),"0",VLOOKUP(B53,RésultatsV!$L$10:$O$248,2,0))</f>
        <v>0</v>
      </c>
      <c r="L53" s="136">
        <f>IF(ISNA(VLOOKUP(B53,RésultatsV!$Q$10:$T$248,3,0)),"0",VLOOKUP(B53,RésultatsV!$Q$10:$T$248,3,0))</f>
        <v>0</v>
      </c>
      <c r="M53" s="136">
        <f>IF(ISNA(VLOOKUP(B53,RésultatsV!$Q$10:$T$248,4,0)),"0",VLOOKUP(B53,RésultatsV!$Q$10:$T$248,4,0))</f>
        <v>0</v>
      </c>
      <c r="N53" s="136">
        <f>IF(ISNA(VLOOKUP(B53,RésultatsV!$Q$10:$T$248,2,0)),"0",VLOOKUP(B53,RésultatsV!$Q$10:$T$248,2,0))</f>
        <v>0</v>
      </c>
      <c r="O53" s="136">
        <f>IF(ISNA(VLOOKUP(B53,RésultatsV!$V$10:$Y$248,3,0)),"0",VLOOKUP(B53,RésultatsV!$V$10:$Y$248,3,0))</f>
        <v>0</v>
      </c>
      <c r="P53" s="136">
        <f>IF(ISNA(VLOOKUP(B53,RésultatsV!$V$10:$Y$248,4,0)),"0",VLOOKUP(B53,RésultatsV!$V$10:$Y$248,4,0))</f>
        <v>0</v>
      </c>
      <c r="Q53" s="136">
        <f>IF(ISNA(VLOOKUP(E53,RésultatsV!$V$10:$Y$248,2,0)),"0",VLOOKUP(E53,RésultatsV!$V$10:$Y$248,2,0))</f>
        <v>0</v>
      </c>
      <c r="R53" s="136">
        <f>IF(ISNA(VLOOKUP(B53,RésultatsV!$AA$10:$AD$248,3,0)),"0",VLOOKUP(B53,RésultatsV!$AA$10:$AD$248,3,0))</f>
        <v>0</v>
      </c>
      <c r="S53" s="136">
        <f>IF(ISNA(VLOOKUP(B53,RésultatsV!$AA$10:$AD$248,4,0)),"0",VLOOKUP(B53,RésultatsV!$AA$10:$AD$248,4,0))</f>
        <v>0</v>
      </c>
      <c r="T53" s="136">
        <f>IF(ISNA(VLOOKUP(B53,RésultatsV!$AA$10:$AD$248,2,0)),"0",VLOOKUP(B53,RésultatsV!$AA$10:$AD$248,2,0))</f>
        <v>0</v>
      </c>
      <c r="U53" s="110">
        <f t="shared" si="15"/>
        <v>0</v>
      </c>
      <c r="V53" s="103">
        <f t="shared" si="16"/>
        <v>0</v>
      </c>
      <c r="W53" s="106">
        <f t="shared" si="4"/>
        <v>0</v>
      </c>
      <c r="X53" s="61">
        <f t="shared" si="10"/>
        <v>0</v>
      </c>
      <c r="Y53" s="52">
        <f t="shared" si="14"/>
        <v>0</v>
      </c>
      <c r="Z53" s="104">
        <f t="shared" si="7"/>
        <v>23.00015853</v>
      </c>
      <c r="AA53" s="115">
        <f>IF(B53="","",SMALL(Z$6:Z$185,ROWS(AD$6:AD53)))</f>
        <v>23.000158389999999</v>
      </c>
      <c r="AB53" s="270"/>
      <c r="AC53" s="4">
        <f>IF(OR(B53="",U53=""),"",INDEX($B$6:$B$185,MATCH(AA53,$Z$6:Z$185,0)))</f>
        <v>0</v>
      </c>
      <c r="AD53" s="4">
        <f t="shared" si="17"/>
        <v>0</v>
      </c>
      <c r="AE53" s="4">
        <f t="shared" si="18"/>
        <v>0</v>
      </c>
      <c r="AF53" s="113">
        <f t="shared" si="8"/>
        <v>0</v>
      </c>
      <c r="AG53" s="271">
        <f>IF(AA53="","",IF(AND(AD52=AD53,AE52=AE53,AF52=AF53),AG52,$AG$6+47))</f>
        <v>23</v>
      </c>
      <c r="AH53" s="34"/>
      <c r="AI53" s="94">
        <v>13</v>
      </c>
    </row>
    <row r="54" spans="1:35" s="23" customFormat="1" ht="18" customHeight="1">
      <c r="A54" s="282">
        <v>49</v>
      </c>
      <c r="B54" s="50">
        <f>+'Joueurs et TirageV'!C55</f>
        <v>0</v>
      </c>
      <c r="C54" s="136" t="str">
        <f>IF(ISNA(VLOOKUP(B54,RésultatsV!$B$10:$E$248,3,0)),"0",VLOOKUP(B54,RésultatsV!$B$10:$E$248,3,0))</f>
        <v>0</v>
      </c>
      <c r="D54" s="136">
        <f>IF(ISNA(VLOOKUP(B54,RésultatsV!$B$10:$E$248,4,0)),"0",VLOOKUP(B54,RésultatsV!$B$10:$E$248,4,0))</f>
        <v>0</v>
      </c>
      <c r="E54" s="136">
        <f>IF(ISNA(VLOOKUP(B54,RésultatsV!$B$10:$E$248,2,0)),"0",VLOOKUP(B54,RésultatsV!$B$10:$E$248,2,0))</f>
        <v>0</v>
      </c>
      <c r="F54" s="136">
        <f>IF(ISNA(VLOOKUP(B54,RésultatsV!$G$10:$J$248,3,0)),"0",VLOOKUP(B54,RésultatsV!$G$10:$J$248,3,0))</f>
        <v>0</v>
      </c>
      <c r="G54" s="136">
        <f>IF(ISNA(VLOOKUP(B54,RésultatsV!$G$10:$J$248,4,0)),"0",VLOOKUP(B54,RésultatsV!$G$10:$J$248,4,0))</f>
        <v>0</v>
      </c>
      <c r="H54" s="136">
        <f>IF(ISNA(VLOOKUP(B54,RésultatsV!$G$10:$J$248,2,0)),"0",VLOOKUP(B54,RésultatsV!$G$10:$J$248,2,0))</f>
        <v>0</v>
      </c>
      <c r="I54" s="136">
        <f>IF(ISNA(VLOOKUP(B54,RésultatsV!$L$10:$O$248,3,0)),"0",VLOOKUP(B54,RésultatsV!$L$10:$O$248,3,0))</f>
        <v>0</v>
      </c>
      <c r="J54" s="136">
        <f>IF(ISNA(VLOOKUP(B54,RésultatsV!$L$10:$O$248,4,0)),"0",VLOOKUP(B54,RésultatsV!$L$10:$O$248,4,0))</f>
        <v>0</v>
      </c>
      <c r="K54" s="136">
        <f>IF(ISNA(VLOOKUP(B54,RésultatsV!$L$10:$O$248,2,0)),"0",VLOOKUP(B54,RésultatsV!$L$10:$O$248,2,0))</f>
        <v>0</v>
      </c>
      <c r="L54" s="136">
        <f>IF(ISNA(VLOOKUP(B54,RésultatsV!$Q$10:$T$248,3,0)),"0",VLOOKUP(B54,RésultatsV!$Q$10:$T$248,3,0))</f>
        <v>0</v>
      </c>
      <c r="M54" s="136">
        <f>IF(ISNA(VLOOKUP(B54,RésultatsV!$Q$10:$T$248,4,0)),"0",VLOOKUP(B54,RésultatsV!$Q$10:$T$248,4,0))</f>
        <v>0</v>
      </c>
      <c r="N54" s="136">
        <f>IF(ISNA(VLOOKUP(B54,RésultatsV!$Q$10:$T$248,2,0)),"0",VLOOKUP(B54,RésultatsV!$Q$10:$T$248,2,0))</f>
        <v>0</v>
      </c>
      <c r="O54" s="136">
        <f>IF(ISNA(VLOOKUP(B54,RésultatsV!$V$10:$Y$248,3,0)),"0",VLOOKUP(B54,RésultatsV!$V$10:$Y$248,3,0))</f>
        <v>0</v>
      </c>
      <c r="P54" s="136">
        <f>IF(ISNA(VLOOKUP(B54,RésultatsV!$V$10:$Y$248,4,0)),"0",VLOOKUP(B54,RésultatsV!$V$10:$Y$248,4,0))</f>
        <v>0</v>
      </c>
      <c r="Q54" s="136">
        <f>IF(ISNA(VLOOKUP(E54,RésultatsV!$V$10:$Y$248,2,0)),"0",VLOOKUP(E54,RésultatsV!$V$10:$Y$248,2,0))</f>
        <v>0</v>
      </c>
      <c r="R54" s="136">
        <f>IF(ISNA(VLOOKUP(B54,RésultatsV!$AA$10:$AD$248,3,0)),"0",VLOOKUP(B54,RésultatsV!$AA$10:$AD$248,3,0))</f>
        <v>0</v>
      </c>
      <c r="S54" s="136">
        <f>IF(ISNA(VLOOKUP(B54,RésultatsV!$AA$10:$AD$248,4,0)),"0",VLOOKUP(B54,RésultatsV!$AA$10:$AD$248,4,0))</f>
        <v>0</v>
      </c>
      <c r="T54" s="136">
        <f>IF(ISNA(VLOOKUP(B54,RésultatsV!$AA$10:$AD$248,2,0)),"0",VLOOKUP(B54,RésultatsV!$AA$10:$AD$248,2,0))</f>
        <v>0</v>
      </c>
      <c r="U54" s="110">
        <f t="shared" si="15"/>
        <v>0</v>
      </c>
      <c r="V54" s="103">
        <f t="shared" si="16"/>
        <v>0</v>
      </c>
      <c r="W54" s="106">
        <f t="shared" si="4"/>
        <v>0</v>
      </c>
      <c r="X54" s="61">
        <f t="shared" si="10"/>
        <v>0</v>
      </c>
      <c r="Y54" s="52">
        <f t="shared" si="14"/>
        <v>0</v>
      </c>
      <c r="Z54" s="104">
        <f t="shared" si="7"/>
        <v>23.000158539999997</v>
      </c>
      <c r="AA54" s="115">
        <f>IF(B54="","",SMALL(Z$6:Z$185,ROWS(AD$6:AD54)))</f>
        <v>23.0001584</v>
      </c>
      <c r="AB54" s="270"/>
      <c r="AC54" s="4">
        <f>IF(OR(B54="",U54=""),"",INDEX($B$6:$B$185,MATCH(AA54,$Z$6:Z$185,0)))</f>
        <v>0</v>
      </c>
      <c r="AD54" s="4">
        <f t="shared" si="17"/>
        <v>0</v>
      </c>
      <c r="AE54" s="4">
        <f t="shared" si="18"/>
        <v>0</v>
      </c>
      <c r="AF54" s="113">
        <f t="shared" si="8"/>
        <v>0</v>
      </c>
      <c r="AG54" s="271">
        <f>IF(AA54="","",IF(AND(AD53=AD54,AE53=AE54,AF53=AF54),AG53,$AG$6+48))</f>
        <v>23</v>
      </c>
      <c r="AH54" s="34"/>
      <c r="AI54" s="94">
        <v>12</v>
      </c>
    </row>
    <row r="55" spans="1:35" s="23" customFormat="1" ht="18" customHeight="1">
      <c r="A55" s="282">
        <v>50</v>
      </c>
      <c r="B55" s="50">
        <f>+'Joueurs et TirageV'!C56</f>
        <v>0</v>
      </c>
      <c r="C55" s="136" t="str">
        <f>IF(ISNA(VLOOKUP(B55,RésultatsV!$B$10:$E$248,3,0)),"0",VLOOKUP(B55,RésultatsV!$B$10:$E$248,3,0))</f>
        <v>0</v>
      </c>
      <c r="D55" s="136">
        <f>IF(ISNA(VLOOKUP(B55,RésultatsV!$B$10:$E$248,4,0)),"0",VLOOKUP(B55,RésultatsV!$B$10:$E$248,4,0))</f>
        <v>0</v>
      </c>
      <c r="E55" s="136">
        <f>IF(ISNA(VLOOKUP(B55,RésultatsV!$B$10:$E$248,2,0)),"0",VLOOKUP(B55,RésultatsV!$B$10:$E$248,2,0))</f>
        <v>0</v>
      </c>
      <c r="F55" s="136">
        <f>IF(ISNA(VLOOKUP(B55,RésultatsV!$G$10:$J$248,3,0)),"0",VLOOKUP(B55,RésultatsV!$G$10:$J$248,3,0))</f>
        <v>0</v>
      </c>
      <c r="G55" s="136">
        <f>IF(ISNA(VLOOKUP(B55,RésultatsV!$G$10:$J$248,4,0)),"0",VLOOKUP(B55,RésultatsV!$G$10:$J$248,4,0))</f>
        <v>0</v>
      </c>
      <c r="H55" s="136">
        <f>IF(ISNA(VLOOKUP(B55,RésultatsV!$G$10:$J$248,2,0)),"0",VLOOKUP(B55,RésultatsV!$G$10:$J$248,2,0))</f>
        <v>0</v>
      </c>
      <c r="I55" s="136">
        <f>IF(ISNA(VLOOKUP(B55,RésultatsV!$L$10:$O$248,3,0)),"0",VLOOKUP(B55,RésultatsV!$L$10:$O$248,3,0))</f>
        <v>0</v>
      </c>
      <c r="J55" s="136">
        <f>IF(ISNA(VLOOKUP(B55,RésultatsV!$L$10:$O$248,4,0)),"0",VLOOKUP(B55,RésultatsV!$L$10:$O$248,4,0))</f>
        <v>0</v>
      </c>
      <c r="K55" s="136">
        <f>IF(ISNA(VLOOKUP(B55,RésultatsV!$L$10:$O$248,2,0)),"0",VLOOKUP(B55,RésultatsV!$L$10:$O$248,2,0))</f>
        <v>0</v>
      </c>
      <c r="L55" s="136">
        <f>IF(ISNA(VLOOKUP(B55,RésultatsV!$Q$10:$T$248,3,0)),"0",VLOOKUP(B55,RésultatsV!$Q$10:$T$248,3,0))</f>
        <v>0</v>
      </c>
      <c r="M55" s="136">
        <f>IF(ISNA(VLOOKUP(B55,RésultatsV!$Q$10:$T$248,4,0)),"0",VLOOKUP(B55,RésultatsV!$Q$10:$T$248,4,0))</f>
        <v>0</v>
      </c>
      <c r="N55" s="136">
        <f>IF(ISNA(VLOOKUP(B55,RésultatsV!$Q$10:$T$248,2,0)),"0",VLOOKUP(B55,RésultatsV!$Q$10:$T$248,2,0))</f>
        <v>0</v>
      </c>
      <c r="O55" s="136">
        <f>IF(ISNA(VLOOKUP(B55,RésultatsV!$V$10:$Y$248,3,0)),"0",VLOOKUP(B55,RésultatsV!$V$10:$Y$248,3,0))</f>
        <v>0</v>
      </c>
      <c r="P55" s="136">
        <f>IF(ISNA(VLOOKUP(B55,RésultatsV!$V$10:$Y$248,4,0)),"0",VLOOKUP(B55,RésultatsV!$V$10:$Y$248,4,0))</f>
        <v>0</v>
      </c>
      <c r="Q55" s="136">
        <f>IF(ISNA(VLOOKUP(E55,RésultatsV!$V$10:$Y$248,2,0)),"0",VLOOKUP(E55,RésultatsV!$V$10:$Y$248,2,0))</f>
        <v>0</v>
      </c>
      <c r="R55" s="136">
        <f>IF(ISNA(VLOOKUP(B55,RésultatsV!$AA$10:$AD$248,3,0)),"0",VLOOKUP(B55,RésultatsV!$AA$10:$AD$248,3,0))</f>
        <v>0</v>
      </c>
      <c r="S55" s="136">
        <f>IF(ISNA(VLOOKUP(B55,RésultatsV!$AA$10:$AD$248,4,0)),"0",VLOOKUP(B55,RésultatsV!$AA$10:$AD$248,4,0))</f>
        <v>0</v>
      </c>
      <c r="T55" s="136">
        <f>IF(ISNA(VLOOKUP(B55,RésultatsV!$AA$10:$AD$248,2,0)),"0",VLOOKUP(B55,RésultatsV!$AA$10:$AD$248,2,0))</f>
        <v>0</v>
      </c>
      <c r="U55" s="110">
        <f t="shared" si="15"/>
        <v>0</v>
      </c>
      <c r="V55" s="103">
        <f t="shared" si="16"/>
        <v>0</v>
      </c>
      <c r="W55" s="106">
        <f t="shared" si="4"/>
        <v>0</v>
      </c>
      <c r="X55" s="61">
        <f t="shared" si="10"/>
        <v>0</v>
      </c>
      <c r="Y55" s="52">
        <f t="shared" si="14"/>
        <v>0</v>
      </c>
      <c r="Z55" s="104">
        <f t="shared" si="7"/>
        <v>23.000158549999998</v>
      </c>
      <c r="AA55" s="115">
        <f>IF(B55="","",SMALL(Z$6:Z$185,ROWS(AD$6:AD55)))</f>
        <v>23.000158409999997</v>
      </c>
      <c r="AB55" s="270"/>
      <c r="AC55" s="4">
        <f>IF(OR(B55="",U55=""),"",INDEX($B$6:$B$185,MATCH(AA55,$Z$6:Z$185,0)))</f>
        <v>0</v>
      </c>
      <c r="AD55" s="4">
        <f t="shared" si="17"/>
        <v>0</v>
      </c>
      <c r="AE55" s="4">
        <f t="shared" si="18"/>
        <v>0</v>
      </c>
      <c r="AF55" s="113">
        <f t="shared" si="8"/>
        <v>0</v>
      </c>
      <c r="AG55" s="271">
        <f>IF(AA55="","",IF(AND(AD54=AD55,AE54=AE55,AF54=AF55),AG54,$AG$6+49))</f>
        <v>23</v>
      </c>
      <c r="AH55" s="34"/>
      <c r="AI55" s="94">
        <v>11</v>
      </c>
    </row>
    <row r="56" spans="1:35" s="23" customFormat="1" ht="18" customHeight="1">
      <c r="A56" s="282">
        <v>51</v>
      </c>
      <c r="B56" s="50">
        <f>+'Joueurs et TirageV'!C57</f>
        <v>0</v>
      </c>
      <c r="C56" s="136" t="str">
        <f>IF(ISNA(VLOOKUP(B56,RésultatsV!$B$10:$E$248,3,0)),"0",VLOOKUP(B56,RésultatsV!$B$10:$E$248,3,0))</f>
        <v>0</v>
      </c>
      <c r="D56" s="136">
        <f>IF(ISNA(VLOOKUP(B56,RésultatsV!$B$10:$E$248,4,0)),"0",VLOOKUP(B56,RésultatsV!$B$10:$E$248,4,0))</f>
        <v>0</v>
      </c>
      <c r="E56" s="136">
        <f>IF(ISNA(VLOOKUP(B56,RésultatsV!$B$10:$E$248,2,0)),"0",VLOOKUP(B56,RésultatsV!$B$10:$E$248,2,0))</f>
        <v>0</v>
      </c>
      <c r="F56" s="136">
        <f>IF(ISNA(VLOOKUP(B56,RésultatsV!$G$10:$J$248,3,0)),"0",VLOOKUP(B56,RésultatsV!$G$10:$J$248,3,0))</f>
        <v>0</v>
      </c>
      <c r="G56" s="136">
        <f>IF(ISNA(VLOOKUP(B56,RésultatsV!$G$10:$J$248,4,0)),"0",VLOOKUP(B56,RésultatsV!$G$10:$J$248,4,0))</f>
        <v>0</v>
      </c>
      <c r="H56" s="136">
        <f>IF(ISNA(VLOOKUP(B56,RésultatsV!$G$10:$J$248,2,0)),"0",VLOOKUP(B56,RésultatsV!$G$10:$J$248,2,0))</f>
        <v>0</v>
      </c>
      <c r="I56" s="136">
        <f>IF(ISNA(VLOOKUP(B56,RésultatsV!$L$10:$O$248,3,0)),"0",VLOOKUP(B56,RésultatsV!$L$10:$O$248,3,0))</f>
        <v>0</v>
      </c>
      <c r="J56" s="136">
        <f>IF(ISNA(VLOOKUP(B56,RésultatsV!$L$10:$O$248,4,0)),"0",VLOOKUP(B56,RésultatsV!$L$10:$O$248,4,0))</f>
        <v>0</v>
      </c>
      <c r="K56" s="136">
        <f>IF(ISNA(VLOOKUP(B56,RésultatsV!$L$10:$O$248,2,0)),"0",VLOOKUP(B56,RésultatsV!$L$10:$O$248,2,0))</f>
        <v>0</v>
      </c>
      <c r="L56" s="136">
        <f>IF(ISNA(VLOOKUP(B56,RésultatsV!$Q$10:$T$248,3,0)),"0",VLOOKUP(B56,RésultatsV!$Q$10:$T$248,3,0))</f>
        <v>0</v>
      </c>
      <c r="M56" s="136">
        <f>IF(ISNA(VLOOKUP(B56,RésultatsV!$Q$10:$T$248,4,0)),"0",VLOOKUP(B56,RésultatsV!$Q$10:$T$248,4,0))</f>
        <v>0</v>
      </c>
      <c r="N56" s="136">
        <f>IF(ISNA(VLOOKUP(B56,RésultatsV!$Q$10:$T$248,2,0)),"0",VLOOKUP(B56,RésultatsV!$Q$10:$T$248,2,0))</f>
        <v>0</v>
      </c>
      <c r="O56" s="136">
        <f>IF(ISNA(VLOOKUP(B56,RésultatsV!$V$10:$Y$248,3,0)),"0",VLOOKUP(B56,RésultatsV!$V$10:$Y$248,3,0))</f>
        <v>0</v>
      </c>
      <c r="P56" s="136">
        <f>IF(ISNA(VLOOKUP(B56,RésultatsV!$V$10:$Y$248,4,0)),"0",VLOOKUP(B56,RésultatsV!$V$10:$Y$248,4,0))</f>
        <v>0</v>
      </c>
      <c r="Q56" s="136">
        <f>IF(ISNA(VLOOKUP(E56,RésultatsV!$V$10:$Y$248,2,0)),"0",VLOOKUP(E56,RésultatsV!$V$10:$Y$248,2,0))</f>
        <v>0</v>
      </c>
      <c r="R56" s="136">
        <f>IF(ISNA(VLOOKUP(B56,RésultatsV!$AA$10:$AD$248,3,0)),"0",VLOOKUP(B56,RésultatsV!$AA$10:$AD$248,3,0))</f>
        <v>0</v>
      </c>
      <c r="S56" s="136">
        <f>IF(ISNA(VLOOKUP(B56,RésultatsV!$AA$10:$AD$248,4,0)),"0",VLOOKUP(B56,RésultatsV!$AA$10:$AD$248,4,0))</f>
        <v>0</v>
      </c>
      <c r="T56" s="136">
        <f>IF(ISNA(VLOOKUP(B56,RésultatsV!$AA$10:$AD$248,2,0)),"0",VLOOKUP(B56,RésultatsV!$AA$10:$AD$248,2,0))</f>
        <v>0</v>
      </c>
      <c r="U56" s="110">
        <f t="shared" si="15"/>
        <v>0</v>
      </c>
      <c r="V56" s="103">
        <f t="shared" si="16"/>
        <v>0</v>
      </c>
      <c r="W56" s="106">
        <f t="shared" si="4"/>
        <v>0</v>
      </c>
      <c r="X56" s="61">
        <f t="shared" si="10"/>
        <v>0</v>
      </c>
      <c r="Y56" s="52">
        <f t="shared" si="14"/>
        <v>0</v>
      </c>
      <c r="Z56" s="104">
        <f t="shared" si="7"/>
        <v>23.000158559999999</v>
      </c>
      <c r="AA56" s="115">
        <f>IF(B56="","",SMALL(Z$6:Z$185,ROWS(AD$6:AD56)))</f>
        <v>23.000158419999998</v>
      </c>
      <c r="AB56" s="270"/>
      <c r="AC56" s="4">
        <f>IF(OR(B56="",U56=""),"",INDEX($B$6:$B$185,MATCH(AA56,$Z$6:Z$185,0)))</f>
        <v>0</v>
      </c>
      <c r="AD56" s="4">
        <f t="shared" si="17"/>
        <v>0</v>
      </c>
      <c r="AE56" s="4">
        <f t="shared" si="18"/>
        <v>0</v>
      </c>
      <c r="AF56" s="113">
        <f t="shared" si="8"/>
        <v>0</v>
      </c>
      <c r="AG56" s="271">
        <f>IF(AA56="","",IF(AND(AD55=AD56,AE55=AE56,AF55=AF56),AG55,$AG$6+50))</f>
        <v>23</v>
      </c>
      <c r="AH56" s="34"/>
      <c r="AI56" s="94">
        <v>10</v>
      </c>
    </row>
    <row r="57" spans="1:35" s="23" customFormat="1" ht="18" customHeight="1">
      <c r="A57" s="282">
        <v>52</v>
      </c>
      <c r="B57" s="50">
        <f>+'Joueurs et TirageV'!C58</f>
        <v>0</v>
      </c>
      <c r="C57" s="136" t="str">
        <f>IF(ISNA(VLOOKUP(B57,RésultatsV!$B$10:$E$248,3,0)),"0",VLOOKUP(B57,RésultatsV!$B$10:$E$248,3,0))</f>
        <v>0</v>
      </c>
      <c r="D57" s="136">
        <f>IF(ISNA(VLOOKUP(B57,RésultatsV!$B$10:$E$248,4,0)),"0",VLOOKUP(B57,RésultatsV!$B$10:$E$248,4,0))</f>
        <v>0</v>
      </c>
      <c r="E57" s="136">
        <f>IF(ISNA(VLOOKUP(B57,RésultatsV!$B$10:$E$248,2,0)),"0",VLOOKUP(B57,RésultatsV!$B$10:$E$248,2,0))</f>
        <v>0</v>
      </c>
      <c r="F57" s="136">
        <f>IF(ISNA(VLOOKUP(B57,RésultatsV!$G$10:$J$248,3,0)),"0",VLOOKUP(B57,RésultatsV!$G$10:$J$248,3,0))</f>
        <v>0</v>
      </c>
      <c r="G57" s="136">
        <f>IF(ISNA(VLOOKUP(B57,RésultatsV!$G$10:$J$248,4,0)),"0",VLOOKUP(B57,RésultatsV!$G$10:$J$248,4,0))</f>
        <v>0</v>
      </c>
      <c r="H57" s="136">
        <f>IF(ISNA(VLOOKUP(B57,RésultatsV!$G$10:$J$248,2,0)),"0",VLOOKUP(B57,RésultatsV!$G$10:$J$248,2,0))</f>
        <v>0</v>
      </c>
      <c r="I57" s="136">
        <f>IF(ISNA(VLOOKUP(B57,RésultatsV!$L$10:$O$248,3,0)),"0",VLOOKUP(B57,RésultatsV!$L$10:$O$248,3,0))</f>
        <v>0</v>
      </c>
      <c r="J57" s="136">
        <f>IF(ISNA(VLOOKUP(B57,RésultatsV!$L$10:$O$248,4,0)),"0",VLOOKUP(B57,RésultatsV!$L$10:$O$248,4,0))</f>
        <v>0</v>
      </c>
      <c r="K57" s="136">
        <f>IF(ISNA(VLOOKUP(B57,RésultatsV!$L$10:$O$248,2,0)),"0",VLOOKUP(B57,RésultatsV!$L$10:$O$248,2,0))</f>
        <v>0</v>
      </c>
      <c r="L57" s="136">
        <f>IF(ISNA(VLOOKUP(B57,RésultatsV!$Q$10:$T$248,3,0)),"0",VLOOKUP(B57,RésultatsV!$Q$10:$T$248,3,0))</f>
        <v>0</v>
      </c>
      <c r="M57" s="136">
        <f>IF(ISNA(VLOOKUP(B57,RésultatsV!$Q$10:$T$248,4,0)),"0",VLOOKUP(B57,RésultatsV!$Q$10:$T$248,4,0))</f>
        <v>0</v>
      </c>
      <c r="N57" s="136">
        <f>IF(ISNA(VLOOKUP(B57,RésultatsV!$Q$10:$T$248,2,0)),"0",VLOOKUP(B57,RésultatsV!$Q$10:$T$248,2,0))</f>
        <v>0</v>
      </c>
      <c r="O57" s="136">
        <f>IF(ISNA(VLOOKUP(B57,RésultatsV!$V$10:$Y$248,3,0)),"0",VLOOKUP(B57,RésultatsV!$V$10:$Y$248,3,0))</f>
        <v>0</v>
      </c>
      <c r="P57" s="136">
        <f>IF(ISNA(VLOOKUP(B57,RésultatsV!$V$10:$Y$248,4,0)),"0",VLOOKUP(B57,RésultatsV!$V$10:$Y$248,4,0))</f>
        <v>0</v>
      </c>
      <c r="Q57" s="136">
        <f>IF(ISNA(VLOOKUP(E57,RésultatsV!$V$10:$Y$248,2,0)),"0",VLOOKUP(E57,RésultatsV!$V$10:$Y$248,2,0))</f>
        <v>0</v>
      </c>
      <c r="R57" s="136">
        <f>IF(ISNA(VLOOKUP(B57,RésultatsV!$AA$10:$AD$248,3,0)),"0",VLOOKUP(B57,RésultatsV!$AA$10:$AD$248,3,0))</f>
        <v>0</v>
      </c>
      <c r="S57" s="136">
        <f>IF(ISNA(VLOOKUP(B57,RésultatsV!$AA$10:$AD$248,4,0)),"0",VLOOKUP(B57,RésultatsV!$AA$10:$AD$248,4,0))</f>
        <v>0</v>
      </c>
      <c r="T57" s="136">
        <f>IF(ISNA(VLOOKUP(B57,RésultatsV!$AA$10:$AD$248,2,0)),"0",VLOOKUP(B57,RésultatsV!$AA$10:$AD$248,2,0))</f>
        <v>0</v>
      </c>
      <c r="U57" s="110">
        <f t="shared" si="15"/>
        <v>0</v>
      </c>
      <c r="V57" s="103">
        <f t="shared" si="16"/>
        <v>0</v>
      </c>
      <c r="W57" s="106">
        <f t="shared" si="4"/>
        <v>0</v>
      </c>
      <c r="X57" s="61">
        <f t="shared" si="10"/>
        <v>0</v>
      </c>
      <c r="Y57" s="52">
        <f t="shared" si="14"/>
        <v>0</v>
      </c>
      <c r="Z57" s="104">
        <f t="shared" si="7"/>
        <v>23.00015857</v>
      </c>
      <c r="AA57" s="115">
        <f>IF(B57="","",SMALL(Z$6:Z$185,ROWS(AD$6:AD57)))</f>
        <v>23.000158429999999</v>
      </c>
      <c r="AB57" s="270"/>
      <c r="AC57" s="4">
        <f>IF(OR(B57="",U57=""),"",INDEX($B$6:$B$185,MATCH(AA57,$Z$6:Z$185,0)))</f>
        <v>0</v>
      </c>
      <c r="AD57" s="4">
        <f t="shared" si="17"/>
        <v>0</v>
      </c>
      <c r="AE57" s="4">
        <f t="shared" si="18"/>
        <v>0</v>
      </c>
      <c r="AF57" s="113">
        <f t="shared" si="8"/>
        <v>0</v>
      </c>
      <c r="AG57" s="271">
        <f>IF(AA57="","",IF(AND(AD56=AD57,AE56=AE57,AF56=AF57),AG56,$AG$6+51))</f>
        <v>23</v>
      </c>
      <c r="AH57" s="34"/>
      <c r="AI57" s="94">
        <v>9</v>
      </c>
    </row>
    <row r="58" spans="1:35" s="23" customFormat="1" ht="18" customHeight="1">
      <c r="A58" s="282">
        <v>53</v>
      </c>
      <c r="B58" s="50">
        <f>+'Joueurs et TirageV'!C59</f>
        <v>0</v>
      </c>
      <c r="C58" s="136" t="str">
        <f>IF(ISNA(VLOOKUP(B58,RésultatsV!$B$10:$E$248,3,0)),"0",VLOOKUP(B58,RésultatsV!$B$10:$E$248,3,0))</f>
        <v>0</v>
      </c>
      <c r="D58" s="136">
        <f>IF(ISNA(VLOOKUP(B58,RésultatsV!$B$10:$E$248,4,0)),"0",VLOOKUP(B58,RésultatsV!$B$10:$E$248,4,0))</f>
        <v>0</v>
      </c>
      <c r="E58" s="136">
        <f>IF(ISNA(VLOOKUP(B58,RésultatsV!$B$10:$E$248,2,0)),"0",VLOOKUP(B58,RésultatsV!$B$10:$E$248,2,0))</f>
        <v>0</v>
      </c>
      <c r="F58" s="136">
        <f>IF(ISNA(VLOOKUP(B58,RésultatsV!$G$10:$J$248,3,0)),"0",VLOOKUP(B58,RésultatsV!$G$10:$J$248,3,0))</f>
        <v>0</v>
      </c>
      <c r="G58" s="136">
        <f>IF(ISNA(VLOOKUP(B58,RésultatsV!$G$10:$J$248,4,0)),"0",VLOOKUP(B58,RésultatsV!$G$10:$J$248,4,0))</f>
        <v>0</v>
      </c>
      <c r="H58" s="136">
        <f>IF(ISNA(VLOOKUP(B58,RésultatsV!$G$10:$J$248,2,0)),"0",VLOOKUP(B58,RésultatsV!$G$10:$J$248,2,0))</f>
        <v>0</v>
      </c>
      <c r="I58" s="136">
        <f>IF(ISNA(VLOOKUP(B58,RésultatsV!$L$10:$O$248,3,0)),"0",VLOOKUP(B58,RésultatsV!$L$10:$O$248,3,0))</f>
        <v>0</v>
      </c>
      <c r="J58" s="136">
        <f>IF(ISNA(VLOOKUP(B58,RésultatsV!$L$10:$O$248,4,0)),"0",VLOOKUP(B58,RésultatsV!$L$10:$O$248,4,0))</f>
        <v>0</v>
      </c>
      <c r="K58" s="136">
        <f>IF(ISNA(VLOOKUP(B58,RésultatsV!$L$10:$O$248,2,0)),"0",VLOOKUP(B58,RésultatsV!$L$10:$O$248,2,0))</f>
        <v>0</v>
      </c>
      <c r="L58" s="136">
        <f>IF(ISNA(VLOOKUP(B58,RésultatsV!$Q$10:$T$248,3,0)),"0",VLOOKUP(B58,RésultatsV!$Q$10:$T$248,3,0))</f>
        <v>0</v>
      </c>
      <c r="M58" s="136">
        <f>IF(ISNA(VLOOKUP(B58,RésultatsV!$Q$10:$T$248,4,0)),"0",VLOOKUP(B58,RésultatsV!$Q$10:$T$248,4,0))</f>
        <v>0</v>
      </c>
      <c r="N58" s="136">
        <f>IF(ISNA(VLOOKUP(B58,RésultatsV!$Q$10:$T$248,2,0)),"0",VLOOKUP(B58,RésultatsV!$Q$10:$T$248,2,0))</f>
        <v>0</v>
      </c>
      <c r="O58" s="136">
        <f>IF(ISNA(VLOOKUP(B58,RésultatsV!$V$10:$Y$248,3,0)),"0",VLOOKUP(B58,RésultatsV!$V$10:$Y$248,3,0))</f>
        <v>0</v>
      </c>
      <c r="P58" s="136">
        <f>IF(ISNA(VLOOKUP(B58,RésultatsV!$V$10:$Y$248,4,0)),"0",VLOOKUP(B58,RésultatsV!$V$10:$Y$248,4,0))</f>
        <v>0</v>
      </c>
      <c r="Q58" s="136">
        <f>IF(ISNA(VLOOKUP(E58,RésultatsV!$V$10:$Y$248,2,0)),"0",VLOOKUP(E58,RésultatsV!$V$10:$Y$248,2,0))</f>
        <v>0</v>
      </c>
      <c r="R58" s="136">
        <f>IF(ISNA(VLOOKUP(B58,RésultatsV!$AA$10:$AD$248,3,0)),"0",VLOOKUP(B58,RésultatsV!$AA$10:$AD$248,3,0))</f>
        <v>0</v>
      </c>
      <c r="S58" s="136">
        <f>IF(ISNA(VLOOKUP(B58,RésultatsV!$AA$10:$AD$248,4,0)),"0",VLOOKUP(B58,RésultatsV!$AA$10:$AD$248,4,0))</f>
        <v>0</v>
      </c>
      <c r="T58" s="136">
        <f>IF(ISNA(VLOOKUP(B58,RésultatsV!$AA$10:$AD$248,2,0)),"0",VLOOKUP(B58,RésultatsV!$AA$10:$AD$248,2,0))</f>
        <v>0</v>
      </c>
      <c r="U58" s="110">
        <f t="shared" si="15"/>
        <v>0</v>
      </c>
      <c r="V58" s="103">
        <f t="shared" si="16"/>
        <v>0</v>
      </c>
      <c r="W58" s="106">
        <f t="shared" si="4"/>
        <v>0</v>
      </c>
      <c r="X58" s="61">
        <f t="shared" si="10"/>
        <v>0</v>
      </c>
      <c r="Y58" s="52">
        <f t="shared" si="14"/>
        <v>0</v>
      </c>
      <c r="Z58" s="104">
        <f t="shared" si="7"/>
        <v>23.000158579999997</v>
      </c>
      <c r="AA58" s="115">
        <f>IF(B58="","",SMALL(Z$6:Z$185,ROWS(AD$6:AD58)))</f>
        <v>23.00015844</v>
      </c>
      <c r="AB58" s="270"/>
      <c r="AC58" s="4">
        <f>IF(OR(B58="",U58=""),"",INDEX($B$6:$B$185,MATCH(AA58,$Z$6:Z$185,0)))</f>
        <v>0</v>
      </c>
      <c r="AD58" s="4">
        <f t="shared" si="17"/>
        <v>0</v>
      </c>
      <c r="AE58" s="4">
        <f t="shared" si="18"/>
        <v>0</v>
      </c>
      <c r="AF58" s="113">
        <f t="shared" si="8"/>
        <v>0</v>
      </c>
      <c r="AG58" s="271">
        <f>IF(AA58="","",IF(AND(AD57=AD58,AE57=AE58,AF57=AF58),AG57,$AG$6+52))</f>
        <v>23</v>
      </c>
      <c r="AH58" s="34"/>
      <c r="AI58" s="94">
        <v>8</v>
      </c>
    </row>
    <row r="59" spans="1:35" s="23" customFormat="1" ht="18" customHeight="1">
      <c r="A59" s="282">
        <v>54</v>
      </c>
      <c r="B59" s="50">
        <f>+'Joueurs et TirageV'!C60</f>
        <v>0</v>
      </c>
      <c r="C59" s="136" t="str">
        <f>IF(ISNA(VLOOKUP(B59,RésultatsV!$B$10:$E$248,3,0)),"0",VLOOKUP(B59,RésultatsV!$B$10:$E$248,3,0))</f>
        <v>0</v>
      </c>
      <c r="D59" s="136">
        <f>IF(ISNA(VLOOKUP(B59,RésultatsV!$B$10:$E$248,4,0)),"0",VLOOKUP(B59,RésultatsV!$B$10:$E$248,4,0))</f>
        <v>0</v>
      </c>
      <c r="E59" s="136">
        <f>IF(ISNA(VLOOKUP(B59,RésultatsV!$B$10:$E$248,2,0)),"0",VLOOKUP(B59,RésultatsV!$B$10:$E$248,2,0))</f>
        <v>0</v>
      </c>
      <c r="F59" s="136">
        <f>IF(ISNA(VLOOKUP(B59,RésultatsV!$G$10:$J$248,3,0)),"0",VLOOKUP(B59,RésultatsV!$G$10:$J$248,3,0))</f>
        <v>0</v>
      </c>
      <c r="G59" s="136">
        <f>IF(ISNA(VLOOKUP(B59,RésultatsV!$G$10:$J$248,4,0)),"0",VLOOKUP(B59,RésultatsV!$G$10:$J$248,4,0))</f>
        <v>0</v>
      </c>
      <c r="H59" s="136">
        <f>IF(ISNA(VLOOKUP(B59,RésultatsV!$G$10:$J$248,2,0)),"0",VLOOKUP(B59,RésultatsV!$G$10:$J$248,2,0))</f>
        <v>0</v>
      </c>
      <c r="I59" s="136">
        <f>IF(ISNA(VLOOKUP(B59,RésultatsV!$L$10:$O$248,3,0)),"0",VLOOKUP(B59,RésultatsV!$L$10:$O$248,3,0))</f>
        <v>0</v>
      </c>
      <c r="J59" s="136">
        <f>IF(ISNA(VLOOKUP(B59,RésultatsV!$L$10:$O$248,4,0)),"0",VLOOKUP(B59,RésultatsV!$L$10:$O$248,4,0))</f>
        <v>0</v>
      </c>
      <c r="K59" s="136">
        <f>IF(ISNA(VLOOKUP(B59,RésultatsV!$L$10:$O$248,2,0)),"0",VLOOKUP(B59,RésultatsV!$L$10:$O$248,2,0))</f>
        <v>0</v>
      </c>
      <c r="L59" s="136">
        <f>IF(ISNA(VLOOKUP(B59,RésultatsV!$Q$10:$T$248,3,0)),"0",VLOOKUP(B59,RésultatsV!$Q$10:$T$248,3,0))</f>
        <v>0</v>
      </c>
      <c r="M59" s="136">
        <f>IF(ISNA(VLOOKUP(B59,RésultatsV!$Q$10:$T$248,4,0)),"0",VLOOKUP(B59,RésultatsV!$Q$10:$T$248,4,0))</f>
        <v>0</v>
      </c>
      <c r="N59" s="136">
        <f>IF(ISNA(VLOOKUP(B59,RésultatsV!$Q$10:$T$248,2,0)),"0",VLOOKUP(B59,RésultatsV!$Q$10:$T$248,2,0))</f>
        <v>0</v>
      </c>
      <c r="O59" s="136">
        <f>IF(ISNA(VLOOKUP(B59,RésultatsV!$V$10:$Y$248,3,0)),"0",VLOOKUP(B59,RésultatsV!$V$10:$Y$248,3,0))</f>
        <v>0</v>
      </c>
      <c r="P59" s="136">
        <f>IF(ISNA(VLOOKUP(B59,RésultatsV!$V$10:$Y$248,4,0)),"0",VLOOKUP(B59,RésultatsV!$V$10:$Y$248,4,0))</f>
        <v>0</v>
      </c>
      <c r="Q59" s="136">
        <f>IF(ISNA(VLOOKUP(E59,RésultatsV!$V$10:$Y$248,2,0)),"0",VLOOKUP(E59,RésultatsV!$V$10:$Y$248,2,0))</f>
        <v>0</v>
      </c>
      <c r="R59" s="136">
        <f>IF(ISNA(VLOOKUP(B59,RésultatsV!$AA$10:$AD$248,3,0)),"0",VLOOKUP(B59,RésultatsV!$AA$10:$AD$248,3,0))</f>
        <v>0</v>
      </c>
      <c r="S59" s="136">
        <f>IF(ISNA(VLOOKUP(B59,RésultatsV!$AA$10:$AD$248,4,0)),"0",VLOOKUP(B59,RésultatsV!$AA$10:$AD$248,4,0))</f>
        <v>0</v>
      </c>
      <c r="T59" s="136">
        <f>IF(ISNA(VLOOKUP(B59,RésultatsV!$AA$10:$AD$248,2,0)),"0",VLOOKUP(B59,RésultatsV!$AA$10:$AD$248,2,0))</f>
        <v>0</v>
      </c>
      <c r="U59" s="110">
        <f t="shared" si="15"/>
        <v>0</v>
      </c>
      <c r="V59" s="103">
        <f t="shared" si="16"/>
        <v>0</v>
      </c>
      <c r="W59" s="106">
        <f t="shared" si="4"/>
        <v>0</v>
      </c>
      <c r="X59" s="61">
        <f t="shared" si="10"/>
        <v>0</v>
      </c>
      <c r="Y59" s="52">
        <f t="shared" si="14"/>
        <v>0</v>
      </c>
      <c r="Z59" s="104">
        <f t="shared" si="7"/>
        <v>23.000158589999998</v>
      </c>
      <c r="AA59" s="115">
        <f>IF(B59="","",SMALL(Z$6:Z$185,ROWS(AD$6:AD59)))</f>
        <v>23.000158450000001</v>
      </c>
      <c r="AB59" s="270"/>
      <c r="AC59" s="4">
        <f>IF(OR(B59="",U59=""),"",INDEX($B$6:$B$185,MATCH(AA59,$Z$6:Z$185,0)))</f>
        <v>0</v>
      </c>
      <c r="AD59" s="4">
        <f t="shared" si="17"/>
        <v>0</v>
      </c>
      <c r="AE59" s="4">
        <f t="shared" si="18"/>
        <v>0</v>
      </c>
      <c r="AF59" s="113">
        <f t="shared" si="8"/>
        <v>0</v>
      </c>
      <c r="AG59" s="271">
        <f>IF(AA59="","",IF(AND(AD58=AD59,AE58=AE59,AF58=AF59),AG58,$AG$6+53))</f>
        <v>23</v>
      </c>
      <c r="AH59" s="34"/>
      <c r="AI59" s="94">
        <v>7</v>
      </c>
    </row>
    <row r="60" spans="1:35" s="23" customFormat="1" ht="18" customHeight="1">
      <c r="A60" s="282">
        <v>55</v>
      </c>
      <c r="B60" s="50">
        <f>+'Joueurs et TirageV'!C61</f>
        <v>0</v>
      </c>
      <c r="C60" s="136" t="str">
        <f>IF(ISNA(VLOOKUP(B60,RésultatsV!$B$10:$E$248,3,0)),"0",VLOOKUP(B60,RésultatsV!$B$10:$E$248,3,0))</f>
        <v>0</v>
      </c>
      <c r="D60" s="136">
        <f>IF(ISNA(VLOOKUP(B60,RésultatsV!$B$10:$E$248,4,0)),"0",VLOOKUP(B60,RésultatsV!$B$10:$E$248,4,0))</f>
        <v>0</v>
      </c>
      <c r="E60" s="136">
        <f>IF(ISNA(VLOOKUP(B60,RésultatsV!$B$10:$E$248,2,0)),"0",VLOOKUP(B60,RésultatsV!$B$10:$E$248,2,0))</f>
        <v>0</v>
      </c>
      <c r="F60" s="136">
        <f>IF(ISNA(VLOOKUP(B60,RésultatsV!$G$10:$J$248,3,0)),"0",VLOOKUP(B60,RésultatsV!$G$10:$J$248,3,0))</f>
        <v>0</v>
      </c>
      <c r="G60" s="136">
        <f>IF(ISNA(VLOOKUP(B60,RésultatsV!$G$10:$J$248,4,0)),"0",VLOOKUP(B60,RésultatsV!$G$10:$J$248,4,0))</f>
        <v>0</v>
      </c>
      <c r="H60" s="136">
        <f>IF(ISNA(VLOOKUP(B60,RésultatsV!$G$10:$J$248,2,0)),"0",VLOOKUP(B60,RésultatsV!$G$10:$J$248,2,0))</f>
        <v>0</v>
      </c>
      <c r="I60" s="136">
        <f>IF(ISNA(VLOOKUP(B60,RésultatsV!$L$10:$O$248,3,0)),"0",VLOOKUP(B60,RésultatsV!$L$10:$O$248,3,0))</f>
        <v>0</v>
      </c>
      <c r="J60" s="136">
        <f>IF(ISNA(VLOOKUP(B60,RésultatsV!$L$10:$O$248,4,0)),"0",VLOOKUP(B60,RésultatsV!$L$10:$O$248,4,0))</f>
        <v>0</v>
      </c>
      <c r="K60" s="136">
        <f>IF(ISNA(VLOOKUP(B60,RésultatsV!$L$10:$O$248,2,0)),"0",VLOOKUP(B60,RésultatsV!$L$10:$O$248,2,0))</f>
        <v>0</v>
      </c>
      <c r="L60" s="136">
        <f>IF(ISNA(VLOOKUP(B60,RésultatsV!$Q$10:$T$248,3,0)),"0",VLOOKUP(B60,RésultatsV!$Q$10:$T$248,3,0))</f>
        <v>0</v>
      </c>
      <c r="M60" s="136">
        <f>IF(ISNA(VLOOKUP(B60,RésultatsV!$Q$10:$T$248,4,0)),"0",VLOOKUP(B60,RésultatsV!$Q$10:$T$248,4,0))</f>
        <v>0</v>
      </c>
      <c r="N60" s="136">
        <f>IF(ISNA(VLOOKUP(B60,RésultatsV!$Q$10:$T$248,2,0)),"0",VLOOKUP(B60,RésultatsV!$Q$10:$T$248,2,0))</f>
        <v>0</v>
      </c>
      <c r="O60" s="136">
        <f>IF(ISNA(VLOOKUP(B60,RésultatsV!$V$10:$Y$248,3,0)),"0",VLOOKUP(B60,RésultatsV!$V$10:$Y$248,3,0))</f>
        <v>0</v>
      </c>
      <c r="P60" s="136">
        <f>IF(ISNA(VLOOKUP(B60,RésultatsV!$V$10:$Y$248,4,0)),"0",VLOOKUP(B60,RésultatsV!$V$10:$Y$248,4,0))</f>
        <v>0</v>
      </c>
      <c r="Q60" s="136">
        <f>IF(ISNA(VLOOKUP(E60,RésultatsV!$V$10:$Y$248,2,0)),"0",VLOOKUP(E60,RésultatsV!$V$10:$Y$248,2,0))</f>
        <v>0</v>
      </c>
      <c r="R60" s="136">
        <f>IF(ISNA(VLOOKUP(B60,RésultatsV!$AA$10:$AD$248,3,0)),"0",VLOOKUP(B60,RésultatsV!$AA$10:$AD$248,3,0))</f>
        <v>0</v>
      </c>
      <c r="S60" s="136">
        <f>IF(ISNA(VLOOKUP(B60,RésultatsV!$AA$10:$AD$248,4,0)),"0",VLOOKUP(B60,RésultatsV!$AA$10:$AD$248,4,0))</f>
        <v>0</v>
      </c>
      <c r="T60" s="136">
        <f>IF(ISNA(VLOOKUP(B60,RésultatsV!$AA$10:$AD$248,2,0)),"0",VLOOKUP(B60,RésultatsV!$AA$10:$AD$248,2,0))</f>
        <v>0</v>
      </c>
      <c r="U60" s="110">
        <f t="shared" si="15"/>
        <v>0</v>
      </c>
      <c r="V60" s="103">
        <f t="shared" si="16"/>
        <v>0</v>
      </c>
      <c r="W60" s="106">
        <f t="shared" si="4"/>
        <v>0</v>
      </c>
      <c r="X60" s="61">
        <f t="shared" si="10"/>
        <v>0</v>
      </c>
      <c r="Y60" s="52">
        <f t="shared" si="14"/>
        <v>0</v>
      </c>
      <c r="Z60" s="104">
        <f t="shared" si="7"/>
        <v>23.000158599999999</v>
      </c>
      <c r="AA60" s="115">
        <f>IF(B60="","",SMALL(Z$6:Z$185,ROWS(AD$6:AD60)))</f>
        <v>23.000158459999998</v>
      </c>
      <c r="AB60" s="270"/>
      <c r="AC60" s="4">
        <f>IF(OR(B60="",U60=""),"",INDEX($B$6:$B$185,MATCH(AA60,$Z$6:Z$185,0)))</f>
        <v>0</v>
      </c>
      <c r="AD60" s="4">
        <f t="shared" si="17"/>
        <v>0</v>
      </c>
      <c r="AE60" s="4">
        <f t="shared" si="18"/>
        <v>0</v>
      </c>
      <c r="AF60" s="113">
        <f t="shared" si="8"/>
        <v>0</v>
      </c>
      <c r="AG60" s="271">
        <f>IF(AA60="","",IF(AND(AD59=AD60,AE59=AE60,AF59=AF60),AG59,$AG$6+54))</f>
        <v>23</v>
      </c>
      <c r="AH60" s="34"/>
      <c r="AI60" s="94">
        <v>6</v>
      </c>
    </row>
    <row r="61" spans="1:35" s="23" customFormat="1" ht="18" customHeight="1">
      <c r="A61" s="282">
        <v>56</v>
      </c>
      <c r="B61" s="50">
        <f>+'Joueurs et TirageV'!C62</f>
        <v>0</v>
      </c>
      <c r="C61" s="136" t="str">
        <f>IF(ISNA(VLOOKUP(B61,RésultatsV!$B$10:$E$248,3,0)),"0",VLOOKUP(B61,RésultatsV!$B$10:$E$248,3,0))</f>
        <v>0</v>
      </c>
      <c r="D61" s="136">
        <f>IF(ISNA(VLOOKUP(B61,RésultatsV!$B$10:$E$248,4,0)),"0",VLOOKUP(B61,RésultatsV!$B$10:$E$248,4,0))</f>
        <v>0</v>
      </c>
      <c r="E61" s="136">
        <f>IF(ISNA(VLOOKUP(B61,RésultatsV!$B$10:$E$248,2,0)),"0",VLOOKUP(B61,RésultatsV!$B$10:$E$248,2,0))</f>
        <v>0</v>
      </c>
      <c r="F61" s="136">
        <f>IF(ISNA(VLOOKUP(B61,RésultatsV!$G$10:$J$248,3,0)),"0",VLOOKUP(B61,RésultatsV!$G$10:$J$248,3,0))</f>
        <v>0</v>
      </c>
      <c r="G61" s="136">
        <f>IF(ISNA(VLOOKUP(B61,RésultatsV!$G$10:$J$248,4,0)),"0",VLOOKUP(B61,RésultatsV!$G$10:$J$248,4,0))</f>
        <v>0</v>
      </c>
      <c r="H61" s="136">
        <f>IF(ISNA(VLOOKUP(B61,RésultatsV!$G$10:$J$248,2,0)),"0",VLOOKUP(B61,RésultatsV!$G$10:$J$248,2,0))</f>
        <v>0</v>
      </c>
      <c r="I61" s="136">
        <f>IF(ISNA(VLOOKUP(B61,RésultatsV!$L$10:$O$248,3,0)),"0",VLOOKUP(B61,RésultatsV!$L$10:$O$248,3,0))</f>
        <v>0</v>
      </c>
      <c r="J61" s="136">
        <f>IF(ISNA(VLOOKUP(B61,RésultatsV!$L$10:$O$248,4,0)),"0",VLOOKUP(B61,RésultatsV!$L$10:$O$248,4,0))</f>
        <v>0</v>
      </c>
      <c r="K61" s="136">
        <f>IF(ISNA(VLOOKUP(B61,RésultatsV!$L$10:$O$248,2,0)),"0",VLOOKUP(B61,RésultatsV!$L$10:$O$248,2,0))</f>
        <v>0</v>
      </c>
      <c r="L61" s="136">
        <f>IF(ISNA(VLOOKUP(B61,RésultatsV!$Q$10:$T$248,3,0)),"0",VLOOKUP(B61,RésultatsV!$Q$10:$T$248,3,0))</f>
        <v>0</v>
      </c>
      <c r="M61" s="136">
        <f>IF(ISNA(VLOOKUP(B61,RésultatsV!$Q$10:$T$248,4,0)),"0",VLOOKUP(B61,RésultatsV!$Q$10:$T$248,4,0))</f>
        <v>0</v>
      </c>
      <c r="N61" s="136">
        <f>IF(ISNA(VLOOKUP(B61,RésultatsV!$Q$10:$T$248,2,0)),"0",VLOOKUP(B61,RésultatsV!$Q$10:$T$248,2,0))</f>
        <v>0</v>
      </c>
      <c r="O61" s="136">
        <f>IF(ISNA(VLOOKUP(B61,RésultatsV!$V$10:$Y$248,3,0)),"0",VLOOKUP(B61,RésultatsV!$V$10:$Y$248,3,0))</f>
        <v>0</v>
      </c>
      <c r="P61" s="136">
        <f>IF(ISNA(VLOOKUP(B61,RésultatsV!$V$10:$Y$248,4,0)),"0",VLOOKUP(B61,RésultatsV!$V$10:$Y$248,4,0))</f>
        <v>0</v>
      </c>
      <c r="Q61" s="136">
        <f>IF(ISNA(VLOOKUP(E61,RésultatsV!$V$10:$Y$248,2,0)),"0",VLOOKUP(E61,RésultatsV!$V$10:$Y$248,2,0))</f>
        <v>0</v>
      </c>
      <c r="R61" s="136">
        <f>IF(ISNA(VLOOKUP(B61,RésultatsV!$AA$10:$AD$248,3,0)),"0",VLOOKUP(B61,RésultatsV!$AA$10:$AD$248,3,0))</f>
        <v>0</v>
      </c>
      <c r="S61" s="136">
        <f>IF(ISNA(VLOOKUP(B61,RésultatsV!$AA$10:$AD$248,4,0)),"0",VLOOKUP(B61,RésultatsV!$AA$10:$AD$248,4,0))</f>
        <v>0</v>
      </c>
      <c r="T61" s="136">
        <f>IF(ISNA(VLOOKUP(B61,RésultatsV!$AA$10:$AD$248,2,0)),"0",VLOOKUP(B61,RésultatsV!$AA$10:$AD$248,2,0))</f>
        <v>0</v>
      </c>
      <c r="U61" s="110">
        <f t="shared" si="15"/>
        <v>0</v>
      </c>
      <c r="V61" s="103">
        <f t="shared" si="16"/>
        <v>0</v>
      </c>
      <c r="W61" s="106">
        <f t="shared" si="4"/>
        <v>0</v>
      </c>
      <c r="X61" s="61">
        <f t="shared" si="10"/>
        <v>0</v>
      </c>
      <c r="Y61" s="52">
        <f t="shared" si="14"/>
        <v>0</v>
      </c>
      <c r="Z61" s="104">
        <f t="shared" si="7"/>
        <v>23.00015861</v>
      </c>
      <c r="AA61" s="115">
        <f>IF(B61="","",SMALL(Z$6:Z$185,ROWS(AD$6:AD61)))</f>
        <v>23.000158469999999</v>
      </c>
      <c r="AB61" s="270"/>
      <c r="AC61" s="4">
        <f>IF(OR(B61="",U61=""),"",INDEX($B$6:$B$185,MATCH(AA61,$Z$6:Z$185,0)))</f>
        <v>0</v>
      </c>
      <c r="AD61" s="4">
        <f t="shared" si="17"/>
        <v>0</v>
      </c>
      <c r="AE61" s="4">
        <f t="shared" si="18"/>
        <v>0</v>
      </c>
      <c r="AF61" s="113">
        <f t="shared" si="8"/>
        <v>0</v>
      </c>
      <c r="AG61" s="271">
        <f>IF(AA61="","",IF(AND(AD60=AD61,AE60=AE61,AF60=AF61),AG60,$AG$6+55))</f>
        <v>23</v>
      </c>
      <c r="AH61" s="34"/>
      <c r="AI61" s="94">
        <v>5</v>
      </c>
    </row>
    <row r="62" spans="1:35" s="23" customFormat="1" ht="18" customHeight="1">
      <c r="A62" s="282">
        <v>57</v>
      </c>
      <c r="B62" s="50">
        <f>+'Joueurs et TirageV'!C63</f>
        <v>0</v>
      </c>
      <c r="C62" s="136" t="str">
        <f>IF(ISNA(VLOOKUP(B62,RésultatsV!$B$10:$E$248,3,0)),"0",VLOOKUP(B62,RésultatsV!$B$10:$E$248,3,0))</f>
        <v>0</v>
      </c>
      <c r="D62" s="136">
        <f>IF(ISNA(VLOOKUP(B62,RésultatsV!$B$10:$E$248,4,0)),"0",VLOOKUP(B62,RésultatsV!$B$10:$E$248,4,0))</f>
        <v>0</v>
      </c>
      <c r="E62" s="136">
        <f>IF(ISNA(VLOOKUP(B62,RésultatsV!$B$10:$E$248,2,0)),"0",VLOOKUP(B62,RésultatsV!$B$10:$E$248,2,0))</f>
        <v>0</v>
      </c>
      <c r="F62" s="136">
        <f>IF(ISNA(VLOOKUP(B62,RésultatsV!$G$10:$J$248,3,0)),"0",VLOOKUP(B62,RésultatsV!$G$10:$J$248,3,0))</f>
        <v>0</v>
      </c>
      <c r="G62" s="136">
        <f>IF(ISNA(VLOOKUP(B62,RésultatsV!$G$10:$J$248,4,0)),"0",VLOOKUP(B62,RésultatsV!$G$10:$J$248,4,0))</f>
        <v>0</v>
      </c>
      <c r="H62" s="136">
        <f>IF(ISNA(VLOOKUP(B62,RésultatsV!$G$10:$J$248,2,0)),"0",VLOOKUP(B62,RésultatsV!$G$10:$J$248,2,0))</f>
        <v>0</v>
      </c>
      <c r="I62" s="136">
        <f>IF(ISNA(VLOOKUP(B62,RésultatsV!$L$10:$O$248,3,0)),"0",VLOOKUP(B62,RésultatsV!$L$10:$O$248,3,0))</f>
        <v>0</v>
      </c>
      <c r="J62" s="136">
        <f>IF(ISNA(VLOOKUP(B62,RésultatsV!$L$10:$O$248,4,0)),"0",VLOOKUP(B62,RésultatsV!$L$10:$O$248,4,0))</f>
        <v>0</v>
      </c>
      <c r="K62" s="136">
        <f>IF(ISNA(VLOOKUP(B62,RésultatsV!$L$10:$O$248,2,0)),"0",VLOOKUP(B62,RésultatsV!$L$10:$O$248,2,0))</f>
        <v>0</v>
      </c>
      <c r="L62" s="136">
        <f>IF(ISNA(VLOOKUP(B62,RésultatsV!$Q$10:$T$248,3,0)),"0",VLOOKUP(B62,RésultatsV!$Q$10:$T$248,3,0))</f>
        <v>0</v>
      </c>
      <c r="M62" s="136">
        <f>IF(ISNA(VLOOKUP(B62,RésultatsV!$Q$10:$T$248,4,0)),"0",VLOOKUP(B62,RésultatsV!$Q$10:$T$248,4,0))</f>
        <v>0</v>
      </c>
      <c r="N62" s="136">
        <f>IF(ISNA(VLOOKUP(B62,RésultatsV!$Q$10:$T$248,2,0)),"0",VLOOKUP(B62,RésultatsV!$Q$10:$T$248,2,0))</f>
        <v>0</v>
      </c>
      <c r="O62" s="136">
        <f>IF(ISNA(VLOOKUP(B62,RésultatsV!$V$10:$Y$248,3,0)),"0",VLOOKUP(B62,RésultatsV!$V$10:$Y$248,3,0))</f>
        <v>0</v>
      </c>
      <c r="P62" s="136">
        <f>IF(ISNA(VLOOKUP(B62,RésultatsV!$V$10:$Y$248,4,0)),"0",VLOOKUP(B62,RésultatsV!$V$10:$Y$248,4,0))</f>
        <v>0</v>
      </c>
      <c r="Q62" s="136">
        <f>IF(ISNA(VLOOKUP(E62,RésultatsV!$V$10:$Y$248,2,0)),"0",VLOOKUP(E62,RésultatsV!$V$10:$Y$248,2,0))</f>
        <v>0</v>
      </c>
      <c r="R62" s="136">
        <f>IF(ISNA(VLOOKUP(B62,RésultatsV!$AA$10:$AD$248,3,0)),"0",VLOOKUP(B62,RésultatsV!$AA$10:$AD$248,3,0))</f>
        <v>0</v>
      </c>
      <c r="S62" s="136">
        <f>IF(ISNA(VLOOKUP(B62,RésultatsV!$AA$10:$AD$248,4,0)),"0",VLOOKUP(B62,RésultatsV!$AA$10:$AD$248,4,0))</f>
        <v>0</v>
      </c>
      <c r="T62" s="136">
        <f>IF(ISNA(VLOOKUP(B62,RésultatsV!$AA$10:$AD$248,2,0)),"0",VLOOKUP(B62,RésultatsV!$AA$10:$AD$248,2,0))</f>
        <v>0</v>
      </c>
      <c r="U62" s="110">
        <f t="shared" si="15"/>
        <v>0</v>
      </c>
      <c r="V62" s="103">
        <f t="shared" si="16"/>
        <v>0</v>
      </c>
      <c r="W62" s="106">
        <f t="shared" si="4"/>
        <v>0</v>
      </c>
      <c r="X62" s="61">
        <f t="shared" si="10"/>
        <v>0</v>
      </c>
      <c r="Y62" s="52">
        <f t="shared" si="14"/>
        <v>0</v>
      </c>
      <c r="Z62" s="104">
        <f t="shared" si="7"/>
        <v>23.000158620000001</v>
      </c>
      <c r="AA62" s="115">
        <f>IF(B62="","",SMALL(Z$6:Z$185,ROWS(AD$6:AD62)))</f>
        <v>23.00015848</v>
      </c>
      <c r="AB62" s="270"/>
      <c r="AC62" s="4">
        <f>IF(OR(B62="",U62=""),"",INDEX($B$6:$B$185,MATCH(AA62,$Z$6:Z$185,0)))</f>
        <v>0</v>
      </c>
      <c r="AD62" s="4">
        <f t="shared" si="17"/>
        <v>0</v>
      </c>
      <c r="AE62" s="4">
        <f t="shared" si="18"/>
        <v>0</v>
      </c>
      <c r="AF62" s="113">
        <f t="shared" si="8"/>
        <v>0</v>
      </c>
      <c r="AG62" s="271">
        <f>IF(AA62="","",IF(AND(AD61=AD62,AE61=AE62,AF61=AF62),AG61,$AG$6+56))</f>
        <v>23</v>
      </c>
      <c r="AH62" s="34"/>
      <c r="AI62" s="94">
        <v>5</v>
      </c>
    </row>
    <row r="63" spans="1:35" s="23" customFormat="1" ht="18" customHeight="1">
      <c r="A63" s="282">
        <v>58</v>
      </c>
      <c r="B63" s="50">
        <f>+'Joueurs et TirageV'!C64</f>
        <v>0</v>
      </c>
      <c r="C63" s="136" t="str">
        <f>IF(ISNA(VLOOKUP(B63,RésultatsV!$B$10:$E$248,3,0)),"0",VLOOKUP(B63,RésultatsV!$B$10:$E$248,3,0))</f>
        <v>0</v>
      </c>
      <c r="D63" s="136">
        <f>IF(ISNA(VLOOKUP(B63,RésultatsV!$B$10:$E$248,4,0)),"0",VLOOKUP(B63,RésultatsV!$B$10:$E$248,4,0))</f>
        <v>0</v>
      </c>
      <c r="E63" s="136">
        <f>IF(ISNA(VLOOKUP(B63,RésultatsV!$B$10:$E$248,2,0)),"0",VLOOKUP(B63,RésultatsV!$B$10:$E$248,2,0))</f>
        <v>0</v>
      </c>
      <c r="F63" s="136">
        <f>IF(ISNA(VLOOKUP(B63,RésultatsV!$G$10:$J$248,3,0)),"0",VLOOKUP(B63,RésultatsV!$G$10:$J$248,3,0))</f>
        <v>0</v>
      </c>
      <c r="G63" s="136">
        <f>IF(ISNA(VLOOKUP(B63,RésultatsV!$G$10:$J$248,4,0)),"0",VLOOKUP(B63,RésultatsV!$G$10:$J$248,4,0))</f>
        <v>0</v>
      </c>
      <c r="H63" s="136">
        <f>IF(ISNA(VLOOKUP(B63,RésultatsV!$G$10:$J$248,2,0)),"0",VLOOKUP(B63,RésultatsV!$G$10:$J$248,2,0))</f>
        <v>0</v>
      </c>
      <c r="I63" s="136">
        <f>IF(ISNA(VLOOKUP(B63,RésultatsV!$L$10:$O$248,3,0)),"0",VLOOKUP(B63,RésultatsV!$L$10:$O$248,3,0))</f>
        <v>0</v>
      </c>
      <c r="J63" s="136">
        <f>IF(ISNA(VLOOKUP(B63,RésultatsV!$L$10:$O$248,4,0)),"0",VLOOKUP(B63,RésultatsV!$L$10:$O$248,4,0))</f>
        <v>0</v>
      </c>
      <c r="K63" s="136">
        <f>IF(ISNA(VLOOKUP(B63,RésultatsV!$L$10:$O$248,2,0)),"0",VLOOKUP(B63,RésultatsV!$L$10:$O$248,2,0))</f>
        <v>0</v>
      </c>
      <c r="L63" s="136">
        <f>IF(ISNA(VLOOKUP(B63,RésultatsV!$Q$10:$T$248,3,0)),"0",VLOOKUP(B63,RésultatsV!$Q$10:$T$248,3,0))</f>
        <v>0</v>
      </c>
      <c r="M63" s="136">
        <f>IF(ISNA(VLOOKUP(B63,RésultatsV!$Q$10:$T$248,4,0)),"0",VLOOKUP(B63,RésultatsV!$Q$10:$T$248,4,0))</f>
        <v>0</v>
      </c>
      <c r="N63" s="136">
        <f>IF(ISNA(VLOOKUP(B63,RésultatsV!$Q$10:$T$248,2,0)),"0",VLOOKUP(B63,RésultatsV!$Q$10:$T$248,2,0))</f>
        <v>0</v>
      </c>
      <c r="O63" s="136">
        <f>IF(ISNA(VLOOKUP(B63,RésultatsV!$V$10:$Y$248,3,0)),"0",VLOOKUP(B63,RésultatsV!$V$10:$Y$248,3,0))</f>
        <v>0</v>
      </c>
      <c r="P63" s="136">
        <f>IF(ISNA(VLOOKUP(B63,RésultatsV!$V$10:$Y$248,4,0)),"0",VLOOKUP(B63,RésultatsV!$V$10:$Y$248,4,0))</f>
        <v>0</v>
      </c>
      <c r="Q63" s="136">
        <f>IF(ISNA(VLOOKUP(E63,RésultatsV!$V$10:$Y$248,2,0)),"0",VLOOKUP(E63,RésultatsV!$V$10:$Y$248,2,0))</f>
        <v>0</v>
      </c>
      <c r="R63" s="136">
        <f>IF(ISNA(VLOOKUP(B63,RésultatsV!$AA$10:$AD$248,3,0)),"0",VLOOKUP(B63,RésultatsV!$AA$10:$AD$248,3,0))</f>
        <v>0</v>
      </c>
      <c r="S63" s="136">
        <f>IF(ISNA(VLOOKUP(B63,RésultatsV!$AA$10:$AD$248,4,0)),"0",VLOOKUP(B63,RésultatsV!$AA$10:$AD$248,4,0))</f>
        <v>0</v>
      </c>
      <c r="T63" s="136">
        <f>IF(ISNA(VLOOKUP(B63,RésultatsV!$AA$10:$AD$248,2,0)),"0",VLOOKUP(B63,RésultatsV!$AA$10:$AD$248,2,0))</f>
        <v>0</v>
      </c>
      <c r="U63" s="110">
        <f t="shared" si="15"/>
        <v>0</v>
      </c>
      <c r="V63" s="103">
        <f t="shared" si="16"/>
        <v>0</v>
      </c>
      <c r="W63" s="106">
        <f t="shared" si="4"/>
        <v>0</v>
      </c>
      <c r="X63" s="61">
        <f t="shared" si="10"/>
        <v>0</v>
      </c>
      <c r="Y63" s="52">
        <f t="shared" si="14"/>
        <v>0</v>
      </c>
      <c r="Z63" s="104">
        <f t="shared" si="7"/>
        <v>23.000158629999998</v>
      </c>
      <c r="AA63" s="115">
        <f>IF(B63="","",SMALL(Z$6:Z$185,ROWS(AD$6:AD63)))</f>
        <v>23.00015849</v>
      </c>
      <c r="AB63" s="270"/>
      <c r="AC63" s="4">
        <f>IF(OR(B63="",U63=""),"",INDEX($B$6:$B$185,MATCH(AA63,$Z$6:Z$185,0)))</f>
        <v>0</v>
      </c>
      <c r="AD63" s="4">
        <f t="shared" si="17"/>
        <v>0</v>
      </c>
      <c r="AE63" s="4">
        <f t="shared" si="18"/>
        <v>0</v>
      </c>
      <c r="AF63" s="113">
        <f t="shared" si="8"/>
        <v>0</v>
      </c>
      <c r="AG63" s="271">
        <f>IF(AA63="","",IF(AND(AD62=AD63,AE62=AE63,AF62=AF63),AG62,$AG$6+57))</f>
        <v>23</v>
      </c>
      <c r="AH63" s="34"/>
      <c r="AI63" s="94">
        <v>3</v>
      </c>
    </row>
    <row r="64" spans="1:35" s="23" customFormat="1" ht="18" customHeight="1">
      <c r="A64" s="282">
        <v>59</v>
      </c>
      <c r="B64" s="50">
        <f>+'Joueurs et TirageV'!C65</f>
        <v>0</v>
      </c>
      <c r="C64" s="136" t="str">
        <f>IF(ISNA(VLOOKUP(B64,RésultatsV!$B$10:$E$248,3,0)),"0",VLOOKUP(B64,RésultatsV!$B$10:$E$248,3,0))</f>
        <v>0</v>
      </c>
      <c r="D64" s="136">
        <f>IF(ISNA(VLOOKUP(B64,RésultatsV!$B$10:$E$248,4,0)),"0",VLOOKUP(B64,RésultatsV!$B$10:$E$248,4,0))</f>
        <v>0</v>
      </c>
      <c r="E64" s="136">
        <f>IF(ISNA(VLOOKUP(B64,RésultatsV!$B$10:$E$248,2,0)),"0",VLOOKUP(B64,RésultatsV!$B$10:$E$248,2,0))</f>
        <v>0</v>
      </c>
      <c r="F64" s="136">
        <f>IF(ISNA(VLOOKUP(B64,RésultatsV!$G$10:$J$248,3,0)),"0",VLOOKUP(B64,RésultatsV!$G$10:$J$248,3,0))</f>
        <v>0</v>
      </c>
      <c r="G64" s="136">
        <f>IF(ISNA(VLOOKUP(B64,RésultatsV!$G$10:$J$248,4,0)),"0",VLOOKUP(B64,RésultatsV!$G$10:$J$248,4,0))</f>
        <v>0</v>
      </c>
      <c r="H64" s="136">
        <f>IF(ISNA(VLOOKUP(B64,RésultatsV!$G$10:$J$248,2,0)),"0",VLOOKUP(B64,RésultatsV!$G$10:$J$248,2,0))</f>
        <v>0</v>
      </c>
      <c r="I64" s="136">
        <f>IF(ISNA(VLOOKUP(B64,RésultatsV!$L$10:$O$248,3,0)),"0",VLOOKUP(B64,RésultatsV!$L$10:$O$248,3,0))</f>
        <v>0</v>
      </c>
      <c r="J64" s="136">
        <f>IF(ISNA(VLOOKUP(B64,RésultatsV!$L$10:$O$248,4,0)),"0",VLOOKUP(B64,RésultatsV!$L$10:$O$248,4,0))</f>
        <v>0</v>
      </c>
      <c r="K64" s="136">
        <f>IF(ISNA(VLOOKUP(B64,RésultatsV!$L$10:$O$248,2,0)),"0",VLOOKUP(B64,RésultatsV!$L$10:$O$248,2,0))</f>
        <v>0</v>
      </c>
      <c r="L64" s="136">
        <f>IF(ISNA(VLOOKUP(B64,RésultatsV!$Q$10:$T$248,3,0)),"0",VLOOKUP(B64,RésultatsV!$Q$10:$T$248,3,0))</f>
        <v>0</v>
      </c>
      <c r="M64" s="136">
        <f>IF(ISNA(VLOOKUP(B64,RésultatsV!$Q$10:$T$248,4,0)),"0",VLOOKUP(B64,RésultatsV!$Q$10:$T$248,4,0))</f>
        <v>0</v>
      </c>
      <c r="N64" s="136">
        <f>IF(ISNA(VLOOKUP(B64,RésultatsV!$Q$10:$T$248,2,0)),"0",VLOOKUP(B64,RésultatsV!$Q$10:$T$248,2,0))</f>
        <v>0</v>
      </c>
      <c r="O64" s="136">
        <f>IF(ISNA(VLOOKUP(B64,RésultatsV!$V$10:$Y$248,3,0)),"0",VLOOKUP(B64,RésultatsV!$V$10:$Y$248,3,0))</f>
        <v>0</v>
      </c>
      <c r="P64" s="136">
        <f>IF(ISNA(VLOOKUP(B64,RésultatsV!$V$10:$Y$248,4,0)),"0",VLOOKUP(B64,RésultatsV!$V$10:$Y$248,4,0))</f>
        <v>0</v>
      </c>
      <c r="Q64" s="136">
        <f>IF(ISNA(VLOOKUP(E64,RésultatsV!$V$10:$Y$248,2,0)),"0",VLOOKUP(E64,RésultatsV!$V$10:$Y$248,2,0))</f>
        <v>0</v>
      </c>
      <c r="R64" s="136">
        <f>IF(ISNA(VLOOKUP(B64,RésultatsV!$AA$10:$AD$248,3,0)),"0",VLOOKUP(B64,RésultatsV!$AA$10:$AD$248,3,0))</f>
        <v>0</v>
      </c>
      <c r="S64" s="136">
        <f>IF(ISNA(VLOOKUP(B64,RésultatsV!$AA$10:$AD$248,4,0)),"0",VLOOKUP(B64,RésultatsV!$AA$10:$AD$248,4,0))</f>
        <v>0</v>
      </c>
      <c r="T64" s="136">
        <f>IF(ISNA(VLOOKUP(B64,RésultatsV!$AA$10:$AD$248,2,0)),"0",VLOOKUP(B64,RésultatsV!$AA$10:$AD$248,2,0))</f>
        <v>0</v>
      </c>
      <c r="U64" s="110">
        <f t="shared" si="15"/>
        <v>0</v>
      </c>
      <c r="V64" s="103">
        <f t="shared" si="16"/>
        <v>0</v>
      </c>
      <c r="W64" s="106">
        <f t="shared" si="4"/>
        <v>0</v>
      </c>
      <c r="X64" s="61">
        <f t="shared" si="10"/>
        <v>0</v>
      </c>
      <c r="Y64" s="52">
        <f t="shared" si="14"/>
        <v>0</v>
      </c>
      <c r="Z64" s="104">
        <f t="shared" si="7"/>
        <v>23.000158639999999</v>
      </c>
      <c r="AA64" s="115">
        <f>IF(B64="","",SMALL(Z$6:Z$185,ROWS(AD$6:AD64)))</f>
        <v>23.000158499999998</v>
      </c>
      <c r="AB64" s="270"/>
      <c r="AC64" s="4">
        <f>IF(OR(B64="",U64=""),"",INDEX($B$6:$B$185,MATCH(AA64,$Z$6:Z$185,0)))</f>
        <v>0</v>
      </c>
      <c r="AD64" s="4">
        <f t="shared" si="17"/>
        <v>0</v>
      </c>
      <c r="AE64" s="4">
        <f t="shared" si="18"/>
        <v>0</v>
      </c>
      <c r="AF64" s="113">
        <f t="shared" si="8"/>
        <v>0</v>
      </c>
      <c r="AG64" s="271">
        <f>IF(AA64="","",IF(AND(AD63=AD64,AE63=AE64,AF63=AF64),AG63,$AG$6+58))</f>
        <v>23</v>
      </c>
      <c r="AH64" s="34"/>
      <c r="AI64" s="94">
        <v>2</v>
      </c>
    </row>
    <row r="65" spans="1:35" s="23" customFormat="1" ht="18" customHeight="1" thickBot="1">
      <c r="A65" s="284">
        <v>60</v>
      </c>
      <c r="B65" s="132">
        <f>+'Joueurs et TirageV'!C66</f>
        <v>0</v>
      </c>
      <c r="C65" s="136" t="str">
        <f>IF(ISNA(VLOOKUP(B65,RésultatsV!$B$10:$E$248,3,0)),"0",VLOOKUP(B65,RésultatsV!$B$10:$E$248,3,0))</f>
        <v>0</v>
      </c>
      <c r="D65" s="136">
        <f>IF(ISNA(VLOOKUP(B65,RésultatsV!$B$10:$E$248,4,0)),"0",VLOOKUP(B65,RésultatsV!$B$10:$E$248,4,0))</f>
        <v>0</v>
      </c>
      <c r="E65" s="136">
        <f>IF(ISNA(VLOOKUP(B65,RésultatsV!$B$10:$E$248,2,0)),"0",VLOOKUP(B65,RésultatsV!$B$10:$E$248,2,0))</f>
        <v>0</v>
      </c>
      <c r="F65" s="136">
        <f>IF(ISNA(VLOOKUP(B65,RésultatsV!$G$10:$J$248,3,0)),"0",VLOOKUP(B65,RésultatsV!$G$10:$J$248,3,0))</f>
        <v>0</v>
      </c>
      <c r="G65" s="136">
        <f>IF(ISNA(VLOOKUP(B65,RésultatsV!$G$10:$J$248,4,0)),"0",VLOOKUP(B65,RésultatsV!$G$10:$J$248,4,0))</f>
        <v>0</v>
      </c>
      <c r="H65" s="136">
        <f>IF(ISNA(VLOOKUP(B65,RésultatsV!$G$10:$J$248,2,0)),"0",VLOOKUP(B65,RésultatsV!$G$10:$J$248,2,0))</f>
        <v>0</v>
      </c>
      <c r="I65" s="136">
        <f>IF(ISNA(VLOOKUP(B65,RésultatsV!$L$10:$O$248,3,0)),"0",VLOOKUP(B65,RésultatsV!$L$10:$O$248,3,0))</f>
        <v>0</v>
      </c>
      <c r="J65" s="136">
        <f>IF(ISNA(VLOOKUP(B65,RésultatsV!$L$10:$O$248,4,0)),"0",VLOOKUP(B65,RésultatsV!$L$10:$O$248,4,0))</f>
        <v>0</v>
      </c>
      <c r="K65" s="136">
        <f>IF(ISNA(VLOOKUP(B65,RésultatsV!$L$10:$O$248,2,0)),"0",VLOOKUP(B65,RésultatsV!$L$10:$O$248,2,0))</f>
        <v>0</v>
      </c>
      <c r="L65" s="136">
        <f>IF(ISNA(VLOOKUP(B65,RésultatsV!$Q$10:$T$248,3,0)),"0",VLOOKUP(B65,RésultatsV!$Q$10:$T$248,3,0))</f>
        <v>0</v>
      </c>
      <c r="M65" s="136">
        <f>IF(ISNA(VLOOKUP(B65,RésultatsV!$Q$10:$T$248,4,0)),"0",VLOOKUP(B65,RésultatsV!$Q$10:$T$248,4,0))</f>
        <v>0</v>
      </c>
      <c r="N65" s="136">
        <f>IF(ISNA(VLOOKUP(B65,RésultatsV!$Q$10:$T$248,2,0)),"0",VLOOKUP(B65,RésultatsV!$Q$10:$T$248,2,0))</f>
        <v>0</v>
      </c>
      <c r="O65" s="136">
        <f>IF(ISNA(VLOOKUP(B65,RésultatsV!$V$10:$Y$248,3,0)),"0",VLOOKUP(B65,RésultatsV!$V$10:$Y$248,3,0))</f>
        <v>0</v>
      </c>
      <c r="P65" s="136">
        <f>IF(ISNA(VLOOKUP(B65,RésultatsV!$V$10:$Y$248,4,0)),"0",VLOOKUP(B65,RésultatsV!$V$10:$Y$248,4,0))</f>
        <v>0</v>
      </c>
      <c r="Q65" s="136">
        <f>IF(ISNA(VLOOKUP(E65,RésultatsV!$V$10:$Y$248,2,0)),"0",VLOOKUP(E65,RésultatsV!$V$10:$Y$248,2,0))</f>
        <v>0</v>
      </c>
      <c r="R65" s="136">
        <f>IF(ISNA(VLOOKUP(B65,RésultatsV!$AA$10:$AD$248,3,0)),"0",VLOOKUP(B65,RésultatsV!$AA$10:$AD$248,3,0))</f>
        <v>0</v>
      </c>
      <c r="S65" s="136">
        <f>IF(ISNA(VLOOKUP(B65,RésultatsV!$AA$10:$AD$248,4,0)),"0",VLOOKUP(B65,RésultatsV!$AA$10:$AD$248,4,0))</f>
        <v>0</v>
      </c>
      <c r="T65" s="136">
        <f>IF(ISNA(VLOOKUP(B65,RésultatsV!$AA$10:$AD$248,2,0)),"0",VLOOKUP(B65,RésultatsV!$AA$10:$AD$248,2,0))</f>
        <v>0</v>
      </c>
      <c r="U65" s="110">
        <f t="shared" si="15"/>
        <v>0</v>
      </c>
      <c r="V65" s="103">
        <f t="shared" si="16"/>
        <v>0</v>
      </c>
      <c r="W65" s="106">
        <f t="shared" si="4"/>
        <v>0</v>
      </c>
      <c r="X65" s="61">
        <f t="shared" si="10"/>
        <v>0</v>
      </c>
      <c r="Y65" s="52">
        <f t="shared" si="14"/>
        <v>0</v>
      </c>
      <c r="Z65" s="104">
        <f t="shared" si="7"/>
        <v>23.000158649999999</v>
      </c>
      <c r="AA65" s="115">
        <f>IF(B65="","",SMALL(Z$6:Z$185,ROWS(AD$6:AD65)))</f>
        <v>23.000158509999999</v>
      </c>
      <c r="AB65" s="270"/>
      <c r="AC65" s="4">
        <f>IF(OR(B65="",U65=""),"",INDEX($B$6:$B$185,MATCH(AA65,$Z$6:Z$185,0)))</f>
        <v>0</v>
      </c>
      <c r="AD65" s="4">
        <f t="shared" si="17"/>
        <v>0</v>
      </c>
      <c r="AE65" s="4">
        <f t="shared" si="18"/>
        <v>0</v>
      </c>
      <c r="AF65" s="113">
        <f t="shared" si="8"/>
        <v>0</v>
      </c>
      <c r="AG65" s="271">
        <f>IF(AA65="","",IF(AND(AD64=AD65,AE64=AE65,AF64=AF65),AG64,$AG$6+59))</f>
        <v>23</v>
      </c>
      <c r="AH65" s="34"/>
      <c r="AI65" s="94">
        <v>1</v>
      </c>
    </row>
    <row r="66" spans="1:35" s="23" customFormat="1" ht="18" customHeight="1">
      <c r="A66" s="282">
        <v>61</v>
      </c>
      <c r="B66" s="286" t="str">
        <f>+'Joueurs et TirageV'!E7</f>
        <v>B1</v>
      </c>
      <c r="C66" s="136">
        <f>IF(ISNA(VLOOKUP(B66,RésultatsV!$B$10:$E$248,3,0)),"0",VLOOKUP(B66,RésultatsV!$B$10:$E$248,3,0))</f>
        <v>1</v>
      </c>
      <c r="D66" s="136">
        <f>IF(ISNA(VLOOKUP(B66,RésultatsV!$B$10:$E$248,4,0)),"0",VLOOKUP(B66,RésultatsV!$B$10:$E$248,4,0))</f>
        <v>-7</v>
      </c>
      <c r="E66" s="136">
        <f>IF(ISNA(VLOOKUP(B66,RésultatsV!$B$10:$E$248,2,0)),"0",VLOOKUP(B66,RésultatsV!$B$10:$E$248,2,0))</f>
        <v>2</v>
      </c>
      <c r="F66" s="136">
        <f>IF(ISNA(VLOOKUP(B66,RésultatsV!$G$10:$J$248,3,0)),"0",VLOOKUP(B66,RésultatsV!$G$10:$J$248,3,0))</f>
        <v>3</v>
      </c>
      <c r="G66" s="136">
        <f>IF(ISNA(VLOOKUP(B66,RésultatsV!$G$10:$J$248,4,0)),"0",VLOOKUP(B66,RésultatsV!$G$10:$J$248,4,0))</f>
        <v>5</v>
      </c>
      <c r="H66" s="136">
        <f>IF(ISNA(VLOOKUP(B66,RésultatsV!$G$10:$J$248,2,0)),"0",VLOOKUP(B66,RésultatsV!$G$10:$J$248,2,0))</f>
        <v>6</v>
      </c>
      <c r="I66" s="136" t="str">
        <f>IF(ISNA(VLOOKUP(B66,RésultatsV!$L$10:$O$248,3,0)),"0",VLOOKUP(B66,RésultatsV!$L$10:$O$248,3,0))</f>
        <v>0</v>
      </c>
      <c r="J66" s="136" t="str">
        <f>IF(ISNA(VLOOKUP(B66,RésultatsV!$L$10:$O$248,4,0)),"0",VLOOKUP(B66,RésultatsV!$L$10:$O$248,4,0))</f>
        <v>0</v>
      </c>
      <c r="K66" s="136" t="str">
        <f>IF(ISNA(VLOOKUP(B66,RésultatsV!$L$10:$O$248,2,0)),"0",VLOOKUP(B66,RésultatsV!$L$10:$O$248,2,0))</f>
        <v>0</v>
      </c>
      <c r="L66" s="136" t="str">
        <f>IF(ISNA(VLOOKUP(B66,RésultatsV!$Q$10:$T$248,3,0)),"0",VLOOKUP(B66,RésultatsV!$Q$10:$T$248,3,0))</f>
        <v>0</v>
      </c>
      <c r="M66" s="136" t="str">
        <f>IF(ISNA(VLOOKUP(B66,RésultatsV!$Q$10:$T$248,4,0)),"0",VLOOKUP(B66,RésultatsV!$Q$10:$T$248,4,0))</f>
        <v>0</v>
      </c>
      <c r="N66" s="136" t="str">
        <f>IF(ISNA(VLOOKUP(B66,RésultatsV!$Q$10:$T$248,2,0)),"0",VLOOKUP(B66,RésultatsV!$Q$10:$T$248,2,0))</f>
        <v>0</v>
      </c>
      <c r="O66" s="136" t="str">
        <f>IF(ISNA(VLOOKUP(B66,RésultatsV!$V$10:$Y$248,3,0)),"0",VLOOKUP(B66,RésultatsV!$V$10:$Y$248,3,0))</f>
        <v>0</v>
      </c>
      <c r="P66" s="136" t="str">
        <f>IF(ISNA(VLOOKUP(B66,RésultatsV!$V$10:$Y$248,4,0)),"0",VLOOKUP(B66,RésultatsV!$V$10:$Y$248,4,0))</f>
        <v>0</v>
      </c>
      <c r="Q66" s="136" t="str">
        <f>IF(ISNA(VLOOKUP(E66,RésultatsV!$V$10:$Y$248,2,0)),"0",VLOOKUP(E66,RésultatsV!$V$10:$Y$248,2,0))</f>
        <v>0</v>
      </c>
      <c r="R66" s="136" t="str">
        <f>IF(ISNA(VLOOKUP(B66,RésultatsV!$AA$10:$AD$248,3,0)),"0",VLOOKUP(B66,RésultatsV!$AA$10:$AD$248,3,0))</f>
        <v>0</v>
      </c>
      <c r="S66" s="136" t="str">
        <f>IF(ISNA(VLOOKUP(B66,RésultatsV!$AA$10:$AD$248,4,0)),"0",VLOOKUP(B66,RésultatsV!$AA$10:$AD$248,4,0))</f>
        <v>0</v>
      </c>
      <c r="T66" s="136" t="str">
        <f>IF(ISNA(VLOOKUP(B66,RésultatsV!$AA$10:$AD$248,2,0)),"0",VLOOKUP(B66,RésultatsV!$AA$10:$AD$248,2,0))</f>
        <v>0</v>
      </c>
      <c r="U66" s="110">
        <f t="shared" si="15"/>
        <v>4</v>
      </c>
      <c r="V66" s="103">
        <f t="shared" si="16"/>
        <v>-2</v>
      </c>
      <c r="W66" s="106">
        <f t="shared" si="4"/>
        <v>8</v>
      </c>
      <c r="X66" s="61">
        <f t="shared" si="10"/>
        <v>-2</v>
      </c>
      <c r="Y66" s="52">
        <f t="shared" si="6"/>
        <v>0</v>
      </c>
      <c r="Z66" s="104">
        <f t="shared" si="7"/>
        <v>7.0012006600000003</v>
      </c>
      <c r="AA66" s="115">
        <f>IF(B66="","",SMALL(Z$6:Z$185,ROWS(AD$6:AD66)))</f>
        <v>23.000158519999999</v>
      </c>
      <c r="AB66" s="270"/>
      <c r="AC66" s="4">
        <f>IF(OR(B66="",U66=""),"",INDEX($B$6:$B$185,MATCH(AA66,$Z$6:Z$185,0)))</f>
        <v>0</v>
      </c>
      <c r="AD66" s="4">
        <f t="shared" si="17"/>
        <v>0</v>
      </c>
      <c r="AE66" s="4">
        <f t="shared" si="18"/>
        <v>0</v>
      </c>
      <c r="AF66" s="113">
        <f t="shared" si="8"/>
        <v>0</v>
      </c>
      <c r="AG66" s="271">
        <f>IF(AA66="","",IF(AND(AD65=AD66,AE65=AE66,AF65=AF66),AG65,$AG$6+60))</f>
        <v>23</v>
      </c>
      <c r="AH66" s="34"/>
      <c r="AI66" s="92"/>
    </row>
    <row r="67" spans="1:35" s="23" customFormat="1" ht="18" customHeight="1">
      <c r="A67" s="282">
        <v>62</v>
      </c>
      <c r="B67" s="283" t="str">
        <f>+'Joueurs et TirageV'!E8</f>
        <v>B2</v>
      </c>
      <c r="C67" s="136">
        <f>IF(ISNA(VLOOKUP(B67,RésultatsV!$B$10:$E$248,3,0)),"0",VLOOKUP(B67,RésultatsV!$B$10:$E$248,3,0))</f>
        <v>3</v>
      </c>
      <c r="D67" s="136">
        <f>IF(ISNA(VLOOKUP(B67,RésultatsV!$B$10:$E$248,4,0)),"0",VLOOKUP(B67,RésultatsV!$B$10:$E$248,4,0))</f>
        <v>7</v>
      </c>
      <c r="E67" s="136">
        <f>IF(ISNA(VLOOKUP(B67,RésultatsV!$B$10:$E$248,2,0)),"0",VLOOKUP(B67,RésultatsV!$B$10:$E$248,2,0))</f>
        <v>9</v>
      </c>
      <c r="F67" s="136">
        <f>IF(ISNA(VLOOKUP(B67,RésultatsV!$G$10:$J$248,3,0)),"0",VLOOKUP(B67,RésultatsV!$G$10:$J$248,3,0))</f>
        <v>3</v>
      </c>
      <c r="G67" s="136">
        <f>IF(ISNA(VLOOKUP(B67,RésultatsV!$G$10:$J$248,4,0)),"0",VLOOKUP(B67,RésultatsV!$G$10:$J$248,4,0))</f>
        <v>4</v>
      </c>
      <c r="H67" s="136">
        <f>IF(ISNA(VLOOKUP(B67,RésultatsV!$G$10:$J$248,2,0)),"0",VLOOKUP(B67,RésultatsV!$G$10:$J$248,2,0))</f>
        <v>6</v>
      </c>
      <c r="I67" s="136" t="str">
        <f>IF(ISNA(VLOOKUP(B67,RésultatsV!$L$10:$O$248,3,0)),"0",VLOOKUP(B67,RésultatsV!$L$10:$O$248,3,0))</f>
        <v>0</v>
      </c>
      <c r="J67" s="136" t="str">
        <f>IF(ISNA(VLOOKUP(B67,RésultatsV!$L$10:$O$248,4,0)),"0",VLOOKUP(B67,RésultatsV!$L$10:$O$248,4,0))</f>
        <v>0</v>
      </c>
      <c r="K67" s="136" t="str">
        <f>IF(ISNA(VLOOKUP(B67,RésultatsV!$L$10:$O$248,2,0)),"0",VLOOKUP(B67,RésultatsV!$L$10:$O$248,2,0))</f>
        <v>0</v>
      </c>
      <c r="L67" s="136" t="str">
        <f>IF(ISNA(VLOOKUP(B67,RésultatsV!$Q$10:$T$248,3,0)),"0",VLOOKUP(B67,RésultatsV!$Q$10:$T$248,3,0))</f>
        <v>0</v>
      </c>
      <c r="M67" s="136" t="str">
        <f>IF(ISNA(VLOOKUP(B67,RésultatsV!$Q$10:$T$248,4,0)),"0",VLOOKUP(B67,RésultatsV!$Q$10:$T$248,4,0))</f>
        <v>0</v>
      </c>
      <c r="N67" s="136" t="str">
        <f>IF(ISNA(VLOOKUP(B67,RésultatsV!$Q$10:$T$248,2,0)),"0",VLOOKUP(B67,RésultatsV!$Q$10:$T$248,2,0))</f>
        <v>0</v>
      </c>
      <c r="O67" s="136" t="str">
        <f>IF(ISNA(VLOOKUP(B67,RésultatsV!$V$10:$Y$248,3,0)),"0",VLOOKUP(B67,RésultatsV!$V$10:$Y$248,3,0))</f>
        <v>0</v>
      </c>
      <c r="P67" s="136" t="str">
        <f>IF(ISNA(VLOOKUP(B67,RésultatsV!$V$10:$Y$248,4,0)),"0",VLOOKUP(B67,RésultatsV!$V$10:$Y$248,4,0))</f>
        <v>0</v>
      </c>
      <c r="Q67" s="136" t="str">
        <f>IF(ISNA(VLOOKUP(E67,RésultatsV!$V$10:$Y$248,2,0)),"0",VLOOKUP(E67,RésultatsV!$V$10:$Y$248,2,0))</f>
        <v>0</v>
      </c>
      <c r="R67" s="136" t="str">
        <f>IF(ISNA(VLOOKUP(B67,RésultatsV!$AA$10:$AD$248,3,0)),"0",VLOOKUP(B67,RésultatsV!$AA$10:$AD$248,3,0))</f>
        <v>0</v>
      </c>
      <c r="S67" s="136" t="str">
        <f>IF(ISNA(VLOOKUP(B67,RésultatsV!$AA$10:$AD$248,4,0)),"0",VLOOKUP(B67,RésultatsV!$AA$10:$AD$248,4,0))</f>
        <v>0</v>
      </c>
      <c r="T67" s="136" t="str">
        <f>IF(ISNA(VLOOKUP(B67,RésultatsV!$AA$10:$AD$248,2,0)),"0",VLOOKUP(B67,RésultatsV!$AA$10:$AD$248,2,0))</f>
        <v>0</v>
      </c>
      <c r="U67" s="110">
        <f t="shared" si="15"/>
        <v>6</v>
      </c>
      <c r="V67" s="103">
        <f t="shared" si="16"/>
        <v>11</v>
      </c>
      <c r="W67" s="106">
        <f t="shared" si="4"/>
        <v>15</v>
      </c>
      <c r="X67" s="61">
        <f t="shared" si="10"/>
        <v>0</v>
      </c>
      <c r="Y67" s="52">
        <f t="shared" si="6"/>
        <v>11</v>
      </c>
      <c r="Z67" s="104">
        <f t="shared" si="7"/>
        <v>0.98750067000000008</v>
      </c>
      <c r="AA67" s="115">
        <f>IF(B67="","",SMALL(Z$6:Z$185,ROWS(AD$6:AD67)))</f>
        <v>23.00015853</v>
      </c>
      <c r="AB67" s="270"/>
      <c r="AC67" s="4">
        <f>IF(OR(B67="",U67=""),"",INDEX($B$6:$B$185,MATCH(AA67,$Z$6:Z$185,0)))</f>
        <v>0</v>
      </c>
      <c r="AD67" s="4">
        <f t="shared" si="17"/>
        <v>0</v>
      </c>
      <c r="AE67" s="4">
        <f t="shared" si="18"/>
        <v>0</v>
      </c>
      <c r="AF67" s="113">
        <f t="shared" si="8"/>
        <v>0</v>
      </c>
      <c r="AG67" s="271">
        <f>IF(AA67="","",IF(AND(AD66=AD67,AE66=AE67,AF66=AF67),AG66,$AG$6+61))</f>
        <v>23</v>
      </c>
      <c r="AH67" s="34"/>
      <c r="AI67" s="92"/>
    </row>
    <row r="68" spans="1:35" s="23" customFormat="1" ht="18" customHeight="1">
      <c r="A68" s="282">
        <v>63</v>
      </c>
      <c r="B68" s="283" t="str">
        <f>+'Joueurs et TirageV'!E9</f>
        <v>B3</v>
      </c>
      <c r="C68" s="136">
        <f>IF(ISNA(VLOOKUP(B68,RésultatsV!$B$10:$E$248,3,0)),"0",VLOOKUP(B68,RésultatsV!$B$10:$E$248,3,0))</f>
        <v>3</v>
      </c>
      <c r="D68" s="136">
        <f>IF(ISNA(VLOOKUP(B68,RésultatsV!$B$10:$E$248,4,0)),"0",VLOOKUP(B68,RésultatsV!$B$10:$E$248,4,0))</f>
        <v>2</v>
      </c>
      <c r="E68" s="136">
        <f>IF(ISNA(VLOOKUP(B68,RésultatsV!$B$10:$E$248,2,0)),"0",VLOOKUP(B68,RésultatsV!$B$10:$E$248,2,0))</f>
        <v>13</v>
      </c>
      <c r="F68" s="136">
        <f>IF(ISNA(VLOOKUP(B68,RésultatsV!$G$10:$J$248,3,0)),"0",VLOOKUP(B68,RésultatsV!$G$10:$J$248,3,0))</f>
        <v>3</v>
      </c>
      <c r="G68" s="136">
        <f>IF(ISNA(VLOOKUP(B68,RésultatsV!$G$10:$J$248,4,0)),"0",VLOOKUP(B68,RésultatsV!$G$10:$J$248,4,0))</f>
        <v>5</v>
      </c>
      <c r="H68" s="136">
        <f>IF(ISNA(VLOOKUP(B68,RésultatsV!$G$10:$J$248,2,0)),"0",VLOOKUP(B68,RésultatsV!$G$10:$J$248,2,0))</f>
        <v>6</v>
      </c>
      <c r="I68" s="136" t="str">
        <f>IF(ISNA(VLOOKUP(B68,RésultatsV!$L$10:$O$248,3,0)),"0",VLOOKUP(B68,RésultatsV!$L$10:$O$248,3,0))</f>
        <v>0</v>
      </c>
      <c r="J68" s="136" t="str">
        <f>IF(ISNA(VLOOKUP(B68,RésultatsV!$L$10:$O$248,4,0)),"0",VLOOKUP(B68,RésultatsV!$L$10:$O$248,4,0))</f>
        <v>0</v>
      </c>
      <c r="K68" s="136" t="str">
        <f>IF(ISNA(VLOOKUP(B68,RésultatsV!$L$10:$O$248,2,0)),"0",VLOOKUP(B68,RésultatsV!$L$10:$O$248,2,0))</f>
        <v>0</v>
      </c>
      <c r="L68" s="136" t="str">
        <f>IF(ISNA(VLOOKUP(B68,RésultatsV!$Q$10:$T$248,3,0)),"0",VLOOKUP(B68,RésultatsV!$Q$10:$T$248,3,0))</f>
        <v>0</v>
      </c>
      <c r="M68" s="136" t="str">
        <f>IF(ISNA(VLOOKUP(B68,RésultatsV!$Q$10:$T$248,4,0)),"0",VLOOKUP(B68,RésultatsV!$Q$10:$T$248,4,0))</f>
        <v>0</v>
      </c>
      <c r="N68" s="136" t="str">
        <f>IF(ISNA(VLOOKUP(B68,RésultatsV!$Q$10:$T$248,2,0)),"0",VLOOKUP(B68,RésultatsV!$Q$10:$T$248,2,0))</f>
        <v>0</v>
      </c>
      <c r="O68" s="136" t="str">
        <f>IF(ISNA(VLOOKUP(B68,RésultatsV!$V$10:$Y$248,3,0)),"0",VLOOKUP(B68,RésultatsV!$V$10:$Y$248,3,0))</f>
        <v>0</v>
      </c>
      <c r="P68" s="136" t="str">
        <f>IF(ISNA(VLOOKUP(B68,RésultatsV!$V$10:$Y$248,4,0)),"0",VLOOKUP(B68,RésultatsV!$V$10:$Y$248,4,0))</f>
        <v>0</v>
      </c>
      <c r="Q68" s="136" t="str">
        <f>IF(ISNA(VLOOKUP(E68,RésultatsV!$V$10:$Y$248,2,0)),"0",VLOOKUP(E68,RésultatsV!$V$10:$Y$248,2,0))</f>
        <v>0</v>
      </c>
      <c r="R68" s="136" t="str">
        <f>IF(ISNA(VLOOKUP(B68,RésultatsV!$AA$10:$AD$248,3,0)),"0",VLOOKUP(B68,RésultatsV!$AA$10:$AD$248,3,0))</f>
        <v>0</v>
      </c>
      <c r="S68" s="136" t="str">
        <f>IF(ISNA(VLOOKUP(B68,RésultatsV!$AA$10:$AD$248,4,0)),"0",VLOOKUP(B68,RésultatsV!$AA$10:$AD$248,4,0))</f>
        <v>0</v>
      </c>
      <c r="T68" s="136" t="str">
        <f>IF(ISNA(VLOOKUP(B68,RésultatsV!$AA$10:$AD$248,2,0)),"0",VLOOKUP(B68,RésultatsV!$AA$10:$AD$248,2,0))</f>
        <v>0</v>
      </c>
      <c r="U68" s="110">
        <f t="shared" si="15"/>
        <v>6</v>
      </c>
      <c r="V68" s="103">
        <f t="shared" si="16"/>
        <v>7</v>
      </c>
      <c r="W68" s="106">
        <f t="shared" si="4"/>
        <v>19</v>
      </c>
      <c r="X68" s="61">
        <f t="shared" si="10"/>
        <v>0</v>
      </c>
      <c r="Y68" s="52">
        <f t="shared" si="6"/>
        <v>7</v>
      </c>
      <c r="Z68" s="104">
        <f t="shared" si="7"/>
        <v>0.99110067999999996</v>
      </c>
      <c r="AA68" s="115">
        <f>IF(B68="","",SMALL(Z$6:Z$185,ROWS(AD$6:AD68)))</f>
        <v>23.000158539999997</v>
      </c>
      <c r="AB68" s="270"/>
      <c r="AC68" s="4">
        <f>IF(OR(B68="",U68=""),"",INDEX($B$6:$B$185,MATCH(AA68,$Z$6:Z$185,0)))</f>
        <v>0</v>
      </c>
      <c r="AD68" s="4">
        <f t="shared" si="17"/>
        <v>0</v>
      </c>
      <c r="AE68" s="4">
        <f t="shared" si="18"/>
        <v>0</v>
      </c>
      <c r="AF68" s="113">
        <f t="shared" si="8"/>
        <v>0</v>
      </c>
      <c r="AG68" s="271">
        <f>IF(AA68="","",IF(AND(AD67=AD68,AE67=AE68,AF67=AF68),AG67,$AG$6+62))</f>
        <v>23</v>
      </c>
      <c r="AH68" s="34"/>
      <c r="AI68" s="92"/>
    </row>
    <row r="69" spans="1:35" s="23" customFormat="1" ht="18" customHeight="1">
      <c r="A69" s="282">
        <v>64</v>
      </c>
      <c r="B69" s="283" t="str">
        <f>+'Joueurs et TirageV'!E10</f>
        <v>B4</v>
      </c>
      <c r="C69" s="136">
        <f>IF(ISNA(VLOOKUP(B69,RésultatsV!$B$10:$E$248,3,0)),"0",VLOOKUP(B69,RésultatsV!$B$10:$E$248,3,0))</f>
        <v>1</v>
      </c>
      <c r="D69" s="136">
        <f>IF(ISNA(VLOOKUP(B69,RésultatsV!$B$10:$E$248,4,0)),"0",VLOOKUP(B69,RésultatsV!$B$10:$E$248,4,0))</f>
        <v>-7</v>
      </c>
      <c r="E69" s="136">
        <f>IF(ISNA(VLOOKUP(B69,RésultatsV!$B$10:$E$248,2,0)),"0",VLOOKUP(B69,RésultatsV!$B$10:$E$248,2,0))</f>
        <v>2</v>
      </c>
      <c r="F69" s="136">
        <f>IF(ISNA(VLOOKUP(B69,RésultatsV!$G$10:$J$248,3,0)),"0",VLOOKUP(B69,RésultatsV!$G$10:$J$248,3,0))</f>
        <v>1</v>
      </c>
      <c r="G69" s="136">
        <f>IF(ISNA(VLOOKUP(B69,RésultatsV!$G$10:$J$248,4,0)),"0",VLOOKUP(B69,RésultatsV!$G$10:$J$248,4,0))</f>
        <v>-4</v>
      </c>
      <c r="H69" s="136">
        <f>IF(ISNA(VLOOKUP(B69,RésultatsV!$G$10:$J$248,2,0)),"0",VLOOKUP(B69,RésultatsV!$G$10:$J$248,2,0))</f>
        <v>2</v>
      </c>
      <c r="I69" s="136" t="str">
        <f>IF(ISNA(VLOOKUP(B69,RésultatsV!$L$10:$O$248,3,0)),"0",VLOOKUP(B69,RésultatsV!$L$10:$O$248,3,0))</f>
        <v>0</v>
      </c>
      <c r="J69" s="136" t="str">
        <f>IF(ISNA(VLOOKUP(B69,RésultatsV!$L$10:$O$248,4,0)),"0",VLOOKUP(B69,RésultatsV!$L$10:$O$248,4,0))</f>
        <v>0</v>
      </c>
      <c r="K69" s="136" t="str">
        <f>IF(ISNA(VLOOKUP(B69,RésultatsV!$L$10:$O$248,2,0)),"0",VLOOKUP(B69,RésultatsV!$L$10:$O$248,2,0))</f>
        <v>0</v>
      </c>
      <c r="L69" s="136" t="str">
        <f>IF(ISNA(VLOOKUP(B69,RésultatsV!$Q$10:$T$248,3,0)),"0",VLOOKUP(B69,RésultatsV!$Q$10:$T$248,3,0))</f>
        <v>0</v>
      </c>
      <c r="M69" s="136" t="str">
        <f>IF(ISNA(VLOOKUP(B69,RésultatsV!$Q$10:$T$248,4,0)),"0",VLOOKUP(B69,RésultatsV!$Q$10:$T$248,4,0))</f>
        <v>0</v>
      </c>
      <c r="N69" s="136" t="str">
        <f>IF(ISNA(VLOOKUP(B69,RésultatsV!$Q$10:$T$248,2,0)),"0",VLOOKUP(B69,RésultatsV!$Q$10:$T$248,2,0))</f>
        <v>0</v>
      </c>
      <c r="O69" s="136" t="str">
        <f>IF(ISNA(VLOOKUP(B69,RésultatsV!$V$10:$Y$248,3,0)),"0",VLOOKUP(B69,RésultatsV!$V$10:$Y$248,3,0))</f>
        <v>0</v>
      </c>
      <c r="P69" s="136" t="str">
        <f>IF(ISNA(VLOOKUP(B69,RésultatsV!$V$10:$Y$248,4,0)),"0",VLOOKUP(B69,RésultatsV!$V$10:$Y$248,4,0))</f>
        <v>0</v>
      </c>
      <c r="Q69" s="136" t="str">
        <f>IF(ISNA(VLOOKUP(E69,RésultatsV!$V$10:$Y$248,2,0)),"0",VLOOKUP(E69,RésultatsV!$V$10:$Y$248,2,0))</f>
        <v>0</v>
      </c>
      <c r="R69" s="136" t="str">
        <f>IF(ISNA(VLOOKUP(B69,RésultatsV!$AA$10:$AD$248,3,0)),"0",VLOOKUP(B69,RésultatsV!$AA$10:$AD$248,3,0))</f>
        <v>0</v>
      </c>
      <c r="S69" s="136" t="str">
        <f>IF(ISNA(VLOOKUP(B69,RésultatsV!$AA$10:$AD$248,4,0)),"0",VLOOKUP(B69,RésultatsV!$AA$10:$AD$248,4,0))</f>
        <v>0</v>
      </c>
      <c r="T69" s="136" t="str">
        <f>IF(ISNA(VLOOKUP(B69,RésultatsV!$AA$10:$AD$248,2,0)),"0",VLOOKUP(B69,RésultatsV!$AA$10:$AD$248,2,0))</f>
        <v>0</v>
      </c>
      <c r="U69" s="110">
        <f t="shared" si="15"/>
        <v>2</v>
      </c>
      <c r="V69" s="103">
        <f t="shared" si="16"/>
        <v>-11</v>
      </c>
      <c r="W69" s="106">
        <f t="shared" si="4"/>
        <v>4</v>
      </c>
      <c r="X69" s="61">
        <f t="shared" si="10"/>
        <v>-11</v>
      </c>
      <c r="Y69" s="52">
        <f t="shared" si="6"/>
        <v>0</v>
      </c>
      <c r="Z69" s="104">
        <f t="shared" si="7"/>
        <v>17.01060069</v>
      </c>
      <c r="AA69" s="115">
        <f>IF(B69="","",SMALL(Z$6:Z$185,ROWS(AD$6:AD69)))</f>
        <v>23.000158549999998</v>
      </c>
      <c r="AB69" s="270"/>
      <c r="AC69" s="4">
        <f>IF(OR(B69="",U69=""),"",INDEX($B$6:$B$185,MATCH(AA69,$Z$6:Z$185,0)))</f>
        <v>0</v>
      </c>
      <c r="AD69" s="4">
        <f t="shared" si="17"/>
        <v>0</v>
      </c>
      <c r="AE69" s="4">
        <f t="shared" si="18"/>
        <v>0</v>
      </c>
      <c r="AF69" s="113">
        <f t="shared" si="8"/>
        <v>0</v>
      </c>
      <c r="AG69" s="271">
        <f>IF(AA69="","",IF(AND(AD68=AD69,AE68=AE69,AF68=AF69),AG68,$AG$6+63))</f>
        <v>23</v>
      </c>
      <c r="AH69" s="34"/>
      <c r="AI69" s="92"/>
    </row>
    <row r="70" spans="1:35" s="23" customFormat="1" ht="18" customHeight="1">
      <c r="A70" s="282">
        <v>65</v>
      </c>
      <c r="B70" s="283" t="str">
        <f>+'Joueurs et TirageV'!E11</f>
        <v>B5</v>
      </c>
      <c r="C70" s="136">
        <f>IF(ISNA(VLOOKUP(B70,RésultatsV!$B$10:$E$248,3,0)),"0",VLOOKUP(B70,RésultatsV!$B$10:$E$248,3,0))</f>
        <v>1</v>
      </c>
      <c r="D70" s="136">
        <f>IF(ISNA(VLOOKUP(B70,RésultatsV!$B$10:$E$248,4,0)),"0",VLOOKUP(B70,RésultatsV!$B$10:$E$248,4,0))</f>
        <v>-7</v>
      </c>
      <c r="E70" s="136">
        <f>IF(ISNA(VLOOKUP(B70,RésultatsV!$B$10:$E$248,2,0)),"0",VLOOKUP(B70,RésultatsV!$B$10:$E$248,2,0))</f>
        <v>2</v>
      </c>
      <c r="F70" s="136">
        <f>IF(ISNA(VLOOKUP(B70,RésultatsV!$G$10:$J$248,3,0)),"0",VLOOKUP(B70,RésultatsV!$G$10:$J$248,3,0))</f>
        <v>1</v>
      </c>
      <c r="G70" s="136">
        <f>IF(ISNA(VLOOKUP(B70,RésultatsV!$G$10:$J$248,4,0)),"0",VLOOKUP(B70,RésultatsV!$G$10:$J$248,4,0))</f>
        <v>-5</v>
      </c>
      <c r="H70" s="136">
        <f>IF(ISNA(VLOOKUP(B70,RésultatsV!$G$10:$J$248,2,0)),"0",VLOOKUP(B70,RésultatsV!$G$10:$J$248,2,0))</f>
        <v>1</v>
      </c>
      <c r="I70" s="136" t="str">
        <f>IF(ISNA(VLOOKUP(B70,RésultatsV!$L$10:$O$248,3,0)),"0",VLOOKUP(B70,RésultatsV!$L$10:$O$248,3,0))</f>
        <v>0</v>
      </c>
      <c r="J70" s="136" t="str">
        <f>IF(ISNA(VLOOKUP(B70,RésultatsV!$L$10:$O$248,4,0)),"0",VLOOKUP(B70,RésultatsV!$L$10:$O$248,4,0))</f>
        <v>0</v>
      </c>
      <c r="K70" s="136" t="str">
        <f>IF(ISNA(VLOOKUP(B70,RésultatsV!$L$10:$O$248,2,0)),"0",VLOOKUP(B70,RésultatsV!$L$10:$O$248,2,0))</f>
        <v>0</v>
      </c>
      <c r="L70" s="136" t="str">
        <f>IF(ISNA(VLOOKUP(B70,RésultatsV!$Q$10:$T$248,3,0)),"0",VLOOKUP(B70,RésultatsV!$Q$10:$T$248,3,0))</f>
        <v>0</v>
      </c>
      <c r="M70" s="136" t="str">
        <f>IF(ISNA(VLOOKUP(B70,RésultatsV!$Q$10:$T$248,4,0)),"0",VLOOKUP(B70,RésultatsV!$Q$10:$T$248,4,0))</f>
        <v>0</v>
      </c>
      <c r="N70" s="136" t="str">
        <f>IF(ISNA(VLOOKUP(B70,RésultatsV!$Q$10:$T$248,2,0)),"0",VLOOKUP(B70,RésultatsV!$Q$10:$T$248,2,0))</f>
        <v>0</v>
      </c>
      <c r="O70" s="136" t="str">
        <f>IF(ISNA(VLOOKUP(B70,RésultatsV!$V$10:$Y$248,3,0)),"0",VLOOKUP(B70,RésultatsV!$V$10:$Y$248,3,0))</f>
        <v>0</v>
      </c>
      <c r="P70" s="136" t="str">
        <f>IF(ISNA(VLOOKUP(B70,RésultatsV!$V$10:$Y$248,4,0)),"0",VLOOKUP(B70,RésultatsV!$V$10:$Y$248,4,0))</f>
        <v>0</v>
      </c>
      <c r="Q70" s="136" t="str">
        <f>IF(ISNA(VLOOKUP(E70,RésultatsV!$V$10:$Y$248,2,0)),"0",VLOOKUP(E70,RésultatsV!$V$10:$Y$248,2,0))</f>
        <v>0</v>
      </c>
      <c r="R70" s="136" t="str">
        <f>IF(ISNA(VLOOKUP(B70,RésultatsV!$AA$10:$AD$248,3,0)),"0",VLOOKUP(B70,RésultatsV!$AA$10:$AD$248,3,0))</f>
        <v>0</v>
      </c>
      <c r="S70" s="136" t="str">
        <f>IF(ISNA(VLOOKUP(B70,RésultatsV!$AA$10:$AD$248,4,0)),"0",VLOOKUP(B70,RésultatsV!$AA$10:$AD$248,4,0))</f>
        <v>0</v>
      </c>
      <c r="T70" s="136" t="str">
        <f>IF(ISNA(VLOOKUP(B70,RésultatsV!$AA$10:$AD$248,2,0)),"0",VLOOKUP(B70,RésultatsV!$AA$10:$AD$248,2,0))</f>
        <v>0</v>
      </c>
      <c r="U70" s="110">
        <f t="shared" ref="U70:U101" si="19">SUMIFS(C70:R70,$C$5:$R$5,"Pts",C70:R70,"&lt;&gt;#N/A")</f>
        <v>2</v>
      </c>
      <c r="V70" s="103">
        <f t="shared" ref="V70:V101" si="20">SUMIFS(D70:S70,$D$5:$S$5,"GA",D70:S70,"&lt;&gt;#N/A")</f>
        <v>-12</v>
      </c>
      <c r="W70" s="106">
        <f t="shared" si="4"/>
        <v>3</v>
      </c>
      <c r="X70" s="61">
        <f t="shared" si="10"/>
        <v>-12</v>
      </c>
      <c r="Y70" s="52">
        <f t="shared" si="6"/>
        <v>0</v>
      </c>
      <c r="Z70" s="104">
        <f t="shared" si="7"/>
        <v>17.011700700000002</v>
      </c>
      <c r="AA70" s="115">
        <f>IF(B70="","",SMALL(Z$6:Z$185,ROWS(AD$6:AD70)))</f>
        <v>23.000158559999999</v>
      </c>
      <c r="AB70" s="270"/>
      <c r="AC70" s="4">
        <f>IF(OR(B70="",U70=""),"",INDEX($B$6:$B$185,MATCH(AA70,$Z$6:Z$185,0)))</f>
        <v>0</v>
      </c>
      <c r="AD70" s="4">
        <f t="shared" ref="AD70:AD101" si="21">IF(B70="","",INDEX($U$6:$U$185,MATCH(AA70,$Z$6:$Z$185,0)))</f>
        <v>0</v>
      </c>
      <c r="AE70" s="4">
        <f t="shared" ref="AE70:AE101" si="22">IF(B70="","",INDEX($V$6:$V$185,MATCH(AA70,$Z$6:$Z$185,0)))</f>
        <v>0</v>
      </c>
      <c r="AF70" s="113">
        <f t="shared" si="8"/>
        <v>0</v>
      </c>
      <c r="AG70" s="271">
        <f>IF(AA70="","",IF(AND(AD69=AD70,AE69=AE70,AF69=AF70),AG69,$AG$6+64))</f>
        <v>23</v>
      </c>
      <c r="AH70" s="34"/>
      <c r="AI70" s="92"/>
    </row>
    <row r="71" spans="1:35" s="23" customFormat="1" ht="18" customHeight="1">
      <c r="A71" s="282">
        <v>66</v>
      </c>
      <c r="B71" s="283" t="str">
        <f>+'Joueurs et TirageV'!E12</f>
        <v>B6</v>
      </c>
      <c r="C71" s="136">
        <f>IF(ISNA(VLOOKUP(B71,RésultatsV!$B$10:$E$248,3,0)),"0",VLOOKUP(B71,RésultatsV!$B$10:$E$248,3,0))</f>
        <v>3</v>
      </c>
      <c r="D71" s="136">
        <f>IF(ISNA(VLOOKUP(B71,RésultatsV!$B$10:$E$248,4,0)),"0",VLOOKUP(B71,RésultatsV!$B$10:$E$248,4,0))</f>
        <v>7</v>
      </c>
      <c r="E71" s="136">
        <f>IF(ISNA(VLOOKUP(B71,RésultatsV!$B$10:$E$248,2,0)),"0",VLOOKUP(B71,RésultatsV!$B$10:$E$248,2,0))</f>
        <v>9</v>
      </c>
      <c r="F71" s="136">
        <f>IF(ISNA(VLOOKUP(B71,RésultatsV!$G$10:$J$248,3,0)),"0",VLOOKUP(B71,RésultatsV!$G$10:$J$248,3,0))</f>
        <v>3</v>
      </c>
      <c r="G71" s="136">
        <f>IF(ISNA(VLOOKUP(B71,RésultatsV!$G$10:$J$248,4,0)),"0",VLOOKUP(B71,RésultatsV!$G$10:$J$248,4,0))</f>
        <v>5</v>
      </c>
      <c r="H71" s="136">
        <f>IF(ISNA(VLOOKUP(B71,RésultatsV!$G$10:$J$248,2,0)),"0",VLOOKUP(B71,RésultatsV!$G$10:$J$248,2,0))</f>
        <v>6</v>
      </c>
      <c r="I71" s="136" t="str">
        <f>IF(ISNA(VLOOKUP(B71,RésultatsV!$L$10:$O$248,3,0)),"0",VLOOKUP(B71,RésultatsV!$L$10:$O$248,3,0))</f>
        <v>0</v>
      </c>
      <c r="J71" s="136" t="str">
        <f>IF(ISNA(VLOOKUP(B71,RésultatsV!$L$10:$O$248,4,0)),"0",VLOOKUP(B71,RésultatsV!$L$10:$O$248,4,0))</f>
        <v>0</v>
      </c>
      <c r="K71" s="136" t="str">
        <f>IF(ISNA(VLOOKUP(B71,RésultatsV!$L$10:$O$248,2,0)),"0",VLOOKUP(B71,RésultatsV!$L$10:$O$248,2,0))</f>
        <v>0</v>
      </c>
      <c r="L71" s="136" t="str">
        <f>IF(ISNA(VLOOKUP(B71,RésultatsV!$Q$10:$T$248,3,0)),"0",VLOOKUP(B71,RésultatsV!$Q$10:$T$248,3,0))</f>
        <v>0</v>
      </c>
      <c r="M71" s="136" t="str">
        <f>IF(ISNA(VLOOKUP(B71,RésultatsV!$Q$10:$T$248,4,0)),"0",VLOOKUP(B71,RésultatsV!$Q$10:$T$248,4,0))</f>
        <v>0</v>
      </c>
      <c r="N71" s="136" t="str">
        <f>IF(ISNA(VLOOKUP(B71,RésultatsV!$Q$10:$T$248,2,0)),"0",VLOOKUP(B71,RésultatsV!$Q$10:$T$248,2,0))</f>
        <v>0</v>
      </c>
      <c r="O71" s="136" t="str">
        <f>IF(ISNA(VLOOKUP(B71,RésultatsV!$V$10:$Y$248,3,0)),"0",VLOOKUP(B71,RésultatsV!$V$10:$Y$248,3,0))</f>
        <v>0</v>
      </c>
      <c r="P71" s="136" t="str">
        <f>IF(ISNA(VLOOKUP(B71,RésultatsV!$V$10:$Y$248,4,0)),"0",VLOOKUP(B71,RésultatsV!$V$10:$Y$248,4,0))</f>
        <v>0</v>
      </c>
      <c r="Q71" s="136" t="str">
        <f>IF(ISNA(VLOOKUP(E71,RésultatsV!$V$10:$Y$248,2,0)),"0",VLOOKUP(E71,RésultatsV!$V$10:$Y$248,2,0))</f>
        <v>0</v>
      </c>
      <c r="R71" s="136" t="str">
        <f>IF(ISNA(VLOOKUP(B71,RésultatsV!$AA$10:$AD$248,3,0)),"0",VLOOKUP(B71,RésultatsV!$AA$10:$AD$248,3,0))</f>
        <v>0</v>
      </c>
      <c r="S71" s="136" t="str">
        <f>IF(ISNA(VLOOKUP(B71,RésultatsV!$AA$10:$AD$248,4,0)),"0",VLOOKUP(B71,RésultatsV!$AA$10:$AD$248,4,0))</f>
        <v>0</v>
      </c>
      <c r="T71" s="136" t="str">
        <f>IF(ISNA(VLOOKUP(B71,RésultatsV!$AA$10:$AD$248,2,0)),"0",VLOOKUP(B71,RésultatsV!$AA$10:$AD$248,2,0))</f>
        <v>0</v>
      </c>
      <c r="U71" s="110">
        <f t="shared" si="19"/>
        <v>6</v>
      </c>
      <c r="V71" s="103">
        <f t="shared" si="20"/>
        <v>12</v>
      </c>
      <c r="W71" s="106">
        <f t="shared" ref="W71:W134" si="23">SUMIFS(E71:T71,$E$5:$T$5,"Score",E71:T71,"&lt;&gt;#N/A")</f>
        <v>15</v>
      </c>
      <c r="X71" s="61">
        <f t="shared" si="10"/>
        <v>0</v>
      </c>
      <c r="Y71" s="52">
        <f t="shared" si="6"/>
        <v>12</v>
      </c>
      <c r="Z71" s="104">
        <f t="shared" ref="Z71:Z134" si="24">IF(OR(B71="",U71="",V71="",W71=""),"",RANK(U71,$U$6:$U$185)+SUM(-V71/1000)-(+W71/10000)+COUNTIF(B$6:B$185,"&lt;="&amp;B71+1)/1000000+ROW()/100000000)</f>
        <v>0.98650071000000006</v>
      </c>
      <c r="AA71" s="115">
        <f>IF(B71="","",SMALL(Z$6:Z$185,ROWS(AD$6:AD71)))</f>
        <v>23.00015857</v>
      </c>
      <c r="AB71" s="270"/>
      <c r="AC71" s="4">
        <f>IF(OR(B71="",U71=""),"",INDEX($B$6:$B$185,MATCH(AA71,$Z$6:Z$185,0)))</f>
        <v>0</v>
      </c>
      <c r="AD71" s="4">
        <f t="shared" si="21"/>
        <v>0</v>
      </c>
      <c r="AE71" s="4">
        <f t="shared" si="22"/>
        <v>0</v>
      </c>
      <c r="AF71" s="113">
        <f t="shared" ref="AF71:AF134" si="25">IF(B71="","",INDEX($W$6:$W$185,MATCH(AA71,$Z$6:$Z$185,0)))</f>
        <v>0</v>
      </c>
      <c r="AG71" s="271">
        <f>IF(AA71="","",IF(AND(AD70=AD71,AE70=AE71,AF70=AF71),AG70,$AG$6+65))</f>
        <v>23</v>
      </c>
      <c r="AH71" s="34"/>
      <c r="AI71" s="92"/>
    </row>
    <row r="72" spans="1:35" s="23" customFormat="1" ht="18" customHeight="1">
      <c r="A72" s="282">
        <v>67</v>
      </c>
      <c r="B72" s="283" t="str">
        <f>+'Joueurs et TirageV'!E13</f>
        <v>B7</v>
      </c>
      <c r="C72" s="136">
        <f>IF(ISNA(VLOOKUP(B72,RésultatsV!$B$10:$E$248,3,0)),"0",VLOOKUP(B72,RésultatsV!$B$10:$E$248,3,0))</f>
        <v>3</v>
      </c>
      <c r="D72" s="136">
        <f>IF(ISNA(VLOOKUP(B72,RésultatsV!$B$10:$E$248,4,0)),"0",VLOOKUP(B72,RésultatsV!$B$10:$E$248,4,0))</f>
        <v>7</v>
      </c>
      <c r="E72" s="136">
        <f>IF(ISNA(VLOOKUP(B72,RésultatsV!$B$10:$E$248,2,0)),"0",VLOOKUP(B72,RésultatsV!$B$10:$E$248,2,0))</f>
        <v>9</v>
      </c>
      <c r="F72" s="136">
        <f>IF(ISNA(VLOOKUP(B72,RésultatsV!$G$10:$J$248,3,0)),"0",VLOOKUP(B72,RésultatsV!$G$10:$J$248,3,0))</f>
        <v>1</v>
      </c>
      <c r="G72" s="136">
        <f>IF(ISNA(VLOOKUP(B72,RésultatsV!$G$10:$J$248,4,0)),"0",VLOOKUP(B72,RésultatsV!$G$10:$J$248,4,0))</f>
        <v>-5</v>
      </c>
      <c r="H72" s="136">
        <f>IF(ISNA(VLOOKUP(B72,RésultatsV!$G$10:$J$248,2,0)),"0",VLOOKUP(B72,RésultatsV!$G$10:$J$248,2,0))</f>
        <v>1</v>
      </c>
      <c r="I72" s="136" t="str">
        <f>IF(ISNA(VLOOKUP(B72,RésultatsV!$L$10:$O$248,3,0)),"0",VLOOKUP(B72,RésultatsV!$L$10:$O$248,3,0))</f>
        <v>0</v>
      </c>
      <c r="J72" s="136" t="str">
        <f>IF(ISNA(VLOOKUP(B72,RésultatsV!$L$10:$O$248,4,0)),"0",VLOOKUP(B72,RésultatsV!$L$10:$O$248,4,0))</f>
        <v>0</v>
      </c>
      <c r="K72" s="136" t="str">
        <f>IF(ISNA(VLOOKUP(B72,RésultatsV!$L$10:$O$248,2,0)),"0",VLOOKUP(B72,RésultatsV!$L$10:$O$248,2,0))</f>
        <v>0</v>
      </c>
      <c r="L72" s="136" t="str">
        <f>IF(ISNA(VLOOKUP(B72,RésultatsV!$Q$10:$T$248,3,0)),"0",VLOOKUP(B72,RésultatsV!$Q$10:$T$248,3,0))</f>
        <v>0</v>
      </c>
      <c r="M72" s="136" t="str">
        <f>IF(ISNA(VLOOKUP(B72,RésultatsV!$Q$10:$T$248,4,0)),"0",VLOOKUP(B72,RésultatsV!$Q$10:$T$248,4,0))</f>
        <v>0</v>
      </c>
      <c r="N72" s="136" t="str">
        <f>IF(ISNA(VLOOKUP(B72,RésultatsV!$Q$10:$T$248,2,0)),"0",VLOOKUP(B72,RésultatsV!$Q$10:$T$248,2,0))</f>
        <v>0</v>
      </c>
      <c r="O72" s="136" t="str">
        <f>IF(ISNA(VLOOKUP(B72,RésultatsV!$V$10:$Y$248,3,0)),"0",VLOOKUP(B72,RésultatsV!$V$10:$Y$248,3,0))</f>
        <v>0</v>
      </c>
      <c r="P72" s="136" t="str">
        <f>IF(ISNA(VLOOKUP(B72,RésultatsV!$V$10:$Y$248,4,0)),"0",VLOOKUP(B72,RésultatsV!$V$10:$Y$248,4,0))</f>
        <v>0</v>
      </c>
      <c r="Q72" s="136" t="str">
        <f>IF(ISNA(VLOOKUP(E72,RésultatsV!$V$10:$Y$248,2,0)),"0",VLOOKUP(E72,RésultatsV!$V$10:$Y$248,2,0))</f>
        <v>0</v>
      </c>
      <c r="R72" s="136" t="str">
        <f>IF(ISNA(VLOOKUP(B72,RésultatsV!$AA$10:$AD$248,3,0)),"0",VLOOKUP(B72,RésultatsV!$AA$10:$AD$248,3,0))</f>
        <v>0</v>
      </c>
      <c r="S72" s="136" t="str">
        <f>IF(ISNA(VLOOKUP(B72,RésultatsV!$AA$10:$AD$248,4,0)),"0",VLOOKUP(B72,RésultatsV!$AA$10:$AD$248,4,0))</f>
        <v>0</v>
      </c>
      <c r="T72" s="136" t="str">
        <f>IF(ISNA(VLOOKUP(B72,RésultatsV!$AA$10:$AD$248,2,0)),"0",VLOOKUP(B72,RésultatsV!$AA$10:$AD$248,2,0))</f>
        <v>0</v>
      </c>
      <c r="U72" s="110">
        <f t="shared" si="19"/>
        <v>4</v>
      </c>
      <c r="V72" s="103">
        <f t="shared" si="20"/>
        <v>2</v>
      </c>
      <c r="W72" s="106">
        <f t="shared" si="23"/>
        <v>10</v>
      </c>
      <c r="X72" s="61">
        <f t="shared" si="10"/>
        <v>0</v>
      </c>
      <c r="Y72" s="52">
        <f t="shared" si="6"/>
        <v>2</v>
      </c>
      <c r="Z72" s="104">
        <f t="shared" si="24"/>
        <v>6.99700072</v>
      </c>
      <c r="AA72" s="115">
        <f>IF(B72="","",SMALL(Z$6:Z$185,ROWS(AD$6:AD72)))</f>
        <v>23.000158579999997</v>
      </c>
      <c r="AB72" s="270"/>
      <c r="AC72" s="4">
        <f>IF(OR(B72="",U72=""),"",INDEX($B$6:$B$185,MATCH(AA72,$Z$6:Z$185,0)))</f>
        <v>0</v>
      </c>
      <c r="AD72" s="4">
        <f t="shared" si="21"/>
        <v>0</v>
      </c>
      <c r="AE72" s="4">
        <f t="shared" si="22"/>
        <v>0</v>
      </c>
      <c r="AF72" s="113">
        <f t="shared" si="25"/>
        <v>0</v>
      </c>
      <c r="AG72" s="271">
        <f>IF(AA72="","",IF(AND(AD71=AD72,AE71=AE72,AF71=AF72),AG71,$AG$6+66))</f>
        <v>23</v>
      </c>
      <c r="AH72" s="34"/>
      <c r="AI72" s="92"/>
    </row>
    <row r="73" spans="1:35" s="23" customFormat="1" ht="18" customHeight="1">
      <c r="A73" s="282">
        <v>68</v>
      </c>
      <c r="B73" s="283" t="str">
        <f>+'Joueurs et TirageV'!E14</f>
        <v>B8</v>
      </c>
      <c r="C73" s="136">
        <f>IF(ISNA(VLOOKUP(B73,RésultatsV!$B$10:$E$248,3,0)),"0",VLOOKUP(B73,RésultatsV!$B$10:$E$248,3,0))</f>
        <v>1</v>
      </c>
      <c r="D73" s="136">
        <f>IF(ISNA(VLOOKUP(B73,RésultatsV!$B$10:$E$248,4,0)),"0",VLOOKUP(B73,RésultatsV!$B$10:$E$248,4,0))</f>
        <v>-2</v>
      </c>
      <c r="E73" s="136">
        <f>IF(ISNA(VLOOKUP(B73,RésultatsV!$B$10:$E$248,2,0)),"0",VLOOKUP(B73,RésultatsV!$B$10:$E$248,2,0))</f>
        <v>11</v>
      </c>
      <c r="F73" s="136">
        <f>IF(ISNA(VLOOKUP(B73,RésultatsV!$G$10:$J$248,3,0)),"0",VLOOKUP(B73,RésultatsV!$G$10:$J$248,3,0))</f>
        <v>1</v>
      </c>
      <c r="G73" s="136">
        <f>IF(ISNA(VLOOKUP(B73,RésultatsV!$G$10:$J$248,4,0)),"0",VLOOKUP(B73,RésultatsV!$G$10:$J$248,4,0))</f>
        <v>-5</v>
      </c>
      <c r="H73" s="136">
        <f>IF(ISNA(VLOOKUP(B73,RésultatsV!$G$10:$J$248,2,0)),"0",VLOOKUP(B73,RésultatsV!$G$10:$J$248,2,0))</f>
        <v>1</v>
      </c>
      <c r="I73" s="136" t="str">
        <f>IF(ISNA(VLOOKUP(B73,RésultatsV!$L$10:$O$248,3,0)),"0",VLOOKUP(B73,RésultatsV!$L$10:$O$248,3,0))</f>
        <v>0</v>
      </c>
      <c r="J73" s="136" t="str">
        <f>IF(ISNA(VLOOKUP(B73,RésultatsV!$L$10:$O$248,4,0)),"0",VLOOKUP(B73,RésultatsV!$L$10:$O$248,4,0))</f>
        <v>0</v>
      </c>
      <c r="K73" s="136" t="str">
        <f>IF(ISNA(VLOOKUP(B73,RésultatsV!$L$10:$O$248,2,0)),"0",VLOOKUP(B73,RésultatsV!$L$10:$O$248,2,0))</f>
        <v>0</v>
      </c>
      <c r="L73" s="136" t="str">
        <f>IF(ISNA(VLOOKUP(B73,RésultatsV!$Q$10:$T$248,3,0)),"0",VLOOKUP(B73,RésultatsV!$Q$10:$T$248,3,0))</f>
        <v>0</v>
      </c>
      <c r="M73" s="136" t="str">
        <f>IF(ISNA(VLOOKUP(B73,RésultatsV!$Q$10:$T$248,4,0)),"0",VLOOKUP(B73,RésultatsV!$Q$10:$T$248,4,0))</f>
        <v>0</v>
      </c>
      <c r="N73" s="136" t="str">
        <f>IF(ISNA(VLOOKUP(B73,RésultatsV!$Q$10:$T$248,2,0)),"0",VLOOKUP(B73,RésultatsV!$Q$10:$T$248,2,0))</f>
        <v>0</v>
      </c>
      <c r="O73" s="136" t="str">
        <f>IF(ISNA(VLOOKUP(B73,RésultatsV!$V$10:$Y$248,3,0)),"0",VLOOKUP(B73,RésultatsV!$V$10:$Y$248,3,0))</f>
        <v>0</v>
      </c>
      <c r="P73" s="136" t="str">
        <f>IF(ISNA(VLOOKUP(B73,RésultatsV!$V$10:$Y$248,4,0)),"0",VLOOKUP(B73,RésultatsV!$V$10:$Y$248,4,0))</f>
        <v>0</v>
      </c>
      <c r="Q73" s="136" t="str">
        <f>IF(ISNA(VLOOKUP(E73,RésultatsV!$V$10:$Y$248,2,0)),"0",VLOOKUP(E73,RésultatsV!$V$10:$Y$248,2,0))</f>
        <v>0</v>
      </c>
      <c r="R73" s="136" t="str">
        <f>IF(ISNA(VLOOKUP(B73,RésultatsV!$AA$10:$AD$248,3,0)),"0",VLOOKUP(B73,RésultatsV!$AA$10:$AD$248,3,0))</f>
        <v>0</v>
      </c>
      <c r="S73" s="136" t="str">
        <f>IF(ISNA(VLOOKUP(B73,RésultatsV!$AA$10:$AD$248,4,0)),"0",VLOOKUP(B73,RésultatsV!$AA$10:$AD$248,4,0))</f>
        <v>0</v>
      </c>
      <c r="T73" s="136" t="str">
        <f>IF(ISNA(VLOOKUP(B73,RésultatsV!$AA$10:$AD$248,2,0)),"0",VLOOKUP(B73,RésultatsV!$AA$10:$AD$248,2,0))</f>
        <v>0</v>
      </c>
      <c r="U73" s="110">
        <f t="shared" si="19"/>
        <v>2</v>
      </c>
      <c r="V73" s="103">
        <f t="shared" si="20"/>
        <v>-7</v>
      </c>
      <c r="W73" s="106">
        <f t="shared" si="23"/>
        <v>12</v>
      </c>
      <c r="X73" s="61">
        <f t="shared" ref="X73:X136" si="26">IF(V73="","",IF(V73&lt;0,V73,0))</f>
        <v>-7</v>
      </c>
      <c r="Y73" s="52">
        <f t="shared" si="6"/>
        <v>0</v>
      </c>
      <c r="Z73" s="104">
        <f t="shared" si="24"/>
        <v>17.005800730000001</v>
      </c>
      <c r="AA73" s="115">
        <f>IF(B73="","",SMALL(Z$6:Z$185,ROWS(AD$6:AD73)))</f>
        <v>23.000158589999998</v>
      </c>
      <c r="AB73" s="270"/>
      <c r="AC73" s="4">
        <f>IF(OR(B73="",U73=""),"",INDEX($B$6:$B$185,MATCH(AA73,$Z$6:Z$185,0)))</f>
        <v>0</v>
      </c>
      <c r="AD73" s="4">
        <f t="shared" si="21"/>
        <v>0</v>
      </c>
      <c r="AE73" s="4">
        <f t="shared" si="22"/>
        <v>0</v>
      </c>
      <c r="AF73" s="113">
        <f t="shared" si="25"/>
        <v>0</v>
      </c>
      <c r="AG73" s="271">
        <f>IF(AA73="","",IF(AND(AD72=AD73,AE72=AE73,AF72=AF73),AG72,$AG$6+67))</f>
        <v>23</v>
      </c>
      <c r="AH73" s="34"/>
      <c r="AI73" s="92"/>
    </row>
    <row r="74" spans="1:35" s="23" customFormat="1" ht="18" customHeight="1">
      <c r="A74" s="282">
        <v>69</v>
      </c>
      <c r="B74" s="283">
        <f>+'Joueurs et TirageV'!E15</f>
        <v>0</v>
      </c>
      <c r="C74" s="136" t="str">
        <f>IF(ISNA(VLOOKUP(B74,RésultatsV!$B$10:$E$248,3,0)),"0",VLOOKUP(B74,RésultatsV!$B$10:$E$248,3,0))</f>
        <v>0</v>
      </c>
      <c r="D74" s="136">
        <f>IF(ISNA(VLOOKUP(B74,RésultatsV!$B$10:$E$248,4,0)),"0",VLOOKUP(B74,RésultatsV!$B$10:$E$248,4,0))</f>
        <v>0</v>
      </c>
      <c r="E74" s="136">
        <f>IF(ISNA(VLOOKUP(B74,RésultatsV!$B$10:$E$248,2,0)),"0",VLOOKUP(B74,RésultatsV!$B$10:$E$248,2,0))</f>
        <v>0</v>
      </c>
      <c r="F74" s="136">
        <f>IF(ISNA(VLOOKUP(B74,RésultatsV!$G$10:$J$248,3,0)),"0",VLOOKUP(B74,RésultatsV!$G$10:$J$248,3,0))</f>
        <v>0</v>
      </c>
      <c r="G74" s="136">
        <f>IF(ISNA(VLOOKUP(B74,RésultatsV!$G$10:$J$248,4,0)),"0",VLOOKUP(B74,RésultatsV!$G$10:$J$248,4,0))</f>
        <v>0</v>
      </c>
      <c r="H74" s="136">
        <f>IF(ISNA(VLOOKUP(B74,RésultatsV!$G$10:$J$248,2,0)),"0",VLOOKUP(B74,RésultatsV!$G$10:$J$248,2,0))</f>
        <v>0</v>
      </c>
      <c r="I74" s="136">
        <f>IF(ISNA(VLOOKUP(B74,RésultatsV!$L$10:$O$248,3,0)),"0",VLOOKUP(B74,RésultatsV!$L$10:$O$248,3,0))</f>
        <v>0</v>
      </c>
      <c r="J74" s="136">
        <f>IF(ISNA(VLOOKUP(B74,RésultatsV!$L$10:$O$248,4,0)),"0",VLOOKUP(B74,RésultatsV!$L$10:$O$248,4,0))</f>
        <v>0</v>
      </c>
      <c r="K74" s="136">
        <f>IF(ISNA(VLOOKUP(B74,RésultatsV!$L$10:$O$248,2,0)),"0",VLOOKUP(B74,RésultatsV!$L$10:$O$248,2,0))</f>
        <v>0</v>
      </c>
      <c r="L74" s="136">
        <f>IF(ISNA(VLOOKUP(B74,RésultatsV!$Q$10:$T$248,3,0)),"0",VLOOKUP(B74,RésultatsV!$Q$10:$T$248,3,0))</f>
        <v>0</v>
      </c>
      <c r="M74" s="136">
        <f>IF(ISNA(VLOOKUP(B74,RésultatsV!$Q$10:$T$248,4,0)),"0",VLOOKUP(B74,RésultatsV!$Q$10:$T$248,4,0))</f>
        <v>0</v>
      </c>
      <c r="N74" s="136">
        <f>IF(ISNA(VLOOKUP(B74,RésultatsV!$Q$10:$T$248,2,0)),"0",VLOOKUP(B74,RésultatsV!$Q$10:$T$248,2,0))</f>
        <v>0</v>
      </c>
      <c r="O74" s="136">
        <f>IF(ISNA(VLOOKUP(B74,RésultatsV!$V$10:$Y$248,3,0)),"0",VLOOKUP(B74,RésultatsV!$V$10:$Y$248,3,0))</f>
        <v>0</v>
      </c>
      <c r="P74" s="136">
        <f>IF(ISNA(VLOOKUP(B74,RésultatsV!$V$10:$Y$248,4,0)),"0",VLOOKUP(B74,RésultatsV!$V$10:$Y$248,4,0))</f>
        <v>0</v>
      </c>
      <c r="Q74" s="136">
        <f>IF(ISNA(VLOOKUP(E74,RésultatsV!$V$10:$Y$248,2,0)),"0",VLOOKUP(E74,RésultatsV!$V$10:$Y$248,2,0))</f>
        <v>0</v>
      </c>
      <c r="R74" s="136">
        <f>IF(ISNA(VLOOKUP(B74,RésultatsV!$AA$10:$AD$248,3,0)),"0",VLOOKUP(B74,RésultatsV!$AA$10:$AD$248,3,0))</f>
        <v>0</v>
      </c>
      <c r="S74" s="136">
        <f>IF(ISNA(VLOOKUP(B74,RésultatsV!$AA$10:$AD$248,4,0)),"0",VLOOKUP(B74,RésultatsV!$AA$10:$AD$248,4,0))</f>
        <v>0</v>
      </c>
      <c r="T74" s="136">
        <f>IF(ISNA(VLOOKUP(B74,RésultatsV!$AA$10:$AD$248,2,0)),"0",VLOOKUP(B74,RésultatsV!$AA$10:$AD$248,2,0))</f>
        <v>0</v>
      </c>
      <c r="U74" s="110">
        <f t="shared" si="19"/>
        <v>0</v>
      </c>
      <c r="V74" s="103">
        <f t="shared" si="20"/>
        <v>0</v>
      </c>
      <c r="W74" s="106">
        <f t="shared" si="23"/>
        <v>0</v>
      </c>
      <c r="X74" s="61">
        <f t="shared" si="26"/>
        <v>0</v>
      </c>
      <c r="Y74" s="52">
        <f t="shared" si="6"/>
        <v>0</v>
      </c>
      <c r="Z74" s="104">
        <f t="shared" si="24"/>
        <v>23.00015874</v>
      </c>
      <c r="AA74" s="115">
        <f>IF(B74="","",SMALL(Z$6:Z$185,ROWS(AD$6:AD74)))</f>
        <v>23.000158599999999</v>
      </c>
      <c r="AB74" s="270"/>
      <c r="AC74" s="4">
        <f>IF(OR(B74="",U74=""),"",INDEX($B$6:$B$185,MATCH(AA74,$Z$6:Z$185,0)))</f>
        <v>0</v>
      </c>
      <c r="AD74" s="4">
        <f t="shared" si="21"/>
        <v>0</v>
      </c>
      <c r="AE74" s="4">
        <f t="shared" si="22"/>
        <v>0</v>
      </c>
      <c r="AF74" s="113">
        <f t="shared" si="25"/>
        <v>0</v>
      </c>
      <c r="AG74" s="271">
        <f>IF(AA74="","",IF(AND(AD73=AD74,AE73=AE74,AF73=AF74),AG73,$AG$6+68))</f>
        <v>23</v>
      </c>
      <c r="AH74" s="34"/>
      <c r="AI74" s="92"/>
    </row>
    <row r="75" spans="1:35" s="23" customFormat="1" ht="18" customHeight="1">
      <c r="A75" s="282">
        <v>70</v>
      </c>
      <c r="B75" s="283">
        <f>+'Joueurs et TirageV'!E16</f>
        <v>0</v>
      </c>
      <c r="C75" s="136" t="str">
        <f>IF(ISNA(VLOOKUP(B75,RésultatsV!$B$10:$E$248,3,0)),"0",VLOOKUP(B75,RésultatsV!$B$10:$E$248,3,0))</f>
        <v>0</v>
      </c>
      <c r="D75" s="136">
        <f>IF(ISNA(VLOOKUP(B75,RésultatsV!$B$10:$E$248,4,0)),"0",VLOOKUP(B75,RésultatsV!$B$10:$E$248,4,0))</f>
        <v>0</v>
      </c>
      <c r="E75" s="136">
        <f>IF(ISNA(VLOOKUP(B75,RésultatsV!$B$10:$E$248,2,0)),"0",VLOOKUP(B75,RésultatsV!$B$10:$E$248,2,0))</f>
        <v>0</v>
      </c>
      <c r="F75" s="136">
        <f>IF(ISNA(VLOOKUP(B75,RésultatsV!$G$10:$J$248,3,0)),"0",VLOOKUP(B75,RésultatsV!$G$10:$J$248,3,0))</f>
        <v>0</v>
      </c>
      <c r="G75" s="136">
        <f>IF(ISNA(VLOOKUP(B75,RésultatsV!$G$10:$J$248,4,0)),"0",VLOOKUP(B75,RésultatsV!$G$10:$J$248,4,0))</f>
        <v>0</v>
      </c>
      <c r="H75" s="136">
        <f>IF(ISNA(VLOOKUP(B75,RésultatsV!$G$10:$J$248,2,0)),"0",VLOOKUP(B75,RésultatsV!$G$10:$J$248,2,0))</f>
        <v>0</v>
      </c>
      <c r="I75" s="136">
        <f>IF(ISNA(VLOOKUP(B75,RésultatsV!$L$10:$O$248,3,0)),"0",VLOOKUP(B75,RésultatsV!$L$10:$O$248,3,0))</f>
        <v>0</v>
      </c>
      <c r="J75" s="136">
        <f>IF(ISNA(VLOOKUP(B75,RésultatsV!$L$10:$O$248,4,0)),"0",VLOOKUP(B75,RésultatsV!$L$10:$O$248,4,0))</f>
        <v>0</v>
      </c>
      <c r="K75" s="136">
        <f>IF(ISNA(VLOOKUP(B75,RésultatsV!$L$10:$O$248,2,0)),"0",VLOOKUP(B75,RésultatsV!$L$10:$O$248,2,0))</f>
        <v>0</v>
      </c>
      <c r="L75" s="136">
        <f>IF(ISNA(VLOOKUP(B75,RésultatsV!$Q$10:$T$248,3,0)),"0",VLOOKUP(B75,RésultatsV!$Q$10:$T$248,3,0))</f>
        <v>0</v>
      </c>
      <c r="M75" s="136">
        <f>IF(ISNA(VLOOKUP(B75,RésultatsV!$Q$10:$T$248,4,0)),"0",VLOOKUP(B75,RésultatsV!$Q$10:$T$248,4,0))</f>
        <v>0</v>
      </c>
      <c r="N75" s="136">
        <f>IF(ISNA(VLOOKUP(B75,RésultatsV!$Q$10:$T$248,2,0)),"0",VLOOKUP(B75,RésultatsV!$Q$10:$T$248,2,0))</f>
        <v>0</v>
      </c>
      <c r="O75" s="136">
        <f>IF(ISNA(VLOOKUP(B75,RésultatsV!$V$10:$Y$248,3,0)),"0",VLOOKUP(B75,RésultatsV!$V$10:$Y$248,3,0))</f>
        <v>0</v>
      </c>
      <c r="P75" s="136">
        <f>IF(ISNA(VLOOKUP(B75,RésultatsV!$V$10:$Y$248,4,0)),"0",VLOOKUP(B75,RésultatsV!$V$10:$Y$248,4,0))</f>
        <v>0</v>
      </c>
      <c r="Q75" s="136">
        <f>IF(ISNA(VLOOKUP(E75,RésultatsV!$V$10:$Y$248,2,0)),"0",VLOOKUP(E75,RésultatsV!$V$10:$Y$248,2,0))</f>
        <v>0</v>
      </c>
      <c r="R75" s="136">
        <f>IF(ISNA(VLOOKUP(B75,RésultatsV!$AA$10:$AD$248,3,0)),"0",VLOOKUP(B75,RésultatsV!$AA$10:$AD$248,3,0))</f>
        <v>0</v>
      </c>
      <c r="S75" s="136">
        <f>IF(ISNA(VLOOKUP(B75,RésultatsV!$AA$10:$AD$248,4,0)),"0",VLOOKUP(B75,RésultatsV!$AA$10:$AD$248,4,0))</f>
        <v>0</v>
      </c>
      <c r="T75" s="136">
        <f>IF(ISNA(VLOOKUP(B75,RésultatsV!$AA$10:$AD$248,2,0)),"0",VLOOKUP(B75,RésultatsV!$AA$10:$AD$248,2,0))</f>
        <v>0</v>
      </c>
      <c r="U75" s="110">
        <f t="shared" si="19"/>
        <v>0</v>
      </c>
      <c r="V75" s="103">
        <f t="shared" si="20"/>
        <v>0</v>
      </c>
      <c r="W75" s="106">
        <f t="shared" si="23"/>
        <v>0</v>
      </c>
      <c r="X75" s="61">
        <f t="shared" si="26"/>
        <v>0</v>
      </c>
      <c r="Y75" s="52">
        <f t="shared" si="6"/>
        <v>0</v>
      </c>
      <c r="Z75" s="104">
        <f t="shared" si="24"/>
        <v>23.000158750000001</v>
      </c>
      <c r="AA75" s="115">
        <f>IF(B75="","",SMALL(Z$6:Z$185,ROWS(AD$6:AD75)))</f>
        <v>23.00015861</v>
      </c>
      <c r="AB75" s="270"/>
      <c r="AC75" s="4">
        <f>IF(OR(B75="",U75=""),"",INDEX($B$6:$B$185,MATCH(AA75,$Z$6:Z$185,0)))</f>
        <v>0</v>
      </c>
      <c r="AD75" s="4">
        <f t="shared" si="21"/>
        <v>0</v>
      </c>
      <c r="AE75" s="4">
        <f t="shared" si="22"/>
        <v>0</v>
      </c>
      <c r="AF75" s="113">
        <f t="shared" si="25"/>
        <v>0</v>
      </c>
      <c r="AG75" s="271">
        <f>IF(AA75="","",IF(AND(AD74=AD75,AE74=AE75,AF74=AF75),AG74,$AG$6+69))</f>
        <v>23</v>
      </c>
      <c r="AH75" s="34"/>
      <c r="AI75" s="92"/>
    </row>
    <row r="76" spans="1:35" s="23" customFormat="1" ht="18" customHeight="1">
      <c r="A76" s="282">
        <v>71</v>
      </c>
      <c r="B76" s="283">
        <f>+'Joueurs et TirageV'!E17</f>
        <v>0</v>
      </c>
      <c r="C76" s="136" t="str">
        <f>IF(ISNA(VLOOKUP(B76,RésultatsV!$B$10:$E$248,3,0)),"0",VLOOKUP(B76,RésultatsV!$B$10:$E$248,3,0))</f>
        <v>0</v>
      </c>
      <c r="D76" s="136">
        <f>IF(ISNA(VLOOKUP(B76,RésultatsV!$B$10:$E$248,4,0)),"0",VLOOKUP(B76,RésultatsV!$B$10:$E$248,4,0))</f>
        <v>0</v>
      </c>
      <c r="E76" s="136">
        <f>IF(ISNA(VLOOKUP(B76,RésultatsV!$B$10:$E$248,2,0)),"0",VLOOKUP(B76,RésultatsV!$B$10:$E$248,2,0))</f>
        <v>0</v>
      </c>
      <c r="F76" s="136">
        <f>IF(ISNA(VLOOKUP(B76,RésultatsV!$G$10:$J$248,3,0)),"0",VLOOKUP(B76,RésultatsV!$G$10:$J$248,3,0))</f>
        <v>0</v>
      </c>
      <c r="G76" s="136">
        <f>IF(ISNA(VLOOKUP(B76,RésultatsV!$G$10:$J$248,4,0)),"0",VLOOKUP(B76,RésultatsV!$G$10:$J$248,4,0))</f>
        <v>0</v>
      </c>
      <c r="H76" s="136">
        <f>IF(ISNA(VLOOKUP(B76,RésultatsV!$G$10:$J$248,2,0)),"0",VLOOKUP(B76,RésultatsV!$G$10:$J$248,2,0))</f>
        <v>0</v>
      </c>
      <c r="I76" s="136">
        <f>IF(ISNA(VLOOKUP(B76,RésultatsV!$L$10:$O$248,3,0)),"0",VLOOKUP(B76,RésultatsV!$L$10:$O$248,3,0))</f>
        <v>0</v>
      </c>
      <c r="J76" s="136">
        <f>IF(ISNA(VLOOKUP(B76,RésultatsV!$L$10:$O$248,4,0)),"0",VLOOKUP(B76,RésultatsV!$L$10:$O$248,4,0))</f>
        <v>0</v>
      </c>
      <c r="K76" s="136">
        <f>IF(ISNA(VLOOKUP(B76,RésultatsV!$L$10:$O$248,2,0)),"0",VLOOKUP(B76,RésultatsV!$L$10:$O$248,2,0))</f>
        <v>0</v>
      </c>
      <c r="L76" s="136">
        <f>IF(ISNA(VLOOKUP(B76,RésultatsV!$Q$10:$T$248,3,0)),"0",VLOOKUP(B76,RésultatsV!$Q$10:$T$248,3,0))</f>
        <v>0</v>
      </c>
      <c r="M76" s="136">
        <f>IF(ISNA(VLOOKUP(B76,RésultatsV!$Q$10:$T$248,4,0)),"0",VLOOKUP(B76,RésultatsV!$Q$10:$T$248,4,0))</f>
        <v>0</v>
      </c>
      <c r="N76" s="136">
        <f>IF(ISNA(VLOOKUP(B76,RésultatsV!$Q$10:$T$248,2,0)),"0",VLOOKUP(B76,RésultatsV!$Q$10:$T$248,2,0))</f>
        <v>0</v>
      </c>
      <c r="O76" s="136">
        <f>IF(ISNA(VLOOKUP(B76,RésultatsV!$V$10:$Y$248,3,0)),"0",VLOOKUP(B76,RésultatsV!$V$10:$Y$248,3,0))</f>
        <v>0</v>
      </c>
      <c r="P76" s="136">
        <f>IF(ISNA(VLOOKUP(B76,RésultatsV!$V$10:$Y$248,4,0)),"0",VLOOKUP(B76,RésultatsV!$V$10:$Y$248,4,0))</f>
        <v>0</v>
      </c>
      <c r="Q76" s="136">
        <f>IF(ISNA(VLOOKUP(E76,RésultatsV!$V$10:$Y$248,2,0)),"0",VLOOKUP(E76,RésultatsV!$V$10:$Y$248,2,0))</f>
        <v>0</v>
      </c>
      <c r="R76" s="136">
        <f>IF(ISNA(VLOOKUP(B76,RésultatsV!$AA$10:$AD$248,3,0)),"0",VLOOKUP(B76,RésultatsV!$AA$10:$AD$248,3,0))</f>
        <v>0</v>
      </c>
      <c r="S76" s="136">
        <f>IF(ISNA(VLOOKUP(B76,RésultatsV!$AA$10:$AD$248,4,0)),"0",VLOOKUP(B76,RésultatsV!$AA$10:$AD$248,4,0))</f>
        <v>0</v>
      </c>
      <c r="T76" s="136">
        <f>IF(ISNA(VLOOKUP(B76,RésultatsV!$AA$10:$AD$248,2,0)),"0",VLOOKUP(B76,RésultatsV!$AA$10:$AD$248,2,0))</f>
        <v>0</v>
      </c>
      <c r="U76" s="110">
        <f t="shared" si="19"/>
        <v>0</v>
      </c>
      <c r="V76" s="103">
        <f t="shared" si="20"/>
        <v>0</v>
      </c>
      <c r="W76" s="106">
        <f t="shared" si="23"/>
        <v>0</v>
      </c>
      <c r="X76" s="61">
        <f t="shared" si="26"/>
        <v>0</v>
      </c>
      <c r="Y76" s="52">
        <f t="shared" si="6"/>
        <v>0</v>
      </c>
      <c r="Z76" s="104">
        <f t="shared" si="24"/>
        <v>23.000158759999998</v>
      </c>
      <c r="AA76" s="115">
        <f>IF(B76="","",SMALL(Z$6:Z$185,ROWS(AD$6:AD76)))</f>
        <v>23.000158620000001</v>
      </c>
      <c r="AB76" s="270"/>
      <c r="AC76" s="4">
        <f>IF(OR(B76="",U76=""),"",INDEX($B$6:$B$185,MATCH(AA76,$Z$6:Z$185,0)))</f>
        <v>0</v>
      </c>
      <c r="AD76" s="4">
        <f t="shared" si="21"/>
        <v>0</v>
      </c>
      <c r="AE76" s="4">
        <f t="shared" si="22"/>
        <v>0</v>
      </c>
      <c r="AF76" s="113">
        <f t="shared" si="25"/>
        <v>0</v>
      </c>
      <c r="AG76" s="271">
        <f>IF(AA76="","",IF(AND(AD75=AD76,AE75=AE76,AF75=AF76),AG75,$AG$6+70))</f>
        <v>23</v>
      </c>
      <c r="AH76" s="34"/>
      <c r="AI76" s="92"/>
    </row>
    <row r="77" spans="1:35" s="23" customFormat="1" ht="18" customHeight="1">
      <c r="A77" s="282">
        <v>72</v>
      </c>
      <c r="B77" s="283">
        <f>+'Joueurs et TirageV'!E18</f>
        <v>0</v>
      </c>
      <c r="C77" s="136" t="str">
        <f>IF(ISNA(VLOOKUP(B77,RésultatsV!$B$10:$E$248,3,0)),"0",VLOOKUP(B77,RésultatsV!$B$10:$E$248,3,0))</f>
        <v>0</v>
      </c>
      <c r="D77" s="136">
        <f>IF(ISNA(VLOOKUP(B77,RésultatsV!$B$10:$E$248,4,0)),"0",VLOOKUP(B77,RésultatsV!$B$10:$E$248,4,0))</f>
        <v>0</v>
      </c>
      <c r="E77" s="136">
        <f>IF(ISNA(VLOOKUP(B77,RésultatsV!$B$10:$E$248,2,0)),"0",VLOOKUP(B77,RésultatsV!$B$10:$E$248,2,0))</f>
        <v>0</v>
      </c>
      <c r="F77" s="136">
        <f>IF(ISNA(VLOOKUP(B77,RésultatsV!$G$10:$J$248,3,0)),"0",VLOOKUP(B77,RésultatsV!$G$10:$J$248,3,0))</f>
        <v>0</v>
      </c>
      <c r="G77" s="136">
        <f>IF(ISNA(VLOOKUP(B77,RésultatsV!$G$10:$J$248,4,0)),"0",VLOOKUP(B77,RésultatsV!$G$10:$J$248,4,0))</f>
        <v>0</v>
      </c>
      <c r="H77" s="136">
        <f>IF(ISNA(VLOOKUP(B77,RésultatsV!$G$10:$J$248,2,0)),"0",VLOOKUP(B77,RésultatsV!$G$10:$J$248,2,0))</f>
        <v>0</v>
      </c>
      <c r="I77" s="136">
        <f>IF(ISNA(VLOOKUP(B77,RésultatsV!$L$10:$O$248,3,0)),"0",VLOOKUP(B77,RésultatsV!$L$10:$O$248,3,0))</f>
        <v>0</v>
      </c>
      <c r="J77" s="136">
        <f>IF(ISNA(VLOOKUP(B77,RésultatsV!$L$10:$O$248,4,0)),"0",VLOOKUP(B77,RésultatsV!$L$10:$O$248,4,0))</f>
        <v>0</v>
      </c>
      <c r="K77" s="136">
        <f>IF(ISNA(VLOOKUP(B77,RésultatsV!$L$10:$O$248,2,0)),"0",VLOOKUP(B77,RésultatsV!$L$10:$O$248,2,0))</f>
        <v>0</v>
      </c>
      <c r="L77" s="136">
        <f>IF(ISNA(VLOOKUP(B77,RésultatsV!$Q$10:$T$248,3,0)),"0",VLOOKUP(B77,RésultatsV!$Q$10:$T$248,3,0))</f>
        <v>0</v>
      </c>
      <c r="M77" s="136">
        <f>IF(ISNA(VLOOKUP(B77,RésultatsV!$Q$10:$T$248,4,0)),"0",VLOOKUP(B77,RésultatsV!$Q$10:$T$248,4,0))</f>
        <v>0</v>
      </c>
      <c r="N77" s="136">
        <f>IF(ISNA(VLOOKUP(B77,RésultatsV!$Q$10:$T$248,2,0)),"0",VLOOKUP(B77,RésultatsV!$Q$10:$T$248,2,0))</f>
        <v>0</v>
      </c>
      <c r="O77" s="136">
        <f>IF(ISNA(VLOOKUP(B77,RésultatsV!$V$10:$Y$248,3,0)),"0",VLOOKUP(B77,RésultatsV!$V$10:$Y$248,3,0))</f>
        <v>0</v>
      </c>
      <c r="P77" s="136">
        <f>IF(ISNA(VLOOKUP(B77,RésultatsV!$V$10:$Y$248,4,0)),"0",VLOOKUP(B77,RésultatsV!$V$10:$Y$248,4,0))</f>
        <v>0</v>
      </c>
      <c r="Q77" s="136">
        <f>IF(ISNA(VLOOKUP(E77,RésultatsV!$V$10:$Y$248,2,0)),"0",VLOOKUP(E77,RésultatsV!$V$10:$Y$248,2,0))</f>
        <v>0</v>
      </c>
      <c r="R77" s="136">
        <f>IF(ISNA(VLOOKUP(B77,RésultatsV!$AA$10:$AD$248,3,0)),"0",VLOOKUP(B77,RésultatsV!$AA$10:$AD$248,3,0))</f>
        <v>0</v>
      </c>
      <c r="S77" s="136">
        <f>IF(ISNA(VLOOKUP(B77,RésultatsV!$AA$10:$AD$248,4,0)),"0",VLOOKUP(B77,RésultatsV!$AA$10:$AD$248,4,0))</f>
        <v>0</v>
      </c>
      <c r="T77" s="136">
        <f>IF(ISNA(VLOOKUP(B77,RésultatsV!$AA$10:$AD$248,2,0)),"0",VLOOKUP(B77,RésultatsV!$AA$10:$AD$248,2,0))</f>
        <v>0</v>
      </c>
      <c r="U77" s="116">
        <f t="shared" si="19"/>
        <v>0</v>
      </c>
      <c r="V77" s="117">
        <f t="shared" si="20"/>
        <v>0</v>
      </c>
      <c r="W77" s="118">
        <f t="shared" si="23"/>
        <v>0</v>
      </c>
      <c r="X77" s="61">
        <f t="shared" si="26"/>
        <v>0</v>
      </c>
      <c r="Y77" s="52">
        <f t="shared" si="6"/>
        <v>0</v>
      </c>
      <c r="Z77" s="104">
        <f t="shared" si="24"/>
        <v>23.000158769999999</v>
      </c>
      <c r="AA77" s="115">
        <f>IF(B77="","",SMALL(Z$6:Z$185,ROWS(AD$6:AD77)))</f>
        <v>23.000158629999998</v>
      </c>
      <c r="AB77" s="270"/>
      <c r="AC77" s="4">
        <f>IF(OR(B77="",U77=""),"",INDEX($B$6:$B$185,MATCH(AA77,$Z$6:Z$185,0)))</f>
        <v>0</v>
      </c>
      <c r="AD77" s="4">
        <f t="shared" si="21"/>
        <v>0</v>
      </c>
      <c r="AE77" s="4">
        <f t="shared" si="22"/>
        <v>0</v>
      </c>
      <c r="AF77" s="113">
        <f t="shared" si="25"/>
        <v>0</v>
      </c>
      <c r="AG77" s="271">
        <f>IF(AA77="","",IF(AND(AD76=AD77,AE76=AE77,AF76=AF77),AG76,$AG$6+71))</f>
        <v>23</v>
      </c>
      <c r="AH77" s="34"/>
      <c r="AI77" s="92"/>
    </row>
    <row r="78" spans="1:35" s="23" customFormat="1" ht="18" customHeight="1">
      <c r="A78" s="282">
        <v>73</v>
      </c>
      <c r="B78" s="283">
        <f>+'Joueurs et TirageV'!E19</f>
        <v>0</v>
      </c>
      <c r="C78" s="136" t="str">
        <f>IF(ISNA(VLOOKUP(B78,RésultatsV!$B$10:$E$248,3,0)),"0",VLOOKUP(B78,RésultatsV!$B$10:$E$248,3,0))</f>
        <v>0</v>
      </c>
      <c r="D78" s="136">
        <f>IF(ISNA(VLOOKUP(B78,RésultatsV!$B$10:$E$248,4,0)),"0",VLOOKUP(B78,RésultatsV!$B$10:$E$248,4,0))</f>
        <v>0</v>
      </c>
      <c r="E78" s="136">
        <f>IF(ISNA(VLOOKUP(B78,RésultatsV!$B$10:$E$248,2,0)),"0",VLOOKUP(B78,RésultatsV!$B$10:$E$248,2,0))</f>
        <v>0</v>
      </c>
      <c r="F78" s="136">
        <f>IF(ISNA(VLOOKUP(B78,RésultatsV!$G$10:$J$248,3,0)),"0",VLOOKUP(B78,RésultatsV!$G$10:$J$248,3,0))</f>
        <v>0</v>
      </c>
      <c r="G78" s="136">
        <f>IF(ISNA(VLOOKUP(B78,RésultatsV!$G$10:$J$248,4,0)),"0",VLOOKUP(B78,RésultatsV!$G$10:$J$248,4,0))</f>
        <v>0</v>
      </c>
      <c r="H78" s="136">
        <f>IF(ISNA(VLOOKUP(B78,RésultatsV!$G$10:$J$248,2,0)),"0",VLOOKUP(B78,RésultatsV!$G$10:$J$248,2,0))</f>
        <v>0</v>
      </c>
      <c r="I78" s="136">
        <f>IF(ISNA(VLOOKUP(B78,RésultatsV!$L$10:$O$248,3,0)),"0",VLOOKUP(B78,RésultatsV!$L$10:$O$248,3,0))</f>
        <v>0</v>
      </c>
      <c r="J78" s="136">
        <f>IF(ISNA(VLOOKUP(B78,RésultatsV!$L$10:$O$248,4,0)),"0",VLOOKUP(B78,RésultatsV!$L$10:$O$248,4,0))</f>
        <v>0</v>
      </c>
      <c r="K78" s="136">
        <f>IF(ISNA(VLOOKUP(B78,RésultatsV!$L$10:$O$248,2,0)),"0",VLOOKUP(B78,RésultatsV!$L$10:$O$248,2,0))</f>
        <v>0</v>
      </c>
      <c r="L78" s="136">
        <f>IF(ISNA(VLOOKUP(B78,RésultatsV!$Q$10:$T$248,3,0)),"0",VLOOKUP(B78,RésultatsV!$Q$10:$T$248,3,0))</f>
        <v>0</v>
      </c>
      <c r="M78" s="136">
        <f>IF(ISNA(VLOOKUP(B78,RésultatsV!$Q$10:$T$248,4,0)),"0",VLOOKUP(B78,RésultatsV!$Q$10:$T$248,4,0))</f>
        <v>0</v>
      </c>
      <c r="N78" s="136">
        <f>IF(ISNA(VLOOKUP(B78,RésultatsV!$Q$10:$T$248,2,0)),"0",VLOOKUP(B78,RésultatsV!$Q$10:$T$248,2,0))</f>
        <v>0</v>
      </c>
      <c r="O78" s="136">
        <f>IF(ISNA(VLOOKUP(B78,RésultatsV!$V$10:$Y$248,3,0)),"0",VLOOKUP(B78,RésultatsV!$V$10:$Y$248,3,0))</f>
        <v>0</v>
      </c>
      <c r="P78" s="136">
        <f>IF(ISNA(VLOOKUP(B78,RésultatsV!$V$10:$Y$248,4,0)),"0",VLOOKUP(B78,RésultatsV!$V$10:$Y$248,4,0))</f>
        <v>0</v>
      </c>
      <c r="Q78" s="136">
        <f>IF(ISNA(VLOOKUP(E78,RésultatsV!$V$10:$Y$248,2,0)),"0",VLOOKUP(E78,RésultatsV!$V$10:$Y$248,2,0))</f>
        <v>0</v>
      </c>
      <c r="R78" s="136">
        <f>IF(ISNA(VLOOKUP(B78,RésultatsV!$AA$10:$AD$248,3,0)),"0",VLOOKUP(B78,RésultatsV!$AA$10:$AD$248,3,0))</f>
        <v>0</v>
      </c>
      <c r="S78" s="136">
        <f>IF(ISNA(VLOOKUP(B78,RésultatsV!$AA$10:$AD$248,4,0)),"0",VLOOKUP(B78,RésultatsV!$AA$10:$AD$248,4,0))</f>
        <v>0</v>
      </c>
      <c r="T78" s="136">
        <f>IF(ISNA(VLOOKUP(B78,RésultatsV!$AA$10:$AD$248,2,0)),"0",VLOOKUP(B78,RésultatsV!$AA$10:$AD$248,2,0))</f>
        <v>0</v>
      </c>
      <c r="U78" s="116">
        <f t="shared" si="19"/>
        <v>0</v>
      </c>
      <c r="V78" s="117">
        <f t="shared" si="20"/>
        <v>0</v>
      </c>
      <c r="W78" s="118">
        <f t="shared" si="23"/>
        <v>0</v>
      </c>
      <c r="X78" s="61">
        <f t="shared" si="26"/>
        <v>0</v>
      </c>
      <c r="Y78" s="52">
        <f t="shared" si="6"/>
        <v>0</v>
      </c>
      <c r="Z78" s="104">
        <f t="shared" si="24"/>
        <v>23.00015878</v>
      </c>
      <c r="AA78" s="115">
        <f>IF(B78="","",SMALL(Z$6:Z$185,ROWS(AD$6:AD78)))</f>
        <v>23.000158639999999</v>
      </c>
      <c r="AB78" s="270"/>
      <c r="AC78" s="4">
        <f>IF(OR(B78="",U78=""),"",INDEX($B$6:$B$185,MATCH(AA78,$Z$6:Z$185,0)))</f>
        <v>0</v>
      </c>
      <c r="AD78" s="4">
        <f t="shared" si="21"/>
        <v>0</v>
      </c>
      <c r="AE78" s="4">
        <f t="shared" si="22"/>
        <v>0</v>
      </c>
      <c r="AF78" s="113">
        <f t="shared" si="25"/>
        <v>0</v>
      </c>
      <c r="AG78" s="271">
        <f>IF(AA78="","",IF(AND(AD77=AD78,AE77=AE78,AF77=AF78),AG77,$AG$6+72))</f>
        <v>23</v>
      </c>
      <c r="AH78" s="34"/>
      <c r="AI78" s="92"/>
    </row>
    <row r="79" spans="1:35" s="23" customFormat="1" ht="18" customHeight="1">
      <c r="A79" s="282">
        <v>74</v>
      </c>
      <c r="B79" s="283">
        <f>+'Joueurs et TirageV'!E20</f>
        <v>0</v>
      </c>
      <c r="C79" s="136" t="str">
        <f>IF(ISNA(VLOOKUP(B79,RésultatsV!$B$10:$E$248,3,0)),"0",VLOOKUP(B79,RésultatsV!$B$10:$E$248,3,0))</f>
        <v>0</v>
      </c>
      <c r="D79" s="136">
        <f>IF(ISNA(VLOOKUP(B79,RésultatsV!$B$10:$E$248,4,0)),"0",VLOOKUP(B79,RésultatsV!$B$10:$E$248,4,0))</f>
        <v>0</v>
      </c>
      <c r="E79" s="136">
        <f>IF(ISNA(VLOOKUP(B79,RésultatsV!$B$10:$E$248,2,0)),"0",VLOOKUP(B79,RésultatsV!$B$10:$E$248,2,0))</f>
        <v>0</v>
      </c>
      <c r="F79" s="136">
        <f>IF(ISNA(VLOOKUP(B79,RésultatsV!$G$10:$J$248,3,0)),"0",VLOOKUP(B79,RésultatsV!$G$10:$J$248,3,0))</f>
        <v>0</v>
      </c>
      <c r="G79" s="136">
        <f>IF(ISNA(VLOOKUP(B79,RésultatsV!$G$10:$J$248,4,0)),"0",VLOOKUP(B79,RésultatsV!$G$10:$J$248,4,0))</f>
        <v>0</v>
      </c>
      <c r="H79" s="136">
        <f>IF(ISNA(VLOOKUP(B79,RésultatsV!$G$10:$J$248,2,0)),"0",VLOOKUP(B79,RésultatsV!$G$10:$J$248,2,0))</f>
        <v>0</v>
      </c>
      <c r="I79" s="136">
        <f>IF(ISNA(VLOOKUP(B79,RésultatsV!$L$10:$O$248,3,0)),"0",VLOOKUP(B79,RésultatsV!$L$10:$O$248,3,0))</f>
        <v>0</v>
      </c>
      <c r="J79" s="136">
        <f>IF(ISNA(VLOOKUP(B79,RésultatsV!$L$10:$O$248,4,0)),"0",VLOOKUP(B79,RésultatsV!$L$10:$O$248,4,0))</f>
        <v>0</v>
      </c>
      <c r="K79" s="136">
        <f>IF(ISNA(VLOOKUP(B79,RésultatsV!$L$10:$O$248,2,0)),"0",VLOOKUP(B79,RésultatsV!$L$10:$O$248,2,0))</f>
        <v>0</v>
      </c>
      <c r="L79" s="136">
        <f>IF(ISNA(VLOOKUP(B79,RésultatsV!$Q$10:$T$248,3,0)),"0",VLOOKUP(B79,RésultatsV!$Q$10:$T$248,3,0))</f>
        <v>0</v>
      </c>
      <c r="M79" s="136">
        <f>IF(ISNA(VLOOKUP(B79,RésultatsV!$Q$10:$T$248,4,0)),"0",VLOOKUP(B79,RésultatsV!$Q$10:$T$248,4,0))</f>
        <v>0</v>
      </c>
      <c r="N79" s="136">
        <f>IF(ISNA(VLOOKUP(B79,RésultatsV!$Q$10:$T$248,2,0)),"0",VLOOKUP(B79,RésultatsV!$Q$10:$T$248,2,0))</f>
        <v>0</v>
      </c>
      <c r="O79" s="136">
        <f>IF(ISNA(VLOOKUP(B79,RésultatsV!$V$10:$Y$248,3,0)),"0",VLOOKUP(B79,RésultatsV!$V$10:$Y$248,3,0))</f>
        <v>0</v>
      </c>
      <c r="P79" s="136">
        <f>IF(ISNA(VLOOKUP(B79,RésultatsV!$V$10:$Y$248,4,0)),"0",VLOOKUP(B79,RésultatsV!$V$10:$Y$248,4,0))</f>
        <v>0</v>
      </c>
      <c r="Q79" s="136">
        <f>IF(ISNA(VLOOKUP(E79,RésultatsV!$V$10:$Y$248,2,0)),"0",VLOOKUP(E79,RésultatsV!$V$10:$Y$248,2,0))</f>
        <v>0</v>
      </c>
      <c r="R79" s="136">
        <f>IF(ISNA(VLOOKUP(B79,RésultatsV!$AA$10:$AD$248,3,0)),"0",VLOOKUP(B79,RésultatsV!$AA$10:$AD$248,3,0))</f>
        <v>0</v>
      </c>
      <c r="S79" s="136">
        <f>IF(ISNA(VLOOKUP(B79,RésultatsV!$AA$10:$AD$248,4,0)),"0",VLOOKUP(B79,RésultatsV!$AA$10:$AD$248,4,0))</f>
        <v>0</v>
      </c>
      <c r="T79" s="136">
        <f>IF(ISNA(VLOOKUP(B79,RésultatsV!$AA$10:$AD$248,2,0)),"0",VLOOKUP(B79,RésultatsV!$AA$10:$AD$248,2,0))</f>
        <v>0</v>
      </c>
      <c r="U79" s="110">
        <f t="shared" si="19"/>
        <v>0</v>
      </c>
      <c r="V79" s="103">
        <f t="shared" si="20"/>
        <v>0</v>
      </c>
      <c r="W79" s="106">
        <f t="shared" si="23"/>
        <v>0</v>
      </c>
      <c r="X79" s="61">
        <f t="shared" si="26"/>
        <v>0</v>
      </c>
      <c r="Y79" s="52">
        <f t="shared" si="6"/>
        <v>0</v>
      </c>
      <c r="Z79" s="104">
        <f t="shared" si="24"/>
        <v>23.00015879</v>
      </c>
      <c r="AA79" s="115">
        <f>IF(B79="","",SMALL(Z$6:Z$185,ROWS(AD$6:AD79)))</f>
        <v>23.000158649999999</v>
      </c>
      <c r="AB79" s="270"/>
      <c r="AC79" s="4">
        <f>IF(OR(B79="",U79=""),"",INDEX($B$6:$B$185,MATCH(AA79,$Z$6:Z$185,0)))</f>
        <v>0</v>
      </c>
      <c r="AD79" s="4">
        <f t="shared" si="21"/>
        <v>0</v>
      </c>
      <c r="AE79" s="4">
        <f t="shared" si="22"/>
        <v>0</v>
      </c>
      <c r="AF79" s="113">
        <f t="shared" si="25"/>
        <v>0</v>
      </c>
      <c r="AG79" s="271">
        <f>IF(AA79="","",IF(AND(AD78=AD79,AE78=AE79,AF78=AF79),AG78,$AG$6+73))</f>
        <v>23</v>
      </c>
      <c r="AH79" s="34"/>
      <c r="AI79" s="92"/>
    </row>
    <row r="80" spans="1:35" s="23" customFormat="1" ht="18" customHeight="1">
      <c r="A80" s="282">
        <v>75</v>
      </c>
      <c r="B80" s="283">
        <f>+'Joueurs et TirageV'!E21</f>
        <v>0</v>
      </c>
      <c r="C80" s="136" t="str">
        <f>IF(ISNA(VLOOKUP(B80,RésultatsV!$B$10:$E$248,3,0)),"0",VLOOKUP(B80,RésultatsV!$B$10:$E$248,3,0))</f>
        <v>0</v>
      </c>
      <c r="D80" s="136">
        <f>IF(ISNA(VLOOKUP(B80,RésultatsV!$B$10:$E$248,4,0)),"0",VLOOKUP(B80,RésultatsV!$B$10:$E$248,4,0))</f>
        <v>0</v>
      </c>
      <c r="E80" s="136">
        <f>IF(ISNA(VLOOKUP(B80,RésultatsV!$B$10:$E$248,2,0)),"0",VLOOKUP(B80,RésultatsV!$B$10:$E$248,2,0))</f>
        <v>0</v>
      </c>
      <c r="F80" s="136">
        <f>IF(ISNA(VLOOKUP(B80,RésultatsV!$G$10:$J$248,3,0)),"0",VLOOKUP(B80,RésultatsV!$G$10:$J$248,3,0))</f>
        <v>0</v>
      </c>
      <c r="G80" s="136">
        <f>IF(ISNA(VLOOKUP(B80,RésultatsV!$G$10:$J$248,4,0)),"0",VLOOKUP(B80,RésultatsV!$G$10:$J$248,4,0))</f>
        <v>0</v>
      </c>
      <c r="H80" s="136">
        <f>IF(ISNA(VLOOKUP(B80,RésultatsV!$G$10:$J$248,2,0)),"0",VLOOKUP(B80,RésultatsV!$G$10:$J$248,2,0))</f>
        <v>0</v>
      </c>
      <c r="I80" s="136">
        <f>IF(ISNA(VLOOKUP(B80,RésultatsV!$L$10:$O$248,3,0)),"0",VLOOKUP(B80,RésultatsV!$L$10:$O$248,3,0))</f>
        <v>0</v>
      </c>
      <c r="J80" s="136">
        <f>IF(ISNA(VLOOKUP(B80,RésultatsV!$L$10:$O$248,4,0)),"0",VLOOKUP(B80,RésultatsV!$L$10:$O$248,4,0))</f>
        <v>0</v>
      </c>
      <c r="K80" s="136">
        <f>IF(ISNA(VLOOKUP(B80,RésultatsV!$L$10:$O$248,2,0)),"0",VLOOKUP(B80,RésultatsV!$L$10:$O$248,2,0))</f>
        <v>0</v>
      </c>
      <c r="L80" s="136">
        <f>IF(ISNA(VLOOKUP(B80,RésultatsV!$Q$10:$T$248,3,0)),"0",VLOOKUP(B80,RésultatsV!$Q$10:$T$248,3,0))</f>
        <v>0</v>
      </c>
      <c r="M80" s="136">
        <f>IF(ISNA(VLOOKUP(B80,RésultatsV!$Q$10:$T$248,4,0)),"0",VLOOKUP(B80,RésultatsV!$Q$10:$T$248,4,0))</f>
        <v>0</v>
      </c>
      <c r="N80" s="136">
        <f>IF(ISNA(VLOOKUP(B80,RésultatsV!$Q$10:$T$248,2,0)),"0",VLOOKUP(B80,RésultatsV!$Q$10:$T$248,2,0))</f>
        <v>0</v>
      </c>
      <c r="O80" s="136">
        <f>IF(ISNA(VLOOKUP(B80,RésultatsV!$V$10:$Y$248,3,0)),"0",VLOOKUP(B80,RésultatsV!$V$10:$Y$248,3,0))</f>
        <v>0</v>
      </c>
      <c r="P80" s="136">
        <f>IF(ISNA(VLOOKUP(B80,RésultatsV!$V$10:$Y$248,4,0)),"0",VLOOKUP(B80,RésultatsV!$V$10:$Y$248,4,0))</f>
        <v>0</v>
      </c>
      <c r="Q80" s="136">
        <f>IF(ISNA(VLOOKUP(E80,RésultatsV!$V$10:$Y$248,2,0)),"0",VLOOKUP(E80,RésultatsV!$V$10:$Y$248,2,0))</f>
        <v>0</v>
      </c>
      <c r="R80" s="136">
        <f>IF(ISNA(VLOOKUP(B80,RésultatsV!$AA$10:$AD$248,3,0)),"0",VLOOKUP(B80,RésultatsV!$AA$10:$AD$248,3,0))</f>
        <v>0</v>
      </c>
      <c r="S80" s="136">
        <f>IF(ISNA(VLOOKUP(B80,RésultatsV!$AA$10:$AD$248,4,0)),"0",VLOOKUP(B80,RésultatsV!$AA$10:$AD$248,4,0))</f>
        <v>0</v>
      </c>
      <c r="T80" s="136">
        <f>IF(ISNA(VLOOKUP(B80,RésultatsV!$AA$10:$AD$248,2,0)),"0",VLOOKUP(B80,RésultatsV!$AA$10:$AD$248,2,0))</f>
        <v>0</v>
      </c>
      <c r="U80" s="110">
        <f t="shared" si="19"/>
        <v>0</v>
      </c>
      <c r="V80" s="103">
        <f t="shared" si="20"/>
        <v>0</v>
      </c>
      <c r="W80" s="106">
        <f t="shared" si="23"/>
        <v>0</v>
      </c>
      <c r="X80" s="61">
        <f t="shared" si="26"/>
        <v>0</v>
      </c>
      <c r="Y80" s="52">
        <f t="shared" si="6"/>
        <v>0</v>
      </c>
      <c r="Z80" s="104">
        <f t="shared" si="24"/>
        <v>23.000158799999998</v>
      </c>
      <c r="AA80" s="115">
        <f>IF(B80="","",SMALL(Z$6:Z$185,ROWS(AD$6:AD80)))</f>
        <v>23.00015874</v>
      </c>
      <c r="AB80" s="270"/>
      <c r="AC80" s="4">
        <f>IF(OR(B80="",U80=""),"",INDEX($B$6:$B$185,MATCH(AA80,$Z$6:Z$185,0)))</f>
        <v>0</v>
      </c>
      <c r="AD80" s="4">
        <f t="shared" si="21"/>
        <v>0</v>
      </c>
      <c r="AE80" s="4">
        <f t="shared" si="22"/>
        <v>0</v>
      </c>
      <c r="AF80" s="113">
        <f t="shared" si="25"/>
        <v>0</v>
      </c>
      <c r="AG80" s="271">
        <f>IF(AA80="","",IF(AND(AD79=AD80,AE79=AE80,AF79=AF80),AG79,$AG$6+74))</f>
        <v>23</v>
      </c>
      <c r="AH80" s="34"/>
      <c r="AI80" s="92"/>
    </row>
    <row r="81" spans="1:35" s="23" customFormat="1" ht="18" customHeight="1">
      <c r="A81" s="282">
        <v>76</v>
      </c>
      <c r="B81" s="283">
        <f>+'Joueurs et TirageV'!E22</f>
        <v>0</v>
      </c>
      <c r="C81" s="136" t="str">
        <f>IF(ISNA(VLOOKUP(B81,RésultatsV!$B$10:$E$248,3,0)),"0",VLOOKUP(B81,RésultatsV!$B$10:$E$248,3,0))</f>
        <v>0</v>
      </c>
      <c r="D81" s="136">
        <f>IF(ISNA(VLOOKUP(B81,RésultatsV!$B$10:$E$248,4,0)),"0",VLOOKUP(B81,RésultatsV!$B$10:$E$248,4,0))</f>
        <v>0</v>
      </c>
      <c r="E81" s="136">
        <f>IF(ISNA(VLOOKUP(B81,RésultatsV!$B$10:$E$248,2,0)),"0",VLOOKUP(B81,RésultatsV!$B$10:$E$248,2,0))</f>
        <v>0</v>
      </c>
      <c r="F81" s="136">
        <f>IF(ISNA(VLOOKUP(B81,RésultatsV!$G$10:$J$248,3,0)),"0",VLOOKUP(B81,RésultatsV!$G$10:$J$248,3,0))</f>
        <v>0</v>
      </c>
      <c r="G81" s="136">
        <f>IF(ISNA(VLOOKUP(B81,RésultatsV!$G$10:$J$248,4,0)),"0",VLOOKUP(B81,RésultatsV!$G$10:$J$248,4,0))</f>
        <v>0</v>
      </c>
      <c r="H81" s="136">
        <f>IF(ISNA(VLOOKUP(B81,RésultatsV!$G$10:$J$248,2,0)),"0",VLOOKUP(B81,RésultatsV!$G$10:$J$248,2,0))</f>
        <v>0</v>
      </c>
      <c r="I81" s="136">
        <f>IF(ISNA(VLOOKUP(B81,RésultatsV!$L$10:$O$248,3,0)),"0",VLOOKUP(B81,RésultatsV!$L$10:$O$248,3,0))</f>
        <v>0</v>
      </c>
      <c r="J81" s="136">
        <f>IF(ISNA(VLOOKUP(B81,RésultatsV!$L$10:$O$248,4,0)),"0",VLOOKUP(B81,RésultatsV!$L$10:$O$248,4,0))</f>
        <v>0</v>
      </c>
      <c r="K81" s="136">
        <f>IF(ISNA(VLOOKUP(B81,RésultatsV!$L$10:$O$248,2,0)),"0",VLOOKUP(B81,RésultatsV!$L$10:$O$248,2,0))</f>
        <v>0</v>
      </c>
      <c r="L81" s="136">
        <f>IF(ISNA(VLOOKUP(B81,RésultatsV!$Q$10:$T$248,3,0)),"0",VLOOKUP(B81,RésultatsV!$Q$10:$T$248,3,0))</f>
        <v>0</v>
      </c>
      <c r="M81" s="136">
        <f>IF(ISNA(VLOOKUP(B81,RésultatsV!$Q$10:$T$248,4,0)),"0",VLOOKUP(B81,RésultatsV!$Q$10:$T$248,4,0))</f>
        <v>0</v>
      </c>
      <c r="N81" s="136">
        <f>IF(ISNA(VLOOKUP(B81,RésultatsV!$Q$10:$T$248,2,0)),"0",VLOOKUP(B81,RésultatsV!$Q$10:$T$248,2,0))</f>
        <v>0</v>
      </c>
      <c r="O81" s="136">
        <f>IF(ISNA(VLOOKUP(B81,RésultatsV!$V$10:$Y$248,3,0)),"0",VLOOKUP(B81,RésultatsV!$V$10:$Y$248,3,0))</f>
        <v>0</v>
      </c>
      <c r="P81" s="136">
        <f>IF(ISNA(VLOOKUP(B81,RésultatsV!$V$10:$Y$248,4,0)),"0",VLOOKUP(B81,RésultatsV!$V$10:$Y$248,4,0))</f>
        <v>0</v>
      </c>
      <c r="Q81" s="136">
        <f>IF(ISNA(VLOOKUP(E81,RésultatsV!$V$10:$Y$248,2,0)),"0",VLOOKUP(E81,RésultatsV!$V$10:$Y$248,2,0))</f>
        <v>0</v>
      </c>
      <c r="R81" s="136">
        <f>IF(ISNA(VLOOKUP(B81,RésultatsV!$AA$10:$AD$248,3,0)),"0",VLOOKUP(B81,RésultatsV!$AA$10:$AD$248,3,0))</f>
        <v>0</v>
      </c>
      <c r="S81" s="136">
        <f>IF(ISNA(VLOOKUP(B81,RésultatsV!$AA$10:$AD$248,4,0)),"0",VLOOKUP(B81,RésultatsV!$AA$10:$AD$248,4,0))</f>
        <v>0</v>
      </c>
      <c r="T81" s="136">
        <f>IF(ISNA(VLOOKUP(B81,RésultatsV!$AA$10:$AD$248,2,0)),"0",VLOOKUP(B81,RésultatsV!$AA$10:$AD$248,2,0))</f>
        <v>0</v>
      </c>
      <c r="U81" s="110">
        <f t="shared" si="19"/>
        <v>0</v>
      </c>
      <c r="V81" s="103">
        <f t="shared" si="20"/>
        <v>0</v>
      </c>
      <c r="W81" s="106">
        <f t="shared" si="23"/>
        <v>0</v>
      </c>
      <c r="X81" s="61">
        <f t="shared" si="26"/>
        <v>0</v>
      </c>
      <c r="Y81" s="52">
        <f t="shared" si="6"/>
        <v>0</v>
      </c>
      <c r="Z81" s="104">
        <f t="shared" si="24"/>
        <v>23.000158809999999</v>
      </c>
      <c r="AA81" s="115">
        <f>IF(B81="","",SMALL(Z$6:Z$185,ROWS(AD$6:AD81)))</f>
        <v>23.000158750000001</v>
      </c>
      <c r="AB81" s="270"/>
      <c r="AC81" s="4">
        <f>IF(OR(B81="",U81=""),"",INDEX($B$6:$B$185,MATCH(AA81,$Z$6:Z$185,0)))</f>
        <v>0</v>
      </c>
      <c r="AD81" s="4">
        <f t="shared" si="21"/>
        <v>0</v>
      </c>
      <c r="AE81" s="4">
        <f t="shared" si="22"/>
        <v>0</v>
      </c>
      <c r="AF81" s="113">
        <f t="shared" si="25"/>
        <v>0</v>
      </c>
      <c r="AG81" s="271">
        <f>IF(AA81="","",IF(AND(AD80=AD81,AE80=AE81,AF80=AF81),AG80,$AG$6+75))</f>
        <v>23</v>
      </c>
      <c r="AH81" s="34"/>
      <c r="AI81" s="92"/>
    </row>
    <row r="82" spans="1:35" s="23" customFormat="1" ht="18" customHeight="1">
      <c r="A82" s="282">
        <v>77</v>
      </c>
      <c r="B82" s="283">
        <f>+'Joueurs et TirageV'!E23</f>
        <v>0</v>
      </c>
      <c r="C82" s="136" t="str">
        <f>IF(ISNA(VLOOKUP(B82,RésultatsV!$B$10:$E$248,3,0)),"0",VLOOKUP(B82,RésultatsV!$B$10:$E$248,3,0))</f>
        <v>0</v>
      </c>
      <c r="D82" s="136">
        <f>IF(ISNA(VLOOKUP(B82,RésultatsV!$B$10:$E$248,4,0)),"0",VLOOKUP(B82,RésultatsV!$B$10:$E$248,4,0))</f>
        <v>0</v>
      </c>
      <c r="E82" s="136">
        <f>IF(ISNA(VLOOKUP(B82,RésultatsV!$B$10:$E$248,2,0)),"0",VLOOKUP(B82,RésultatsV!$B$10:$E$248,2,0))</f>
        <v>0</v>
      </c>
      <c r="F82" s="136">
        <f>IF(ISNA(VLOOKUP(B82,RésultatsV!$G$10:$J$248,3,0)),"0",VLOOKUP(B82,RésultatsV!$G$10:$J$248,3,0))</f>
        <v>0</v>
      </c>
      <c r="G82" s="136">
        <f>IF(ISNA(VLOOKUP(B82,RésultatsV!$G$10:$J$248,4,0)),"0",VLOOKUP(B82,RésultatsV!$G$10:$J$248,4,0))</f>
        <v>0</v>
      </c>
      <c r="H82" s="136">
        <f>IF(ISNA(VLOOKUP(B82,RésultatsV!$G$10:$J$248,2,0)),"0",VLOOKUP(B82,RésultatsV!$G$10:$J$248,2,0))</f>
        <v>0</v>
      </c>
      <c r="I82" s="136">
        <f>IF(ISNA(VLOOKUP(B82,RésultatsV!$L$10:$O$248,3,0)),"0",VLOOKUP(B82,RésultatsV!$L$10:$O$248,3,0))</f>
        <v>0</v>
      </c>
      <c r="J82" s="136">
        <f>IF(ISNA(VLOOKUP(B82,RésultatsV!$L$10:$O$248,4,0)),"0",VLOOKUP(B82,RésultatsV!$L$10:$O$248,4,0))</f>
        <v>0</v>
      </c>
      <c r="K82" s="136">
        <f>IF(ISNA(VLOOKUP(B82,RésultatsV!$L$10:$O$248,2,0)),"0",VLOOKUP(B82,RésultatsV!$L$10:$O$248,2,0))</f>
        <v>0</v>
      </c>
      <c r="L82" s="136">
        <f>IF(ISNA(VLOOKUP(B82,RésultatsV!$Q$10:$T$248,3,0)),"0",VLOOKUP(B82,RésultatsV!$Q$10:$T$248,3,0))</f>
        <v>0</v>
      </c>
      <c r="M82" s="136">
        <f>IF(ISNA(VLOOKUP(B82,RésultatsV!$Q$10:$T$248,4,0)),"0",VLOOKUP(B82,RésultatsV!$Q$10:$T$248,4,0))</f>
        <v>0</v>
      </c>
      <c r="N82" s="136">
        <f>IF(ISNA(VLOOKUP(B82,RésultatsV!$Q$10:$T$248,2,0)),"0",VLOOKUP(B82,RésultatsV!$Q$10:$T$248,2,0))</f>
        <v>0</v>
      </c>
      <c r="O82" s="136">
        <f>IF(ISNA(VLOOKUP(B82,RésultatsV!$V$10:$Y$248,3,0)),"0",VLOOKUP(B82,RésultatsV!$V$10:$Y$248,3,0))</f>
        <v>0</v>
      </c>
      <c r="P82" s="136">
        <f>IF(ISNA(VLOOKUP(B82,RésultatsV!$V$10:$Y$248,4,0)),"0",VLOOKUP(B82,RésultatsV!$V$10:$Y$248,4,0))</f>
        <v>0</v>
      </c>
      <c r="Q82" s="136">
        <f>IF(ISNA(VLOOKUP(E82,RésultatsV!$V$10:$Y$248,2,0)),"0",VLOOKUP(E82,RésultatsV!$V$10:$Y$248,2,0))</f>
        <v>0</v>
      </c>
      <c r="R82" s="136">
        <f>IF(ISNA(VLOOKUP(B82,RésultatsV!$AA$10:$AD$248,3,0)),"0",VLOOKUP(B82,RésultatsV!$AA$10:$AD$248,3,0))</f>
        <v>0</v>
      </c>
      <c r="S82" s="136">
        <f>IF(ISNA(VLOOKUP(B82,RésultatsV!$AA$10:$AD$248,4,0)),"0",VLOOKUP(B82,RésultatsV!$AA$10:$AD$248,4,0))</f>
        <v>0</v>
      </c>
      <c r="T82" s="136">
        <f>IF(ISNA(VLOOKUP(B82,RésultatsV!$AA$10:$AD$248,2,0)),"0",VLOOKUP(B82,RésultatsV!$AA$10:$AD$248,2,0))</f>
        <v>0</v>
      </c>
      <c r="U82" s="110">
        <f t="shared" si="19"/>
        <v>0</v>
      </c>
      <c r="V82" s="103">
        <f t="shared" si="20"/>
        <v>0</v>
      </c>
      <c r="W82" s="106">
        <f t="shared" si="23"/>
        <v>0</v>
      </c>
      <c r="X82" s="61">
        <f t="shared" si="26"/>
        <v>0</v>
      </c>
      <c r="Y82" s="52">
        <f t="shared" si="6"/>
        <v>0</v>
      </c>
      <c r="Z82" s="104">
        <f t="shared" si="24"/>
        <v>23.000158819999999</v>
      </c>
      <c r="AA82" s="115">
        <f>IF(B82="","",SMALL(Z$6:Z$185,ROWS(AD$6:AD82)))</f>
        <v>23.000158759999998</v>
      </c>
      <c r="AB82" s="270"/>
      <c r="AC82" s="4">
        <f>IF(OR(B82="",U82=""),"",INDEX($B$6:$B$185,MATCH(AA82,$Z$6:Z$185,0)))</f>
        <v>0</v>
      </c>
      <c r="AD82" s="4">
        <f t="shared" si="21"/>
        <v>0</v>
      </c>
      <c r="AE82" s="4">
        <f t="shared" si="22"/>
        <v>0</v>
      </c>
      <c r="AF82" s="113">
        <f t="shared" si="25"/>
        <v>0</v>
      </c>
      <c r="AG82" s="271">
        <f>IF(AA82="","",IF(AND(AD81=AD82,AE81=AE82,AF81=AF82),AG81,$AG$6+76))</f>
        <v>23</v>
      </c>
      <c r="AH82" s="34"/>
      <c r="AI82" s="92"/>
    </row>
    <row r="83" spans="1:35" s="23" customFormat="1" ht="18" customHeight="1">
      <c r="A83" s="282">
        <v>78</v>
      </c>
      <c r="B83" s="283">
        <f>+'Joueurs et TirageV'!E24</f>
        <v>0</v>
      </c>
      <c r="C83" s="136" t="str">
        <f>IF(ISNA(VLOOKUP(B83,RésultatsV!$B$10:$E$248,3,0)),"0",VLOOKUP(B83,RésultatsV!$B$10:$E$248,3,0))</f>
        <v>0</v>
      </c>
      <c r="D83" s="136">
        <f>IF(ISNA(VLOOKUP(B83,RésultatsV!$B$10:$E$248,4,0)),"0",VLOOKUP(B83,RésultatsV!$B$10:$E$248,4,0))</f>
        <v>0</v>
      </c>
      <c r="E83" s="136">
        <f>IF(ISNA(VLOOKUP(B83,RésultatsV!$B$10:$E$248,2,0)),"0",VLOOKUP(B83,RésultatsV!$B$10:$E$248,2,0))</f>
        <v>0</v>
      </c>
      <c r="F83" s="136">
        <f>IF(ISNA(VLOOKUP(B83,RésultatsV!$G$10:$J$248,3,0)),"0",VLOOKUP(B83,RésultatsV!$G$10:$J$248,3,0))</f>
        <v>0</v>
      </c>
      <c r="G83" s="136">
        <f>IF(ISNA(VLOOKUP(B83,RésultatsV!$G$10:$J$248,4,0)),"0",VLOOKUP(B83,RésultatsV!$G$10:$J$248,4,0))</f>
        <v>0</v>
      </c>
      <c r="H83" s="136">
        <f>IF(ISNA(VLOOKUP(B83,RésultatsV!$G$10:$J$248,2,0)),"0",VLOOKUP(B83,RésultatsV!$G$10:$J$248,2,0))</f>
        <v>0</v>
      </c>
      <c r="I83" s="136">
        <f>IF(ISNA(VLOOKUP(B83,RésultatsV!$L$10:$O$248,3,0)),"0",VLOOKUP(B83,RésultatsV!$L$10:$O$248,3,0))</f>
        <v>0</v>
      </c>
      <c r="J83" s="136">
        <f>IF(ISNA(VLOOKUP(B83,RésultatsV!$L$10:$O$248,4,0)),"0",VLOOKUP(B83,RésultatsV!$L$10:$O$248,4,0))</f>
        <v>0</v>
      </c>
      <c r="K83" s="136">
        <f>IF(ISNA(VLOOKUP(B83,RésultatsV!$L$10:$O$248,2,0)),"0",VLOOKUP(B83,RésultatsV!$L$10:$O$248,2,0))</f>
        <v>0</v>
      </c>
      <c r="L83" s="136">
        <f>IF(ISNA(VLOOKUP(B83,RésultatsV!$Q$10:$T$248,3,0)),"0",VLOOKUP(B83,RésultatsV!$Q$10:$T$248,3,0))</f>
        <v>0</v>
      </c>
      <c r="M83" s="136">
        <f>IF(ISNA(VLOOKUP(B83,RésultatsV!$Q$10:$T$248,4,0)),"0",VLOOKUP(B83,RésultatsV!$Q$10:$T$248,4,0))</f>
        <v>0</v>
      </c>
      <c r="N83" s="136">
        <f>IF(ISNA(VLOOKUP(B83,RésultatsV!$Q$10:$T$248,2,0)),"0",VLOOKUP(B83,RésultatsV!$Q$10:$T$248,2,0))</f>
        <v>0</v>
      </c>
      <c r="O83" s="136">
        <f>IF(ISNA(VLOOKUP(B83,RésultatsV!$V$10:$Y$248,3,0)),"0",VLOOKUP(B83,RésultatsV!$V$10:$Y$248,3,0))</f>
        <v>0</v>
      </c>
      <c r="P83" s="136">
        <f>IF(ISNA(VLOOKUP(B83,RésultatsV!$V$10:$Y$248,4,0)),"0",VLOOKUP(B83,RésultatsV!$V$10:$Y$248,4,0))</f>
        <v>0</v>
      </c>
      <c r="Q83" s="136">
        <f>IF(ISNA(VLOOKUP(E83,RésultatsV!$V$10:$Y$248,2,0)),"0",VLOOKUP(E83,RésultatsV!$V$10:$Y$248,2,0))</f>
        <v>0</v>
      </c>
      <c r="R83" s="136">
        <f>IF(ISNA(VLOOKUP(B83,RésultatsV!$AA$10:$AD$248,3,0)),"0",VLOOKUP(B83,RésultatsV!$AA$10:$AD$248,3,0))</f>
        <v>0</v>
      </c>
      <c r="S83" s="136">
        <f>IF(ISNA(VLOOKUP(B83,RésultatsV!$AA$10:$AD$248,4,0)),"0",VLOOKUP(B83,RésultatsV!$AA$10:$AD$248,4,0))</f>
        <v>0</v>
      </c>
      <c r="T83" s="136">
        <f>IF(ISNA(VLOOKUP(B83,RésultatsV!$AA$10:$AD$248,2,0)),"0",VLOOKUP(B83,RésultatsV!$AA$10:$AD$248,2,0))</f>
        <v>0</v>
      </c>
      <c r="U83" s="110">
        <f t="shared" si="19"/>
        <v>0</v>
      </c>
      <c r="V83" s="103">
        <f t="shared" si="20"/>
        <v>0</v>
      </c>
      <c r="W83" s="106">
        <f t="shared" si="23"/>
        <v>0</v>
      </c>
      <c r="X83" s="61">
        <f t="shared" si="26"/>
        <v>0</v>
      </c>
      <c r="Y83" s="52">
        <f t="shared" si="6"/>
        <v>0</v>
      </c>
      <c r="Z83" s="104">
        <f t="shared" si="24"/>
        <v>23.00015883</v>
      </c>
      <c r="AA83" s="115">
        <f>IF(B83="","",SMALL(Z$6:Z$185,ROWS(AD$6:AD83)))</f>
        <v>23.000158769999999</v>
      </c>
      <c r="AB83" s="270"/>
      <c r="AC83" s="4">
        <f>IF(OR(B83="",U83=""),"",INDEX($B$6:$B$185,MATCH(AA83,$Z$6:Z$185,0)))</f>
        <v>0</v>
      </c>
      <c r="AD83" s="4">
        <f t="shared" si="21"/>
        <v>0</v>
      </c>
      <c r="AE83" s="4">
        <f t="shared" si="22"/>
        <v>0</v>
      </c>
      <c r="AF83" s="113">
        <f t="shared" si="25"/>
        <v>0</v>
      </c>
      <c r="AG83" s="271">
        <f>IF(AA83="","",IF(AND(AD82=AD83,AE82=AE83,AF82=AF83),AG82,$AG$6+77))</f>
        <v>23</v>
      </c>
      <c r="AH83" s="34"/>
      <c r="AI83" s="92"/>
    </row>
    <row r="84" spans="1:35" s="23" customFormat="1" ht="18" customHeight="1">
      <c r="A84" s="282">
        <v>79</v>
      </c>
      <c r="B84" s="283">
        <f>+'Joueurs et TirageV'!E25</f>
        <v>0</v>
      </c>
      <c r="C84" s="136" t="str">
        <f>IF(ISNA(VLOOKUP(B84,RésultatsV!$B$10:$E$248,3,0)),"0",VLOOKUP(B84,RésultatsV!$B$10:$E$248,3,0))</f>
        <v>0</v>
      </c>
      <c r="D84" s="136">
        <f>IF(ISNA(VLOOKUP(B84,RésultatsV!$B$10:$E$248,4,0)),"0",VLOOKUP(B84,RésultatsV!$B$10:$E$248,4,0))</f>
        <v>0</v>
      </c>
      <c r="E84" s="136">
        <f>IF(ISNA(VLOOKUP(B84,RésultatsV!$B$10:$E$248,2,0)),"0",VLOOKUP(B84,RésultatsV!$B$10:$E$248,2,0))</f>
        <v>0</v>
      </c>
      <c r="F84" s="136">
        <f>IF(ISNA(VLOOKUP(B84,RésultatsV!$G$10:$J$248,3,0)),"0",VLOOKUP(B84,RésultatsV!$G$10:$J$248,3,0))</f>
        <v>0</v>
      </c>
      <c r="G84" s="136">
        <f>IF(ISNA(VLOOKUP(B84,RésultatsV!$G$10:$J$248,4,0)),"0",VLOOKUP(B84,RésultatsV!$G$10:$J$248,4,0))</f>
        <v>0</v>
      </c>
      <c r="H84" s="136">
        <f>IF(ISNA(VLOOKUP(B84,RésultatsV!$G$10:$J$248,2,0)),"0",VLOOKUP(B84,RésultatsV!$G$10:$J$248,2,0))</f>
        <v>0</v>
      </c>
      <c r="I84" s="136">
        <f>IF(ISNA(VLOOKUP(B84,RésultatsV!$L$10:$O$248,3,0)),"0",VLOOKUP(B84,RésultatsV!$L$10:$O$248,3,0))</f>
        <v>0</v>
      </c>
      <c r="J84" s="136">
        <f>IF(ISNA(VLOOKUP(B84,RésultatsV!$L$10:$O$248,4,0)),"0",VLOOKUP(B84,RésultatsV!$L$10:$O$248,4,0))</f>
        <v>0</v>
      </c>
      <c r="K84" s="136">
        <f>IF(ISNA(VLOOKUP(B84,RésultatsV!$L$10:$O$248,2,0)),"0",VLOOKUP(B84,RésultatsV!$L$10:$O$248,2,0))</f>
        <v>0</v>
      </c>
      <c r="L84" s="136">
        <f>IF(ISNA(VLOOKUP(B84,RésultatsV!$Q$10:$T$248,3,0)),"0",VLOOKUP(B84,RésultatsV!$Q$10:$T$248,3,0))</f>
        <v>0</v>
      </c>
      <c r="M84" s="136">
        <f>IF(ISNA(VLOOKUP(B84,RésultatsV!$Q$10:$T$248,4,0)),"0",VLOOKUP(B84,RésultatsV!$Q$10:$T$248,4,0))</f>
        <v>0</v>
      </c>
      <c r="N84" s="136">
        <f>IF(ISNA(VLOOKUP(B84,RésultatsV!$Q$10:$T$248,2,0)),"0",VLOOKUP(B84,RésultatsV!$Q$10:$T$248,2,0))</f>
        <v>0</v>
      </c>
      <c r="O84" s="136">
        <f>IF(ISNA(VLOOKUP(B84,RésultatsV!$V$10:$Y$248,3,0)),"0",VLOOKUP(B84,RésultatsV!$V$10:$Y$248,3,0))</f>
        <v>0</v>
      </c>
      <c r="P84" s="136">
        <f>IF(ISNA(VLOOKUP(B84,RésultatsV!$V$10:$Y$248,4,0)),"0",VLOOKUP(B84,RésultatsV!$V$10:$Y$248,4,0))</f>
        <v>0</v>
      </c>
      <c r="Q84" s="136">
        <f>IF(ISNA(VLOOKUP(E84,RésultatsV!$V$10:$Y$248,2,0)),"0",VLOOKUP(E84,RésultatsV!$V$10:$Y$248,2,0))</f>
        <v>0</v>
      </c>
      <c r="R84" s="136">
        <f>IF(ISNA(VLOOKUP(B84,RésultatsV!$AA$10:$AD$248,3,0)),"0",VLOOKUP(B84,RésultatsV!$AA$10:$AD$248,3,0))</f>
        <v>0</v>
      </c>
      <c r="S84" s="136">
        <f>IF(ISNA(VLOOKUP(B84,RésultatsV!$AA$10:$AD$248,4,0)),"0",VLOOKUP(B84,RésultatsV!$AA$10:$AD$248,4,0))</f>
        <v>0</v>
      </c>
      <c r="T84" s="136">
        <f>IF(ISNA(VLOOKUP(B84,RésultatsV!$AA$10:$AD$248,2,0)),"0",VLOOKUP(B84,RésultatsV!$AA$10:$AD$248,2,0))</f>
        <v>0</v>
      </c>
      <c r="U84" s="110">
        <f t="shared" si="19"/>
        <v>0</v>
      </c>
      <c r="V84" s="103">
        <f t="shared" si="20"/>
        <v>0</v>
      </c>
      <c r="W84" s="106">
        <f t="shared" si="23"/>
        <v>0</v>
      </c>
      <c r="X84" s="61">
        <f t="shared" si="26"/>
        <v>0</v>
      </c>
      <c r="Y84" s="52">
        <f t="shared" si="6"/>
        <v>0</v>
      </c>
      <c r="Z84" s="104">
        <f t="shared" si="24"/>
        <v>23.000158839999997</v>
      </c>
      <c r="AA84" s="115">
        <f>IF(B84="","",SMALL(Z$6:Z$185,ROWS(AD$6:AD84)))</f>
        <v>23.00015878</v>
      </c>
      <c r="AB84" s="270"/>
      <c r="AC84" s="4">
        <f>IF(OR(B84="",U84=""),"",INDEX($B$6:$B$185,MATCH(AA84,$Z$6:Z$185,0)))</f>
        <v>0</v>
      </c>
      <c r="AD84" s="4">
        <f t="shared" si="21"/>
        <v>0</v>
      </c>
      <c r="AE84" s="4">
        <f t="shared" si="22"/>
        <v>0</v>
      </c>
      <c r="AF84" s="113">
        <f t="shared" si="25"/>
        <v>0</v>
      </c>
      <c r="AG84" s="271">
        <f>IF(AA84="","",IF(AND(AD83=AD84,AE83=AE84,AF83=AF84),AG83,$AG$6+78))</f>
        <v>23</v>
      </c>
      <c r="AH84" s="34"/>
      <c r="AI84" s="92"/>
    </row>
    <row r="85" spans="1:35" s="23" customFormat="1" ht="18" customHeight="1">
      <c r="A85" s="282">
        <v>80</v>
      </c>
      <c r="B85" s="283">
        <f>+'Joueurs et TirageV'!E26</f>
        <v>0</v>
      </c>
      <c r="C85" s="136" t="str">
        <f>IF(ISNA(VLOOKUP(B85,RésultatsV!$B$10:$E$248,3,0)),"0",VLOOKUP(B85,RésultatsV!$B$10:$E$248,3,0))</f>
        <v>0</v>
      </c>
      <c r="D85" s="136">
        <f>IF(ISNA(VLOOKUP(B85,RésultatsV!$B$10:$E$248,4,0)),"0",VLOOKUP(B85,RésultatsV!$B$10:$E$248,4,0))</f>
        <v>0</v>
      </c>
      <c r="E85" s="136">
        <f>IF(ISNA(VLOOKUP(B85,RésultatsV!$B$10:$E$248,2,0)),"0",VLOOKUP(B85,RésultatsV!$B$10:$E$248,2,0))</f>
        <v>0</v>
      </c>
      <c r="F85" s="136">
        <f>IF(ISNA(VLOOKUP(B85,RésultatsV!$G$10:$J$248,3,0)),"0",VLOOKUP(B85,RésultatsV!$G$10:$J$248,3,0))</f>
        <v>0</v>
      </c>
      <c r="G85" s="136">
        <f>IF(ISNA(VLOOKUP(B85,RésultatsV!$G$10:$J$248,4,0)),"0",VLOOKUP(B85,RésultatsV!$G$10:$J$248,4,0))</f>
        <v>0</v>
      </c>
      <c r="H85" s="136">
        <f>IF(ISNA(VLOOKUP(B85,RésultatsV!$G$10:$J$248,2,0)),"0",VLOOKUP(B85,RésultatsV!$G$10:$J$248,2,0))</f>
        <v>0</v>
      </c>
      <c r="I85" s="136">
        <f>IF(ISNA(VLOOKUP(B85,RésultatsV!$L$10:$O$248,3,0)),"0",VLOOKUP(B85,RésultatsV!$L$10:$O$248,3,0))</f>
        <v>0</v>
      </c>
      <c r="J85" s="136">
        <f>IF(ISNA(VLOOKUP(B85,RésultatsV!$L$10:$O$248,4,0)),"0",VLOOKUP(B85,RésultatsV!$L$10:$O$248,4,0))</f>
        <v>0</v>
      </c>
      <c r="K85" s="136">
        <f>IF(ISNA(VLOOKUP(B85,RésultatsV!$L$10:$O$248,2,0)),"0",VLOOKUP(B85,RésultatsV!$L$10:$O$248,2,0))</f>
        <v>0</v>
      </c>
      <c r="L85" s="136">
        <f>IF(ISNA(VLOOKUP(B85,RésultatsV!$Q$10:$T$248,3,0)),"0",VLOOKUP(B85,RésultatsV!$Q$10:$T$248,3,0))</f>
        <v>0</v>
      </c>
      <c r="M85" s="136">
        <f>IF(ISNA(VLOOKUP(B85,RésultatsV!$Q$10:$T$248,4,0)),"0",VLOOKUP(B85,RésultatsV!$Q$10:$T$248,4,0))</f>
        <v>0</v>
      </c>
      <c r="N85" s="136">
        <f>IF(ISNA(VLOOKUP(B85,RésultatsV!$Q$10:$T$248,2,0)),"0",VLOOKUP(B85,RésultatsV!$Q$10:$T$248,2,0))</f>
        <v>0</v>
      </c>
      <c r="O85" s="136">
        <f>IF(ISNA(VLOOKUP(B85,RésultatsV!$V$10:$Y$248,3,0)),"0",VLOOKUP(B85,RésultatsV!$V$10:$Y$248,3,0))</f>
        <v>0</v>
      </c>
      <c r="P85" s="136">
        <f>IF(ISNA(VLOOKUP(B85,RésultatsV!$V$10:$Y$248,4,0)),"0",VLOOKUP(B85,RésultatsV!$V$10:$Y$248,4,0))</f>
        <v>0</v>
      </c>
      <c r="Q85" s="136">
        <f>IF(ISNA(VLOOKUP(E85,RésultatsV!$V$10:$Y$248,2,0)),"0",VLOOKUP(E85,RésultatsV!$V$10:$Y$248,2,0))</f>
        <v>0</v>
      </c>
      <c r="R85" s="136">
        <f>IF(ISNA(VLOOKUP(B85,RésultatsV!$AA$10:$AD$248,3,0)),"0",VLOOKUP(B85,RésultatsV!$AA$10:$AD$248,3,0))</f>
        <v>0</v>
      </c>
      <c r="S85" s="136">
        <f>IF(ISNA(VLOOKUP(B85,RésultatsV!$AA$10:$AD$248,4,0)),"0",VLOOKUP(B85,RésultatsV!$AA$10:$AD$248,4,0))</f>
        <v>0</v>
      </c>
      <c r="T85" s="136">
        <f>IF(ISNA(VLOOKUP(B85,RésultatsV!$AA$10:$AD$248,2,0)),"0",VLOOKUP(B85,RésultatsV!$AA$10:$AD$248,2,0))</f>
        <v>0</v>
      </c>
      <c r="U85" s="110">
        <f t="shared" si="19"/>
        <v>0</v>
      </c>
      <c r="V85" s="103">
        <f t="shared" si="20"/>
        <v>0</v>
      </c>
      <c r="W85" s="106">
        <f t="shared" si="23"/>
        <v>0</v>
      </c>
      <c r="X85" s="61">
        <f t="shared" si="26"/>
        <v>0</v>
      </c>
      <c r="Y85" s="52">
        <f t="shared" si="6"/>
        <v>0</v>
      </c>
      <c r="Z85" s="104">
        <f t="shared" si="24"/>
        <v>23.000158849999998</v>
      </c>
      <c r="AA85" s="115">
        <f>IF(B85="","",SMALL(Z$6:Z$185,ROWS(AD$6:AD85)))</f>
        <v>23.00015879</v>
      </c>
      <c r="AB85" s="270"/>
      <c r="AC85" s="4">
        <f>IF(OR(B85="",U85=""),"",INDEX($B$6:$B$185,MATCH(AA85,$Z$6:Z$185,0)))</f>
        <v>0</v>
      </c>
      <c r="AD85" s="4">
        <f t="shared" si="21"/>
        <v>0</v>
      </c>
      <c r="AE85" s="4">
        <f t="shared" si="22"/>
        <v>0</v>
      </c>
      <c r="AF85" s="113">
        <f t="shared" si="25"/>
        <v>0</v>
      </c>
      <c r="AG85" s="271">
        <f>IF(AA85="","",IF(AND(AD84=AD85,AE84=AE85,AF84=AF85),AG84,$AG$6+79))</f>
        <v>23</v>
      </c>
      <c r="AH85" s="34"/>
      <c r="AI85" s="92"/>
    </row>
    <row r="86" spans="1:35" s="23" customFormat="1" ht="18" customHeight="1">
      <c r="A86" s="282">
        <v>81</v>
      </c>
      <c r="B86" s="283">
        <f>+'Joueurs et TirageV'!E27</f>
        <v>0</v>
      </c>
      <c r="C86" s="136" t="str">
        <f>IF(ISNA(VLOOKUP(B86,RésultatsV!$B$10:$E$248,3,0)),"0",VLOOKUP(B86,RésultatsV!$B$10:$E$248,3,0))</f>
        <v>0</v>
      </c>
      <c r="D86" s="136">
        <f>IF(ISNA(VLOOKUP(B86,RésultatsV!$B$10:$E$248,4,0)),"0",VLOOKUP(B86,RésultatsV!$B$10:$E$248,4,0))</f>
        <v>0</v>
      </c>
      <c r="E86" s="136">
        <f>IF(ISNA(VLOOKUP(B86,RésultatsV!$B$10:$E$248,2,0)),"0",VLOOKUP(B86,RésultatsV!$B$10:$E$248,2,0))</f>
        <v>0</v>
      </c>
      <c r="F86" s="136">
        <f>IF(ISNA(VLOOKUP(B86,RésultatsV!$G$10:$J$248,3,0)),"0",VLOOKUP(B86,RésultatsV!$G$10:$J$248,3,0))</f>
        <v>0</v>
      </c>
      <c r="G86" s="136">
        <f>IF(ISNA(VLOOKUP(B86,RésultatsV!$G$10:$J$248,4,0)),"0",VLOOKUP(B86,RésultatsV!$G$10:$J$248,4,0))</f>
        <v>0</v>
      </c>
      <c r="H86" s="136">
        <f>IF(ISNA(VLOOKUP(B86,RésultatsV!$G$10:$J$248,2,0)),"0",VLOOKUP(B86,RésultatsV!$G$10:$J$248,2,0))</f>
        <v>0</v>
      </c>
      <c r="I86" s="136">
        <f>IF(ISNA(VLOOKUP(B86,RésultatsV!$L$10:$O$248,3,0)),"0",VLOOKUP(B86,RésultatsV!$L$10:$O$248,3,0))</f>
        <v>0</v>
      </c>
      <c r="J86" s="136">
        <f>IF(ISNA(VLOOKUP(B86,RésultatsV!$L$10:$O$248,4,0)),"0",VLOOKUP(B86,RésultatsV!$L$10:$O$248,4,0))</f>
        <v>0</v>
      </c>
      <c r="K86" s="136">
        <f>IF(ISNA(VLOOKUP(B86,RésultatsV!$L$10:$O$248,2,0)),"0",VLOOKUP(B86,RésultatsV!$L$10:$O$248,2,0))</f>
        <v>0</v>
      </c>
      <c r="L86" s="136">
        <f>IF(ISNA(VLOOKUP(B86,RésultatsV!$Q$10:$T$248,3,0)),"0",VLOOKUP(B86,RésultatsV!$Q$10:$T$248,3,0))</f>
        <v>0</v>
      </c>
      <c r="M86" s="136">
        <f>IF(ISNA(VLOOKUP(B86,RésultatsV!$Q$10:$T$248,4,0)),"0",VLOOKUP(B86,RésultatsV!$Q$10:$T$248,4,0))</f>
        <v>0</v>
      </c>
      <c r="N86" s="136">
        <f>IF(ISNA(VLOOKUP(B86,RésultatsV!$Q$10:$T$248,2,0)),"0",VLOOKUP(B86,RésultatsV!$Q$10:$T$248,2,0))</f>
        <v>0</v>
      </c>
      <c r="O86" s="136">
        <f>IF(ISNA(VLOOKUP(B86,RésultatsV!$V$10:$Y$248,3,0)),"0",VLOOKUP(B86,RésultatsV!$V$10:$Y$248,3,0))</f>
        <v>0</v>
      </c>
      <c r="P86" s="136">
        <f>IF(ISNA(VLOOKUP(B86,RésultatsV!$V$10:$Y$248,4,0)),"0",VLOOKUP(B86,RésultatsV!$V$10:$Y$248,4,0))</f>
        <v>0</v>
      </c>
      <c r="Q86" s="136">
        <f>IF(ISNA(VLOOKUP(E86,RésultatsV!$V$10:$Y$248,2,0)),"0",VLOOKUP(E86,RésultatsV!$V$10:$Y$248,2,0))</f>
        <v>0</v>
      </c>
      <c r="R86" s="136">
        <f>IF(ISNA(VLOOKUP(B86,RésultatsV!$AA$10:$AD$248,3,0)),"0",VLOOKUP(B86,RésultatsV!$AA$10:$AD$248,3,0))</f>
        <v>0</v>
      </c>
      <c r="S86" s="136">
        <f>IF(ISNA(VLOOKUP(B86,RésultatsV!$AA$10:$AD$248,4,0)),"0",VLOOKUP(B86,RésultatsV!$AA$10:$AD$248,4,0))</f>
        <v>0</v>
      </c>
      <c r="T86" s="136">
        <f>IF(ISNA(VLOOKUP(B86,RésultatsV!$AA$10:$AD$248,2,0)),"0",VLOOKUP(B86,RésultatsV!$AA$10:$AD$248,2,0))</f>
        <v>0</v>
      </c>
      <c r="U86" s="110">
        <f t="shared" si="19"/>
        <v>0</v>
      </c>
      <c r="V86" s="103">
        <f t="shared" si="20"/>
        <v>0</v>
      </c>
      <c r="W86" s="106">
        <f t="shared" si="23"/>
        <v>0</v>
      </c>
      <c r="X86" s="61">
        <f t="shared" si="26"/>
        <v>0</v>
      </c>
      <c r="Y86" s="52">
        <f t="shared" ref="Y86:Y125" si="27">IF(V86="","",IF(V86&gt;0,V86,0))</f>
        <v>0</v>
      </c>
      <c r="Z86" s="104">
        <f t="shared" si="24"/>
        <v>23.000158859999999</v>
      </c>
      <c r="AA86" s="115">
        <f>IF(B86="","",SMALL(Z$6:Z$185,ROWS(AD$6:AD86)))</f>
        <v>23.000158799999998</v>
      </c>
      <c r="AB86" s="270"/>
      <c r="AC86" s="4">
        <f>IF(OR(B86="",U86=""),"",INDEX($B$6:$B$185,MATCH(AA86,$Z$6:Z$185,0)))</f>
        <v>0</v>
      </c>
      <c r="AD86" s="4">
        <f t="shared" si="21"/>
        <v>0</v>
      </c>
      <c r="AE86" s="4">
        <f t="shared" si="22"/>
        <v>0</v>
      </c>
      <c r="AF86" s="113">
        <f t="shared" si="25"/>
        <v>0</v>
      </c>
      <c r="AG86" s="271">
        <f>IF(AA86="","",IF(AND(AD85=AD86,AE85=AE86,AF85=AF86),AG85,$AG$6+80))</f>
        <v>23</v>
      </c>
      <c r="AH86" s="34"/>
      <c r="AI86" s="92"/>
    </row>
    <row r="87" spans="1:35" s="23" customFormat="1" ht="18" customHeight="1">
      <c r="A87" s="282">
        <v>82</v>
      </c>
      <c r="B87" s="283">
        <f>+'Joueurs et TirageV'!E28</f>
        <v>0</v>
      </c>
      <c r="C87" s="136" t="str">
        <f>IF(ISNA(VLOOKUP(B87,RésultatsV!$B$10:$E$248,3,0)),"0",VLOOKUP(B87,RésultatsV!$B$10:$E$248,3,0))</f>
        <v>0</v>
      </c>
      <c r="D87" s="136">
        <f>IF(ISNA(VLOOKUP(B87,RésultatsV!$B$10:$E$248,4,0)),"0",VLOOKUP(B87,RésultatsV!$B$10:$E$248,4,0))</f>
        <v>0</v>
      </c>
      <c r="E87" s="136">
        <f>IF(ISNA(VLOOKUP(B87,RésultatsV!$B$10:$E$248,2,0)),"0",VLOOKUP(B87,RésultatsV!$B$10:$E$248,2,0))</f>
        <v>0</v>
      </c>
      <c r="F87" s="136">
        <f>IF(ISNA(VLOOKUP(B87,RésultatsV!$G$10:$J$248,3,0)),"0",VLOOKUP(B87,RésultatsV!$G$10:$J$248,3,0))</f>
        <v>0</v>
      </c>
      <c r="G87" s="136">
        <f>IF(ISNA(VLOOKUP(B87,RésultatsV!$G$10:$J$248,4,0)),"0",VLOOKUP(B87,RésultatsV!$G$10:$J$248,4,0))</f>
        <v>0</v>
      </c>
      <c r="H87" s="136">
        <f>IF(ISNA(VLOOKUP(B87,RésultatsV!$G$10:$J$248,2,0)),"0",VLOOKUP(B87,RésultatsV!$G$10:$J$248,2,0))</f>
        <v>0</v>
      </c>
      <c r="I87" s="136">
        <f>IF(ISNA(VLOOKUP(B87,RésultatsV!$L$10:$O$248,3,0)),"0",VLOOKUP(B87,RésultatsV!$L$10:$O$248,3,0))</f>
        <v>0</v>
      </c>
      <c r="J87" s="136">
        <f>IF(ISNA(VLOOKUP(B87,RésultatsV!$L$10:$O$248,4,0)),"0",VLOOKUP(B87,RésultatsV!$L$10:$O$248,4,0))</f>
        <v>0</v>
      </c>
      <c r="K87" s="136">
        <f>IF(ISNA(VLOOKUP(B87,RésultatsV!$L$10:$O$248,2,0)),"0",VLOOKUP(B87,RésultatsV!$L$10:$O$248,2,0))</f>
        <v>0</v>
      </c>
      <c r="L87" s="136">
        <f>IF(ISNA(VLOOKUP(B87,RésultatsV!$Q$10:$T$248,3,0)),"0",VLOOKUP(B87,RésultatsV!$Q$10:$T$248,3,0))</f>
        <v>0</v>
      </c>
      <c r="M87" s="136">
        <f>IF(ISNA(VLOOKUP(B87,RésultatsV!$Q$10:$T$248,4,0)),"0",VLOOKUP(B87,RésultatsV!$Q$10:$T$248,4,0))</f>
        <v>0</v>
      </c>
      <c r="N87" s="136">
        <f>IF(ISNA(VLOOKUP(B87,RésultatsV!$Q$10:$T$248,2,0)),"0",VLOOKUP(B87,RésultatsV!$Q$10:$T$248,2,0))</f>
        <v>0</v>
      </c>
      <c r="O87" s="136">
        <f>IF(ISNA(VLOOKUP(B87,RésultatsV!$V$10:$Y$248,3,0)),"0",VLOOKUP(B87,RésultatsV!$V$10:$Y$248,3,0))</f>
        <v>0</v>
      </c>
      <c r="P87" s="136">
        <f>IF(ISNA(VLOOKUP(B87,RésultatsV!$V$10:$Y$248,4,0)),"0",VLOOKUP(B87,RésultatsV!$V$10:$Y$248,4,0))</f>
        <v>0</v>
      </c>
      <c r="Q87" s="136">
        <f>IF(ISNA(VLOOKUP(E87,RésultatsV!$V$10:$Y$248,2,0)),"0",VLOOKUP(E87,RésultatsV!$V$10:$Y$248,2,0))</f>
        <v>0</v>
      </c>
      <c r="R87" s="136">
        <f>IF(ISNA(VLOOKUP(B87,RésultatsV!$AA$10:$AD$248,3,0)),"0",VLOOKUP(B87,RésultatsV!$AA$10:$AD$248,3,0))</f>
        <v>0</v>
      </c>
      <c r="S87" s="136">
        <f>IF(ISNA(VLOOKUP(B87,RésultatsV!$AA$10:$AD$248,4,0)),"0",VLOOKUP(B87,RésultatsV!$AA$10:$AD$248,4,0))</f>
        <v>0</v>
      </c>
      <c r="T87" s="136">
        <f>IF(ISNA(VLOOKUP(B87,RésultatsV!$AA$10:$AD$248,2,0)),"0",VLOOKUP(B87,RésultatsV!$AA$10:$AD$248,2,0))</f>
        <v>0</v>
      </c>
      <c r="U87" s="110">
        <f t="shared" si="19"/>
        <v>0</v>
      </c>
      <c r="V87" s="103">
        <f t="shared" si="20"/>
        <v>0</v>
      </c>
      <c r="W87" s="106">
        <f t="shared" si="23"/>
        <v>0</v>
      </c>
      <c r="X87" s="61">
        <f t="shared" si="26"/>
        <v>0</v>
      </c>
      <c r="Y87" s="52">
        <f t="shared" si="27"/>
        <v>0</v>
      </c>
      <c r="Z87" s="104">
        <f t="shared" si="24"/>
        <v>23.00015887</v>
      </c>
      <c r="AA87" s="115">
        <f>IF(B87="","",SMALL(Z$6:Z$185,ROWS(AD$6:AD87)))</f>
        <v>23.000158809999999</v>
      </c>
      <c r="AB87" s="270"/>
      <c r="AC87" s="4">
        <f>IF(OR(B87="",U87=""),"",INDEX($B$6:$B$185,MATCH(AA87,$Z$6:Z$185,0)))</f>
        <v>0</v>
      </c>
      <c r="AD87" s="4">
        <f t="shared" si="21"/>
        <v>0</v>
      </c>
      <c r="AE87" s="4">
        <f t="shared" si="22"/>
        <v>0</v>
      </c>
      <c r="AF87" s="113">
        <f t="shared" si="25"/>
        <v>0</v>
      </c>
      <c r="AG87" s="271">
        <f>IF(AA87="","",IF(AND(AD86=AD87,AE86=AE87,AF86=AF87),AG86,$AG$6+81))</f>
        <v>23</v>
      </c>
      <c r="AH87" s="34"/>
      <c r="AI87" s="92"/>
    </row>
    <row r="88" spans="1:35" s="23" customFormat="1" ht="18" customHeight="1">
      <c r="A88" s="282">
        <v>83</v>
      </c>
      <c r="B88" s="283">
        <f>+'Joueurs et TirageV'!E29</f>
        <v>0</v>
      </c>
      <c r="C88" s="136" t="str">
        <f>IF(ISNA(VLOOKUP(B88,RésultatsV!$B$10:$E$248,3,0)),"0",VLOOKUP(B88,RésultatsV!$B$10:$E$248,3,0))</f>
        <v>0</v>
      </c>
      <c r="D88" s="136">
        <f>IF(ISNA(VLOOKUP(B88,RésultatsV!$B$10:$E$248,4,0)),"0",VLOOKUP(B88,RésultatsV!$B$10:$E$248,4,0))</f>
        <v>0</v>
      </c>
      <c r="E88" s="136">
        <f>IF(ISNA(VLOOKUP(B88,RésultatsV!$B$10:$E$248,2,0)),"0",VLOOKUP(B88,RésultatsV!$B$10:$E$248,2,0))</f>
        <v>0</v>
      </c>
      <c r="F88" s="136">
        <f>IF(ISNA(VLOOKUP(B88,RésultatsV!$G$10:$J$248,3,0)),"0",VLOOKUP(B88,RésultatsV!$G$10:$J$248,3,0))</f>
        <v>0</v>
      </c>
      <c r="G88" s="136">
        <f>IF(ISNA(VLOOKUP(B88,RésultatsV!$G$10:$J$248,4,0)),"0",VLOOKUP(B88,RésultatsV!$G$10:$J$248,4,0))</f>
        <v>0</v>
      </c>
      <c r="H88" s="136">
        <f>IF(ISNA(VLOOKUP(B88,RésultatsV!$G$10:$J$248,2,0)),"0",VLOOKUP(B88,RésultatsV!$G$10:$J$248,2,0))</f>
        <v>0</v>
      </c>
      <c r="I88" s="136">
        <f>IF(ISNA(VLOOKUP(B88,RésultatsV!$L$10:$O$248,3,0)),"0",VLOOKUP(B88,RésultatsV!$L$10:$O$248,3,0))</f>
        <v>0</v>
      </c>
      <c r="J88" s="136">
        <f>IF(ISNA(VLOOKUP(B88,RésultatsV!$L$10:$O$248,4,0)),"0",VLOOKUP(B88,RésultatsV!$L$10:$O$248,4,0))</f>
        <v>0</v>
      </c>
      <c r="K88" s="136">
        <f>IF(ISNA(VLOOKUP(B88,RésultatsV!$L$10:$O$248,2,0)),"0",VLOOKUP(B88,RésultatsV!$L$10:$O$248,2,0))</f>
        <v>0</v>
      </c>
      <c r="L88" s="136">
        <f>IF(ISNA(VLOOKUP(B88,RésultatsV!$Q$10:$T$248,3,0)),"0",VLOOKUP(B88,RésultatsV!$Q$10:$T$248,3,0))</f>
        <v>0</v>
      </c>
      <c r="M88" s="136">
        <f>IF(ISNA(VLOOKUP(B88,RésultatsV!$Q$10:$T$248,4,0)),"0",VLOOKUP(B88,RésultatsV!$Q$10:$T$248,4,0))</f>
        <v>0</v>
      </c>
      <c r="N88" s="136">
        <f>IF(ISNA(VLOOKUP(B88,RésultatsV!$Q$10:$T$248,2,0)),"0",VLOOKUP(B88,RésultatsV!$Q$10:$T$248,2,0))</f>
        <v>0</v>
      </c>
      <c r="O88" s="136">
        <f>IF(ISNA(VLOOKUP(B88,RésultatsV!$V$10:$Y$248,3,0)),"0",VLOOKUP(B88,RésultatsV!$V$10:$Y$248,3,0))</f>
        <v>0</v>
      </c>
      <c r="P88" s="136">
        <f>IF(ISNA(VLOOKUP(B88,RésultatsV!$V$10:$Y$248,4,0)),"0",VLOOKUP(B88,RésultatsV!$V$10:$Y$248,4,0))</f>
        <v>0</v>
      </c>
      <c r="Q88" s="136">
        <f>IF(ISNA(VLOOKUP(E88,RésultatsV!$V$10:$Y$248,2,0)),"0",VLOOKUP(E88,RésultatsV!$V$10:$Y$248,2,0))</f>
        <v>0</v>
      </c>
      <c r="R88" s="136">
        <f>IF(ISNA(VLOOKUP(B88,RésultatsV!$AA$10:$AD$248,3,0)),"0",VLOOKUP(B88,RésultatsV!$AA$10:$AD$248,3,0))</f>
        <v>0</v>
      </c>
      <c r="S88" s="136">
        <f>IF(ISNA(VLOOKUP(B88,RésultatsV!$AA$10:$AD$248,4,0)),"0",VLOOKUP(B88,RésultatsV!$AA$10:$AD$248,4,0))</f>
        <v>0</v>
      </c>
      <c r="T88" s="136">
        <f>IF(ISNA(VLOOKUP(B88,RésultatsV!$AA$10:$AD$248,2,0)),"0",VLOOKUP(B88,RésultatsV!$AA$10:$AD$248,2,0))</f>
        <v>0</v>
      </c>
      <c r="U88" s="110">
        <f t="shared" si="19"/>
        <v>0</v>
      </c>
      <c r="V88" s="103">
        <f t="shared" si="20"/>
        <v>0</v>
      </c>
      <c r="W88" s="106">
        <f t="shared" si="23"/>
        <v>0</v>
      </c>
      <c r="X88" s="61">
        <f t="shared" si="26"/>
        <v>0</v>
      </c>
      <c r="Y88" s="52">
        <f t="shared" si="27"/>
        <v>0</v>
      </c>
      <c r="Z88" s="104">
        <f t="shared" si="24"/>
        <v>23.000158880000001</v>
      </c>
      <c r="AA88" s="115">
        <f>IF(B88="","",SMALL(Z$6:Z$185,ROWS(AD$6:AD88)))</f>
        <v>23.000158819999999</v>
      </c>
      <c r="AB88" s="270"/>
      <c r="AC88" s="4">
        <f>IF(OR(B88="",U88=""),"",INDEX($B$6:$B$185,MATCH(AA88,$Z$6:Z$185,0)))</f>
        <v>0</v>
      </c>
      <c r="AD88" s="4">
        <f t="shared" si="21"/>
        <v>0</v>
      </c>
      <c r="AE88" s="4">
        <f t="shared" si="22"/>
        <v>0</v>
      </c>
      <c r="AF88" s="113">
        <f t="shared" si="25"/>
        <v>0</v>
      </c>
      <c r="AG88" s="271">
        <f>IF(AA88="","",IF(AND(AD87=AD88,AE87=AE88,AF87=AF88),AG87,$AG$6+82))</f>
        <v>23</v>
      </c>
      <c r="AH88" s="34"/>
      <c r="AI88" s="92"/>
    </row>
    <row r="89" spans="1:35" s="23" customFormat="1" ht="18" customHeight="1">
      <c r="A89" s="282">
        <v>84</v>
      </c>
      <c r="B89" s="283">
        <f>+'Joueurs et TirageV'!E30</f>
        <v>0</v>
      </c>
      <c r="C89" s="136" t="str">
        <f>IF(ISNA(VLOOKUP(B89,RésultatsV!$B$10:$E$248,3,0)),"0",VLOOKUP(B89,RésultatsV!$B$10:$E$248,3,0))</f>
        <v>0</v>
      </c>
      <c r="D89" s="136">
        <f>IF(ISNA(VLOOKUP(B89,RésultatsV!$B$10:$E$248,4,0)),"0",VLOOKUP(B89,RésultatsV!$B$10:$E$248,4,0))</f>
        <v>0</v>
      </c>
      <c r="E89" s="136">
        <f>IF(ISNA(VLOOKUP(B89,RésultatsV!$B$10:$E$248,2,0)),"0",VLOOKUP(B89,RésultatsV!$B$10:$E$248,2,0))</f>
        <v>0</v>
      </c>
      <c r="F89" s="136">
        <f>IF(ISNA(VLOOKUP(B89,RésultatsV!$G$10:$J$248,3,0)),"0",VLOOKUP(B89,RésultatsV!$G$10:$J$248,3,0))</f>
        <v>0</v>
      </c>
      <c r="G89" s="136">
        <f>IF(ISNA(VLOOKUP(B89,RésultatsV!$G$10:$J$248,4,0)),"0",VLOOKUP(B89,RésultatsV!$G$10:$J$248,4,0))</f>
        <v>0</v>
      </c>
      <c r="H89" s="136">
        <f>IF(ISNA(VLOOKUP(B89,RésultatsV!$G$10:$J$248,2,0)),"0",VLOOKUP(B89,RésultatsV!$G$10:$J$248,2,0))</f>
        <v>0</v>
      </c>
      <c r="I89" s="136">
        <f>IF(ISNA(VLOOKUP(B89,RésultatsV!$L$10:$O$248,3,0)),"0",VLOOKUP(B89,RésultatsV!$L$10:$O$248,3,0))</f>
        <v>0</v>
      </c>
      <c r="J89" s="136">
        <f>IF(ISNA(VLOOKUP(B89,RésultatsV!$L$10:$O$248,4,0)),"0",VLOOKUP(B89,RésultatsV!$L$10:$O$248,4,0))</f>
        <v>0</v>
      </c>
      <c r="K89" s="136">
        <f>IF(ISNA(VLOOKUP(B89,RésultatsV!$L$10:$O$248,2,0)),"0",VLOOKUP(B89,RésultatsV!$L$10:$O$248,2,0))</f>
        <v>0</v>
      </c>
      <c r="L89" s="136">
        <f>IF(ISNA(VLOOKUP(B89,RésultatsV!$Q$10:$T$248,3,0)),"0",VLOOKUP(B89,RésultatsV!$Q$10:$T$248,3,0))</f>
        <v>0</v>
      </c>
      <c r="M89" s="136">
        <f>IF(ISNA(VLOOKUP(B89,RésultatsV!$Q$10:$T$248,4,0)),"0",VLOOKUP(B89,RésultatsV!$Q$10:$T$248,4,0))</f>
        <v>0</v>
      </c>
      <c r="N89" s="136">
        <f>IF(ISNA(VLOOKUP(B89,RésultatsV!$Q$10:$T$248,2,0)),"0",VLOOKUP(B89,RésultatsV!$Q$10:$T$248,2,0))</f>
        <v>0</v>
      </c>
      <c r="O89" s="136">
        <f>IF(ISNA(VLOOKUP(B89,RésultatsV!$V$10:$Y$248,3,0)),"0",VLOOKUP(B89,RésultatsV!$V$10:$Y$248,3,0))</f>
        <v>0</v>
      </c>
      <c r="P89" s="136">
        <f>IF(ISNA(VLOOKUP(B89,RésultatsV!$V$10:$Y$248,4,0)),"0",VLOOKUP(B89,RésultatsV!$V$10:$Y$248,4,0))</f>
        <v>0</v>
      </c>
      <c r="Q89" s="136">
        <f>IF(ISNA(VLOOKUP(E89,RésultatsV!$V$10:$Y$248,2,0)),"0",VLOOKUP(E89,RésultatsV!$V$10:$Y$248,2,0))</f>
        <v>0</v>
      </c>
      <c r="R89" s="136">
        <f>IF(ISNA(VLOOKUP(B89,RésultatsV!$AA$10:$AD$248,3,0)),"0",VLOOKUP(B89,RésultatsV!$AA$10:$AD$248,3,0))</f>
        <v>0</v>
      </c>
      <c r="S89" s="136">
        <f>IF(ISNA(VLOOKUP(B89,RésultatsV!$AA$10:$AD$248,4,0)),"0",VLOOKUP(B89,RésultatsV!$AA$10:$AD$248,4,0))</f>
        <v>0</v>
      </c>
      <c r="T89" s="136">
        <f>IF(ISNA(VLOOKUP(B89,RésultatsV!$AA$10:$AD$248,2,0)),"0",VLOOKUP(B89,RésultatsV!$AA$10:$AD$248,2,0))</f>
        <v>0</v>
      </c>
      <c r="U89" s="110">
        <f t="shared" si="19"/>
        <v>0</v>
      </c>
      <c r="V89" s="103">
        <f t="shared" si="20"/>
        <v>0</v>
      </c>
      <c r="W89" s="106">
        <f t="shared" si="23"/>
        <v>0</v>
      </c>
      <c r="X89" s="61">
        <f t="shared" si="26"/>
        <v>0</v>
      </c>
      <c r="Y89" s="52">
        <f t="shared" si="27"/>
        <v>0</v>
      </c>
      <c r="Z89" s="104">
        <f t="shared" si="24"/>
        <v>23.000158889999998</v>
      </c>
      <c r="AA89" s="115">
        <f>IF(B89="","",SMALL(Z$6:Z$185,ROWS(AD$6:AD89)))</f>
        <v>23.00015883</v>
      </c>
      <c r="AB89" s="270"/>
      <c r="AC89" s="4">
        <f>IF(OR(B89="",U89=""),"",INDEX($B$6:$B$185,MATCH(AA89,$Z$6:Z$185,0)))</f>
        <v>0</v>
      </c>
      <c r="AD89" s="4">
        <f t="shared" si="21"/>
        <v>0</v>
      </c>
      <c r="AE89" s="4">
        <f t="shared" si="22"/>
        <v>0</v>
      </c>
      <c r="AF89" s="113">
        <f t="shared" si="25"/>
        <v>0</v>
      </c>
      <c r="AG89" s="271">
        <f>IF(AA89="","",IF(AND(AD88=AD89,AE88=AE89,AF88=AF89),AG88,$AG$6+83))</f>
        <v>23</v>
      </c>
      <c r="AH89" s="34"/>
      <c r="AI89" s="92"/>
    </row>
    <row r="90" spans="1:35" s="23" customFormat="1" ht="18" customHeight="1">
      <c r="A90" s="282">
        <v>85</v>
      </c>
      <c r="B90" s="283">
        <f>+'Joueurs et TirageV'!E31</f>
        <v>0</v>
      </c>
      <c r="C90" s="136" t="str">
        <f>IF(ISNA(VLOOKUP(B90,RésultatsV!$B$10:$E$248,3,0)),"0",VLOOKUP(B90,RésultatsV!$B$10:$E$248,3,0))</f>
        <v>0</v>
      </c>
      <c r="D90" s="136">
        <f>IF(ISNA(VLOOKUP(B90,RésultatsV!$B$10:$E$248,4,0)),"0",VLOOKUP(B90,RésultatsV!$B$10:$E$248,4,0))</f>
        <v>0</v>
      </c>
      <c r="E90" s="136">
        <f>IF(ISNA(VLOOKUP(B90,RésultatsV!$B$10:$E$248,2,0)),"0",VLOOKUP(B90,RésultatsV!$B$10:$E$248,2,0))</f>
        <v>0</v>
      </c>
      <c r="F90" s="136">
        <f>IF(ISNA(VLOOKUP(B90,RésultatsV!$G$10:$J$248,3,0)),"0",VLOOKUP(B90,RésultatsV!$G$10:$J$248,3,0))</f>
        <v>0</v>
      </c>
      <c r="G90" s="136">
        <f>IF(ISNA(VLOOKUP(B90,RésultatsV!$G$10:$J$248,4,0)),"0",VLOOKUP(B90,RésultatsV!$G$10:$J$248,4,0))</f>
        <v>0</v>
      </c>
      <c r="H90" s="136">
        <f>IF(ISNA(VLOOKUP(B90,RésultatsV!$G$10:$J$248,2,0)),"0",VLOOKUP(B90,RésultatsV!$G$10:$J$248,2,0))</f>
        <v>0</v>
      </c>
      <c r="I90" s="136">
        <f>IF(ISNA(VLOOKUP(B90,RésultatsV!$L$10:$O$248,3,0)),"0",VLOOKUP(B90,RésultatsV!$L$10:$O$248,3,0))</f>
        <v>0</v>
      </c>
      <c r="J90" s="136">
        <f>IF(ISNA(VLOOKUP(B90,RésultatsV!$L$10:$O$248,4,0)),"0",VLOOKUP(B90,RésultatsV!$L$10:$O$248,4,0))</f>
        <v>0</v>
      </c>
      <c r="K90" s="136">
        <f>IF(ISNA(VLOOKUP(B90,RésultatsV!$L$10:$O$248,2,0)),"0",VLOOKUP(B90,RésultatsV!$L$10:$O$248,2,0))</f>
        <v>0</v>
      </c>
      <c r="L90" s="136">
        <f>IF(ISNA(VLOOKUP(B90,RésultatsV!$Q$10:$T$248,3,0)),"0",VLOOKUP(B90,RésultatsV!$Q$10:$T$248,3,0))</f>
        <v>0</v>
      </c>
      <c r="M90" s="136">
        <f>IF(ISNA(VLOOKUP(B90,RésultatsV!$Q$10:$T$248,4,0)),"0",VLOOKUP(B90,RésultatsV!$Q$10:$T$248,4,0))</f>
        <v>0</v>
      </c>
      <c r="N90" s="136">
        <f>IF(ISNA(VLOOKUP(B90,RésultatsV!$Q$10:$T$248,2,0)),"0",VLOOKUP(B90,RésultatsV!$Q$10:$T$248,2,0))</f>
        <v>0</v>
      </c>
      <c r="O90" s="136">
        <f>IF(ISNA(VLOOKUP(B90,RésultatsV!$V$10:$Y$248,3,0)),"0",VLOOKUP(B90,RésultatsV!$V$10:$Y$248,3,0))</f>
        <v>0</v>
      </c>
      <c r="P90" s="136">
        <f>IF(ISNA(VLOOKUP(B90,RésultatsV!$V$10:$Y$248,4,0)),"0",VLOOKUP(B90,RésultatsV!$V$10:$Y$248,4,0))</f>
        <v>0</v>
      </c>
      <c r="Q90" s="136">
        <f>IF(ISNA(VLOOKUP(E90,RésultatsV!$V$10:$Y$248,2,0)),"0",VLOOKUP(E90,RésultatsV!$V$10:$Y$248,2,0))</f>
        <v>0</v>
      </c>
      <c r="R90" s="136">
        <f>IF(ISNA(VLOOKUP(B90,RésultatsV!$AA$10:$AD$248,3,0)),"0",VLOOKUP(B90,RésultatsV!$AA$10:$AD$248,3,0))</f>
        <v>0</v>
      </c>
      <c r="S90" s="136">
        <f>IF(ISNA(VLOOKUP(B90,RésultatsV!$AA$10:$AD$248,4,0)),"0",VLOOKUP(B90,RésultatsV!$AA$10:$AD$248,4,0))</f>
        <v>0</v>
      </c>
      <c r="T90" s="136">
        <f>IF(ISNA(VLOOKUP(B90,RésultatsV!$AA$10:$AD$248,2,0)),"0",VLOOKUP(B90,RésultatsV!$AA$10:$AD$248,2,0))</f>
        <v>0</v>
      </c>
      <c r="U90" s="110">
        <f t="shared" si="19"/>
        <v>0</v>
      </c>
      <c r="V90" s="103">
        <f t="shared" si="20"/>
        <v>0</v>
      </c>
      <c r="W90" s="106">
        <f t="shared" si="23"/>
        <v>0</v>
      </c>
      <c r="X90" s="61">
        <f t="shared" si="26"/>
        <v>0</v>
      </c>
      <c r="Y90" s="52">
        <f t="shared" si="27"/>
        <v>0</v>
      </c>
      <c r="Z90" s="104">
        <f t="shared" si="24"/>
        <v>23.000158899999999</v>
      </c>
      <c r="AA90" s="115">
        <f>IF(B90="","",SMALL(Z$6:Z$185,ROWS(AD$6:AD90)))</f>
        <v>23.000158839999997</v>
      </c>
      <c r="AB90" s="270"/>
      <c r="AC90" s="4">
        <f>IF(OR(B90="",U90=""),"",INDEX($B$6:$B$185,MATCH(AA90,$Z$6:Z$185,0)))</f>
        <v>0</v>
      </c>
      <c r="AD90" s="4">
        <f t="shared" si="21"/>
        <v>0</v>
      </c>
      <c r="AE90" s="4">
        <f t="shared" si="22"/>
        <v>0</v>
      </c>
      <c r="AF90" s="113">
        <f t="shared" si="25"/>
        <v>0</v>
      </c>
      <c r="AG90" s="271">
        <f>IF(AA90="","",IF(AND(AD89=AD90,AE89=AE90,AF89=AF90),AG89,$AG$6+84))</f>
        <v>23</v>
      </c>
      <c r="AH90" s="34"/>
      <c r="AI90" s="92"/>
    </row>
    <row r="91" spans="1:35" s="23" customFormat="1" ht="18" customHeight="1">
      <c r="A91" s="282">
        <v>86</v>
      </c>
      <c r="B91" s="283">
        <f>+'Joueurs et TirageV'!E32</f>
        <v>0</v>
      </c>
      <c r="C91" s="136" t="str">
        <f>IF(ISNA(VLOOKUP(B91,RésultatsV!$B$10:$E$248,3,0)),"0",VLOOKUP(B91,RésultatsV!$B$10:$E$248,3,0))</f>
        <v>0</v>
      </c>
      <c r="D91" s="136">
        <f>IF(ISNA(VLOOKUP(B91,RésultatsV!$B$10:$E$248,4,0)),"0",VLOOKUP(B91,RésultatsV!$B$10:$E$248,4,0))</f>
        <v>0</v>
      </c>
      <c r="E91" s="136">
        <f>IF(ISNA(VLOOKUP(B91,RésultatsV!$B$10:$E$248,2,0)),"0",VLOOKUP(B91,RésultatsV!$B$10:$E$248,2,0))</f>
        <v>0</v>
      </c>
      <c r="F91" s="136">
        <f>IF(ISNA(VLOOKUP(B91,RésultatsV!$G$10:$J$248,3,0)),"0",VLOOKUP(B91,RésultatsV!$G$10:$J$248,3,0))</f>
        <v>0</v>
      </c>
      <c r="G91" s="136">
        <f>IF(ISNA(VLOOKUP(B91,RésultatsV!$G$10:$J$248,4,0)),"0",VLOOKUP(B91,RésultatsV!$G$10:$J$248,4,0))</f>
        <v>0</v>
      </c>
      <c r="H91" s="136">
        <f>IF(ISNA(VLOOKUP(B91,RésultatsV!$G$10:$J$248,2,0)),"0",VLOOKUP(B91,RésultatsV!$G$10:$J$248,2,0))</f>
        <v>0</v>
      </c>
      <c r="I91" s="136">
        <f>IF(ISNA(VLOOKUP(B91,RésultatsV!$L$10:$O$248,3,0)),"0",VLOOKUP(B91,RésultatsV!$L$10:$O$248,3,0))</f>
        <v>0</v>
      </c>
      <c r="J91" s="136">
        <f>IF(ISNA(VLOOKUP(B91,RésultatsV!$L$10:$O$248,4,0)),"0",VLOOKUP(B91,RésultatsV!$L$10:$O$248,4,0))</f>
        <v>0</v>
      </c>
      <c r="K91" s="136">
        <f>IF(ISNA(VLOOKUP(B91,RésultatsV!$L$10:$O$248,2,0)),"0",VLOOKUP(B91,RésultatsV!$L$10:$O$248,2,0))</f>
        <v>0</v>
      </c>
      <c r="L91" s="136">
        <f>IF(ISNA(VLOOKUP(B91,RésultatsV!$Q$10:$T$248,3,0)),"0",VLOOKUP(B91,RésultatsV!$Q$10:$T$248,3,0))</f>
        <v>0</v>
      </c>
      <c r="M91" s="136">
        <f>IF(ISNA(VLOOKUP(B91,RésultatsV!$Q$10:$T$248,4,0)),"0",VLOOKUP(B91,RésultatsV!$Q$10:$T$248,4,0))</f>
        <v>0</v>
      </c>
      <c r="N91" s="136">
        <f>IF(ISNA(VLOOKUP(B91,RésultatsV!$Q$10:$T$248,2,0)),"0",VLOOKUP(B91,RésultatsV!$Q$10:$T$248,2,0))</f>
        <v>0</v>
      </c>
      <c r="O91" s="136">
        <f>IF(ISNA(VLOOKUP(B91,RésultatsV!$V$10:$Y$248,3,0)),"0",VLOOKUP(B91,RésultatsV!$V$10:$Y$248,3,0))</f>
        <v>0</v>
      </c>
      <c r="P91" s="136">
        <f>IF(ISNA(VLOOKUP(B91,RésultatsV!$V$10:$Y$248,4,0)),"0",VLOOKUP(B91,RésultatsV!$V$10:$Y$248,4,0))</f>
        <v>0</v>
      </c>
      <c r="Q91" s="136">
        <f>IF(ISNA(VLOOKUP(E91,RésultatsV!$V$10:$Y$248,2,0)),"0",VLOOKUP(E91,RésultatsV!$V$10:$Y$248,2,0))</f>
        <v>0</v>
      </c>
      <c r="R91" s="136">
        <f>IF(ISNA(VLOOKUP(B91,RésultatsV!$AA$10:$AD$248,3,0)),"0",VLOOKUP(B91,RésultatsV!$AA$10:$AD$248,3,0))</f>
        <v>0</v>
      </c>
      <c r="S91" s="136">
        <f>IF(ISNA(VLOOKUP(B91,RésultatsV!$AA$10:$AD$248,4,0)),"0",VLOOKUP(B91,RésultatsV!$AA$10:$AD$248,4,0))</f>
        <v>0</v>
      </c>
      <c r="T91" s="136">
        <f>IF(ISNA(VLOOKUP(B91,RésultatsV!$AA$10:$AD$248,2,0)),"0",VLOOKUP(B91,RésultatsV!$AA$10:$AD$248,2,0))</f>
        <v>0</v>
      </c>
      <c r="U91" s="110">
        <f t="shared" si="19"/>
        <v>0</v>
      </c>
      <c r="V91" s="103">
        <f t="shared" si="20"/>
        <v>0</v>
      </c>
      <c r="W91" s="106">
        <f t="shared" si="23"/>
        <v>0</v>
      </c>
      <c r="X91" s="61">
        <f t="shared" si="26"/>
        <v>0</v>
      </c>
      <c r="Y91" s="52">
        <f t="shared" si="27"/>
        <v>0</v>
      </c>
      <c r="Z91" s="104">
        <f t="shared" si="24"/>
        <v>23.00015891</v>
      </c>
      <c r="AA91" s="115">
        <f>IF(B91="","",SMALL(Z$6:Z$185,ROWS(AD$6:AD91)))</f>
        <v>23.000158849999998</v>
      </c>
      <c r="AB91" s="270"/>
      <c r="AC91" s="4">
        <f>IF(OR(B91="",U91=""),"",INDEX($B$6:$B$185,MATCH(AA91,$Z$6:Z$185,0)))</f>
        <v>0</v>
      </c>
      <c r="AD91" s="4">
        <f t="shared" si="21"/>
        <v>0</v>
      </c>
      <c r="AE91" s="4">
        <f t="shared" si="22"/>
        <v>0</v>
      </c>
      <c r="AF91" s="113">
        <f t="shared" si="25"/>
        <v>0</v>
      </c>
      <c r="AG91" s="271">
        <f>IF(AA91="","",IF(AND(AD90=AD91,AE90=AE91,AF90=AF91),AG90,$AG$6+85))</f>
        <v>23</v>
      </c>
      <c r="AH91" s="34"/>
      <c r="AI91" s="92"/>
    </row>
    <row r="92" spans="1:35" s="23" customFormat="1" ht="18" customHeight="1">
      <c r="A92" s="282">
        <v>87</v>
      </c>
      <c r="B92" s="283">
        <f>+'Joueurs et TirageV'!E33</f>
        <v>0</v>
      </c>
      <c r="C92" s="136" t="str">
        <f>IF(ISNA(VLOOKUP(B92,RésultatsV!$B$10:$E$248,3,0)),"0",VLOOKUP(B92,RésultatsV!$B$10:$E$248,3,0))</f>
        <v>0</v>
      </c>
      <c r="D92" s="136">
        <f>IF(ISNA(VLOOKUP(B92,RésultatsV!$B$10:$E$248,4,0)),"0",VLOOKUP(B92,RésultatsV!$B$10:$E$248,4,0))</f>
        <v>0</v>
      </c>
      <c r="E92" s="136">
        <f>IF(ISNA(VLOOKUP(B92,RésultatsV!$B$10:$E$248,2,0)),"0",VLOOKUP(B92,RésultatsV!$B$10:$E$248,2,0))</f>
        <v>0</v>
      </c>
      <c r="F92" s="136">
        <f>IF(ISNA(VLOOKUP(B92,RésultatsV!$G$10:$J$248,3,0)),"0",VLOOKUP(B92,RésultatsV!$G$10:$J$248,3,0))</f>
        <v>0</v>
      </c>
      <c r="G92" s="136">
        <f>IF(ISNA(VLOOKUP(B92,RésultatsV!$G$10:$J$248,4,0)),"0",VLOOKUP(B92,RésultatsV!$G$10:$J$248,4,0))</f>
        <v>0</v>
      </c>
      <c r="H92" s="136">
        <f>IF(ISNA(VLOOKUP(B92,RésultatsV!$G$10:$J$248,2,0)),"0",VLOOKUP(B92,RésultatsV!$G$10:$J$248,2,0))</f>
        <v>0</v>
      </c>
      <c r="I92" s="136">
        <f>IF(ISNA(VLOOKUP(B92,RésultatsV!$L$10:$O$248,3,0)),"0",VLOOKUP(B92,RésultatsV!$L$10:$O$248,3,0))</f>
        <v>0</v>
      </c>
      <c r="J92" s="136">
        <f>IF(ISNA(VLOOKUP(B92,RésultatsV!$L$10:$O$248,4,0)),"0",VLOOKUP(B92,RésultatsV!$L$10:$O$248,4,0))</f>
        <v>0</v>
      </c>
      <c r="K92" s="136">
        <f>IF(ISNA(VLOOKUP(B92,RésultatsV!$L$10:$O$248,2,0)),"0",VLOOKUP(B92,RésultatsV!$L$10:$O$248,2,0))</f>
        <v>0</v>
      </c>
      <c r="L92" s="136">
        <f>IF(ISNA(VLOOKUP(B92,RésultatsV!$Q$10:$T$248,3,0)),"0",VLOOKUP(B92,RésultatsV!$Q$10:$T$248,3,0))</f>
        <v>0</v>
      </c>
      <c r="M92" s="136">
        <f>IF(ISNA(VLOOKUP(B92,RésultatsV!$Q$10:$T$248,4,0)),"0",VLOOKUP(B92,RésultatsV!$Q$10:$T$248,4,0))</f>
        <v>0</v>
      </c>
      <c r="N92" s="136">
        <f>IF(ISNA(VLOOKUP(B92,RésultatsV!$Q$10:$T$248,2,0)),"0",VLOOKUP(B92,RésultatsV!$Q$10:$T$248,2,0))</f>
        <v>0</v>
      </c>
      <c r="O92" s="136">
        <f>IF(ISNA(VLOOKUP(B92,RésultatsV!$V$10:$Y$248,3,0)),"0",VLOOKUP(B92,RésultatsV!$V$10:$Y$248,3,0))</f>
        <v>0</v>
      </c>
      <c r="P92" s="136">
        <f>IF(ISNA(VLOOKUP(B92,RésultatsV!$V$10:$Y$248,4,0)),"0",VLOOKUP(B92,RésultatsV!$V$10:$Y$248,4,0))</f>
        <v>0</v>
      </c>
      <c r="Q92" s="136">
        <f>IF(ISNA(VLOOKUP(E92,RésultatsV!$V$10:$Y$248,2,0)),"0",VLOOKUP(E92,RésultatsV!$V$10:$Y$248,2,0))</f>
        <v>0</v>
      </c>
      <c r="R92" s="136">
        <f>IF(ISNA(VLOOKUP(B92,RésultatsV!$AA$10:$AD$248,3,0)),"0",VLOOKUP(B92,RésultatsV!$AA$10:$AD$248,3,0))</f>
        <v>0</v>
      </c>
      <c r="S92" s="136">
        <f>IF(ISNA(VLOOKUP(B92,RésultatsV!$AA$10:$AD$248,4,0)),"0",VLOOKUP(B92,RésultatsV!$AA$10:$AD$248,4,0))</f>
        <v>0</v>
      </c>
      <c r="T92" s="136">
        <f>IF(ISNA(VLOOKUP(B92,RésultatsV!$AA$10:$AD$248,2,0)),"0",VLOOKUP(B92,RésultatsV!$AA$10:$AD$248,2,0))</f>
        <v>0</v>
      </c>
      <c r="U92" s="110">
        <f t="shared" si="19"/>
        <v>0</v>
      </c>
      <c r="V92" s="103">
        <f t="shared" si="20"/>
        <v>0</v>
      </c>
      <c r="W92" s="106">
        <f t="shared" si="23"/>
        <v>0</v>
      </c>
      <c r="X92" s="61">
        <f t="shared" si="26"/>
        <v>0</v>
      </c>
      <c r="Y92" s="52">
        <f t="shared" si="27"/>
        <v>0</v>
      </c>
      <c r="Z92" s="104">
        <f t="shared" si="24"/>
        <v>23.000158920000001</v>
      </c>
      <c r="AA92" s="115">
        <f>IF(B92="","",SMALL(Z$6:Z$185,ROWS(AD$6:AD92)))</f>
        <v>23.000158859999999</v>
      </c>
      <c r="AB92" s="270"/>
      <c r="AC92" s="4">
        <f>IF(OR(B92="",U92=""),"",INDEX($B$6:$B$185,MATCH(AA92,$Z$6:Z$185,0)))</f>
        <v>0</v>
      </c>
      <c r="AD92" s="4">
        <f t="shared" si="21"/>
        <v>0</v>
      </c>
      <c r="AE92" s="4">
        <f t="shared" si="22"/>
        <v>0</v>
      </c>
      <c r="AF92" s="113">
        <f t="shared" si="25"/>
        <v>0</v>
      </c>
      <c r="AG92" s="271">
        <f>IF(AA92="","",IF(AND(AD91=AD92,AE91=AE92,AF91=AF92),AG91,$AG$6+86))</f>
        <v>23</v>
      </c>
      <c r="AH92" s="34"/>
      <c r="AI92" s="92"/>
    </row>
    <row r="93" spans="1:35" s="23" customFormat="1" ht="18" customHeight="1">
      <c r="A93" s="282">
        <v>88</v>
      </c>
      <c r="B93" s="283">
        <f>+'Joueurs et TirageV'!E34</f>
        <v>0</v>
      </c>
      <c r="C93" s="136" t="str">
        <f>IF(ISNA(VLOOKUP(B93,RésultatsV!$B$10:$E$248,3,0)),"0",VLOOKUP(B93,RésultatsV!$B$10:$E$248,3,0))</f>
        <v>0</v>
      </c>
      <c r="D93" s="136">
        <f>IF(ISNA(VLOOKUP(B93,RésultatsV!$B$10:$E$248,4,0)),"0",VLOOKUP(B93,RésultatsV!$B$10:$E$248,4,0))</f>
        <v>0</v>
      </c>
      <c r="E93" s="136">
        <f>IF(ISNA(VLOOKUP(B93,RésultatsV!$B$10:$E$248,2,0)),"0",VLOOKUP(B93,RésultatsV!$B$10:$E$248,2,0))</f>
        <v>0</v>
      </c>
      <c r="F93" s="136">
        <f>IF(ISNA(VLOOKUP(B93,RésultatsV!$G$10:$J$248,3,0)),"0",VLOOKUP(B93,RésultatsV!$G$10:$J$248,3,0))</f>
        <v>0</v>
      </c>
      <c r="G93" s="136">
        <f>IF(ISNA(VLOOKUP(B93,RésultatsV!$G$10:$J$248,4,0)),"0",VLOOKUP(B93,RésultatsV!$G$10:$J$248,4,0))</f>
        <v>0</v>
      </c>
      <c r="H93" s="136">
        <f>IF(ISNA(VLOOKUP(B93,RésultatsV!$G$10:$J$248,2,0)),"0",VLOOKUP(B93,RésultatsV!$G$10:$J$248,2,0))</f>
        <v>0</v>
      </c>
      <c r="I93" s="136">
        <f>IF(ISNA(VLOOKUP(B93,RésultatsV!$L$10:$O$248,3,0)),"0",VLOOKUP(B93,RésultatsV!$L$10:$O$248,3,0))</f>
        <v>0</v>
      </c>
      <c r="J93" s="136">
        <f>IF(ISNA(VLOOKUP(B93,RésultatsV!$L$10:$O$248,4,0)),"0",VLOOKUP(B93,RésultatsV!$L$10:$O$248,4,0))</f>
        <v>0</v>
      </c>
      <c r="K93" s="136">
        <f>IF(ISNA(VLOOKUP(B93,RésultatsV!$L$10:$O$248,2,0)),"0",VLOOKUP(B93,RésultatsV!$L$10:$O$248,2,0))</f>
        <v>0</v>
      </c>
      <c r="L93" s="136">
        <f>IF(ISNA(VLOOKUP(B93,RésultatsV!$Q$10:$T$248,3,0)),"0",VLOOKUP(B93,RésultatsV!$Q$10:$T$248,3,0))</f>
        <v>0</v>
      </c>
      <c r="M93" s="136">
        <f>IF(ISNA(VLOOKUP(B93,RésultatsV!$Q$10:$T$248,4,0)),"0",VLOOKUP(B93,RésultatsV!$Q$10:$T$248,4,0))</f>
        <v>0</v>
      </c>
      <c r="N93" s="136">
        <f>IF(ISNA(VLOOKUP(B93,RésultatsV!$Q$10:$T$248,2,0)),"0",VLOOKUP(B93,RésultatsV!$Q$10:$T$248,2,0))</f>
        <v>0</v>
      </c>
      <c r="O93" s="136">
        <f>IF(ISNA(VLOOKUP(B93,RésultatsV!$V$10:$Y$248,3,0)),"0",VLOOKUP(B93,RésultatsV!$V$10:$Y$248,3,0))</f>
        <v>0</v>
      </c>
      <c r="P93" s="136">
        <f>IF(ISNA(VLOOKUP(B93,RésultatsV!$V$10:$Y$248,4,0)),"0",VLOOKUP(B93,RésultatsV!$V$10:$Y$248,4,0))</f>
        <v>0</v>
      </c>
      <c r="Q93" s="136">
        <f>IF(ISNA(VLOOKUP(E93,RésultatsV!$V$10:$Y$248,2,0)),"0",VLOOKUP(E93,RésultatsV!$V$10:$Y$248,2,0))</f>
        <v>0</v>
      </c>
      <c r="R93" s="136">
        <f>IF(ISNA(VLOOKUP(B93,RésultatsV!$AA$10:$AD$248,3,0)),"0",VLOOKUP(B93,RésultatsV!$AA$10:$AD$248,3,0))</f>
        <v>0</v>
      </c>
      <c r="S93" s="136">
        <f>IF(ISNA(VLOOKUP(B93,RésultatsV!$AA$10:$AD$248,4,0)),"0",VLOOKUP(B93,RésultatsV!$AA$10:$AD$248,4,0))</f>
        <v>0</v>
      </c>
      <c r="T93" s="136">
        <f>IF(ISNA(VLOOKUP(B93,RésultatsV!$AA$10:$AD$248,2,0)),"0",VLOOKUP(B93,RésultatsV!$AA$10:$AD$248,2,0))</f>
        <v>0</v>
      </c>
      <c r="U93" s="110">
        <f t="shared" si="19"/>
        <v>0</v>
      </c>
      <c r="V93" s="103">
        <f t="shared" si="20"/>
        <v>0</v>
      </c>
      <c r="W93" s="106">
        <f t="shared" si="23"/>
        <v>0</v>
      </c>
      <c r="X93" s="61">
        <f t="shared" si="26"/>
        <v>0</v>
      </c>
      <c r="Y93" s="52">
        <f t="shared" si="27"/>
        <v>0</v>
      </c>
      <c r="Z93" s="104">
        <f t="shared" si="24"/>
        <v>23.000158929999998</v>
      </c>
      <c r="AA93" s="115">
        <f>IF(B93="","",SMALL(Z$6:Z$185,ROWS(AD$6:AD93)))</f>
        <v>23.00015887</v>
      </c>
      <c r="AB93" s="270"/>
      <c r="AC93" s="4">
        <f>IF(OR(B93="",U93=""),"",INDEX($B$6:$B$185,MATCH(AA93,$Z$6:Z$185,0)))</f>
        <v>0</v>
      </c>
      <c r="AD93" s="4">
        <f t="shared" si="21"/>
        <v>0</v>
      </c>
      <c r="AE93" s="4">
        <f t="shared" si="22"/>
        <v>0</v>
      </c>
      <c r="AF93" s="113">
        <f t="shared" si="25"/>
        <v>0</v>
      </c>
      <c r="AG93" s="271">
        <f>IF(AA93="","",IF(AND(AD92=AD93,AE92=AE93,AF92=AF93),AG92,$AG$6+87))</f>
        <v>23</v>
      </c>
      <c r="AH93" s="34"/>
      <c r="AI93" s="92"/>
    </row>
    <row r="94" spans="1:35" s="23" customFormat="1" ht="18" customHeight="1">
      <c r="A94" s="282">
        <v>89</v>
      </c>
      <c r="B94" s="283">
        <f>+'Joueurs et TirageV'!E35</f>
        <v>0</v>
      </c>
      <c r="C94" s="136" t="str">
        <f>IF(ISNA(VLOOKUP(B94,RésultatsV!$B$10:$E$248,3,0)),"0",VLOOKUP(B94,RésultatsV!$B$10:$E$248,3,0))</f>
        <v>0</v>
      </c>
      <c r="D94" s="136">
        <f>IF(ISNA(VLOOKUP(B94,RésultatsV!$B$10:$E$248,4,0)),"0",VLOOKUP(B94,RésultatsV!$B$10:$E$248,4,0))</f>
        <v>0</v>
      </c>
      <c r="E94" s="136">
        <f>IF(ISNA(VLOOKUP(B94,RésultatsV!$B$10:$E$248,2,0)),"0",VLOOKUP(B94,RésultatsV!$B$10:$E$248,2,0))</f>
        <v>0</v>
      </c>
      <c r="F94" s="136">
        <f>IF(ISNA(VLOOKUP(B94,RésultatsV!$G$10:$J$248,3,0)),"0",VLOOKUP(B94,RésultatsV!$G$10:$J$248,3,0))</f>
        <v>0</v>
      </c>
      <c r="G94" s="136">
        <f>IF(ISNA(VLOOKUP(B94,RésultatsV!$G$10:$J$248,4,0)),"0",VLOOKUP(B94,RésultatsV!$G$10:$J$248,4,0))</f>
        <v>0</v>
      </c>
      <c r="H94" s="136">
        <f>IF(ISNA(VLOOKUP(B94,RésultatsV!$G$10:$J$248,2,0)),"0",VLOOKUP(B94,RésultatsV!$G$10:$J$248,2,0))</f>
        <v>0</v>
      </c>
      <c r="I94" s="136">
        <f>IF(ISNA(VLOOKUP(B94,RésultatsV!$L$10:$O$248,3,0)),"0",VLOOKUP(B94,RésultatsV!$L$10:$O$248,3,0))</f>
        <v>0</v>
      </c>
      <c r="J94" s="136">
        <f>IF(ISNA(VLOOKUP(B94,RésultatsV!$L$10:$O$248,4,0)),"0",VLOOKUP(B94,RésultatsV!$L$10:$O$248,4,0))</f>
        <v>0</v>
      </c>
      <c r="K94" s="136">
        <f>IF(ISNA(VLOOKUP(B94,RésultatsV!$L$10:$O$248,2,0)),"0",VLOOKUP(B94,RésultatsV!$L$10:$O$248,2,0))</f>
        <v>0</v>
      </c>
      <c r="L94" s="136">
        <f>IF(ISNA(VLOOKUP(B94,RésultatsV!$Q$10:$T$248,3,0)),"0",VLOOKUP(B94,RésultatsV!$Q$10:$T$248,3,0))</f>
        <v>0</v>
      </c>
      <c r="M94" s="136">
        <f>IF(ISNA(VLOOKUP(B94,RésultatsV!$Q$10:$T$248,4,0)),"0",VLOOKUP(B94,RésultatsV!$Q$10:$T$248,4,0))</f>
        <v>0</v>
      </c>
      <c r="N94" s="136">
        <f>IF(ISNA(VLOOKUP(B94,RésultatsV!$Q$10:$T$248,2,0)),"0",VLOOKUP(B94,RésultatsV!$Q$10:$T$248,2,0))</f>
        <v>0</v>
      </c>
      <c r="O94" s="136">
        <f>IF(ISNA(VLOOKUP(B94,RésultatsV!$V$10:$Y$248,3,0)),"0",VLOOKUP(B94,RésultatsV!$V$10:$Y$248,3,0))</f>
        <v>0</v>
      </c>
      <c r="P94" s="136">
        <f>IF(ISNA(VLOOKUP(B94,RésultatsV!$V$10:$Y$248,4,0)),"0",VLOOKUP(B94,RésultatsV!$V$10:$Y$248,4,0))</f>
        <v>0</v>
      </c>
      <c r="Q94" s="136">
        <f>IF(ISNA(VLOOKUP(E94,RésultatsV!$V$10:$Y$248,2,0)),"0",VLOOKUP(E94,RésultatsV!$V$10:$Y$248,2,0))</f>
        <v>0</v>
      </c>
      <c r="R94" s="136">
        <f>IF(ISNA(VLOOKUP(B94,RésultatsV!$AA$10:$AD$248,3,0)),"0",VLOOKUP(B94,RésultatsV!$AA$10:$AD$248,3,0))</f>
        <v>0</v>
      </c>
      <c r="S94" s="136">
        <f>IF(ISNA(VLOOKUP(B94,RésultatsV!$AA$10:$AD$248,4,0)),"0",VLOOKUP(B94,RésultatsV!$AA$10:$AD$248,4,0))</f>
        <v>0</v>
      </c>
      <c r="T94" s="136">
        <f>IF(ISNA(VLOOKUP(B94,RésultatsV!$AA$10:$AD$248,2,0)),"0",VLOOKUP(B94,RésultatsV!$AA$10:$AD$248,2,0))</f>
        <v>0</v>
      </c>
      <c r="U94" s="110">
        <f t="shared" si="19"/>
        <v>0</v>
      </c>
      <c r="V94" s="103">
        <f t="shared" si="20"/>
        <v>0</v>
      </c>
      <c r="W94" s="106">
        <f t="shared" si="23"/>
        <v>0</v>
      </c>
      <c r="X94" s="61">
        <f t="shared" si="26"/>
        <v>0</v>
      </c>
      <c r="Y94" s="52">
        <f t="shared" si="27"/>
        <v>0</v>
      </c>
      <c r="Z94" s="104">
        <f t="shared" si="24"/>
        <v>23.000158939999999</v>
      </c>
      <c r="AA94" s="115">
        <f>IF(B94="","",SMALL(Z$6:Z$185,ROWS(AD$6:AD94)))</f>
        <v>23.000158880000001</v>
      </c>
      <c r="AB94" s="270"/>
      <c r="AC94" s="4">
        <f>IF(OR(B94="",U94=""),"",INDEX($B$6:$B$185,MATCH(AA94,$Z$6:Z$185,0)))</f>
        <v>0</v>
      </c>
      <c r="AD94" s="4">
        <f t="shared" si="21"/>
        <v>0</v>
      </c>
      <c r="AE94" s="4">
        <f t="shared" si="22"/>
        <v>0</v>
      </c>
      <c r="AF94" s="113">
        <f t="shared" si="25"/>
        <v>0</v>
      </c>
      <c r="AG94" s="271">
        <f>IF(AA94="","",IF(AND(AD93=AD94,AE93=AE94,AF93=AF94),AG93,$AG$6+88))</f>
        <v>23</v>
      </c>
      <c r="AH94" s="34"/>
      <c r="AI94" s="92"/>
    </row>
    <row r="95" spans="1:35" s="23" customFormat="1" ht="18" customHeight="1">
      <c r="A95" s="282">
        <v>90</v>
      </c>
      <c r="B95" s="283">
        <f>+'Joueurs et TirageV'!E36</f>
        <v>0</v>
      </c>
      <c r="C95" s="136" t="str">
        <f>IF(ISNA(VLOOKUP(B95,RésultatsV!$B$10:$E$248,3,0)),"0",VLOOKUP(B95,RésultatsV!$B$10:$E$248,3,0))</f>
        <v>0</v>
      </c>
      <c r="D95" s="136">
        <f>IF(ISNA(VLOOKUP(B95,RésultatsV!$B$10:$E$248,4,0)),"0",VLOOKUP(B95,RésultatsV!$B$10:$E$248,4,0))</f>
        <v>0</v>
      </c>
      <c r="E95" s="136">
        <f>IF(ISNA(VLOOKUP(B95,RésultatsV!$B$10:$E$248,2,0)),"0",VLOOKUP(B95,RésultatsV!$B$10:$E$248,2,0))</f>
        <v>0</v>
      </c>
      <c r="F95" s="136">
        <f>IF(ISNA(VLOOKUP(B95,RésultatsV!$G$10:$J$248,3,0)),"0",VLOOKUP(B95,RésultatsV!$G$10:$J$248,3,0))</f>
        <v>0</v>
      </c>
      <c r="G95" s="136">
        <f>IF(ISNA(VLOOKUP(B95,RésultatsV!$G$10:$J$248,4,0)),"0",VLOOKUP(B95,RésultatsV!$G$10:$J$248,4,0))</f>
        <v>0</v>
      </c>
      <c r="H95" s="136">
        <f>IF(ISNA(VLOOKUP(B95,RésultatsV!$G$10:$J$248,2,0)),"0",VLOOKUP(B95,RésultatsV!$G$10:$J$248,2,0))</f>
        <v>0</v>
      </c>
      <c r="I95" s="136">
        <f>IF(ISNA(VLOOKUP(B95,RésultatsV!$L$10:$O$248,3,0)),"0",VLOOKUP(B95,RésultatsV!$L$10:$O$248,3,0))</f>
        <v>0</v>
      </c>
      <c r="J95" s="136">
        <f>IF(ISNA(VLOOKUP(B95,RésultatsV!$L$10:$O$248,4,0)),"0",VLOOKUP(B95,RésultatsV!$L$10:$O$248,4,0))</f>
        <v>0</v>
      </c>
      <c r="K95" s="136">
        <f>IF(ISNA(VLOOKUP(B95,RésultatsV!$L$10:$O$248,2,0)),"0",VLOOKUP(B95,RésultatsV!$L$10:$O$248,2,0))</f>
        <v>0</v>
      </c>
      <c r="L95" s="136">
        <f>IF(ISNA(VLOOKUP(B95,RésultatsV!$Q$10:$T$248,3,0)),"0",VLOOKUP(B95,RésultatsV!$Q$10:$T$248,3,0))</f>
        <v>0</v>
      </c>
      <c r="M95" s="136">
        <f>IF(ISNA(VLOOKUP(B95,RésultatsV!$Q$10:$T$248,4,0)),"0",VLOOKUP(B95,RésultatsV!$Q$10:$T$248,4,0))</f>
        <v>0</v>
      </c>
      <c r="N95" s="136">
        <f>IF(ISNA(VLOOKUP(B95,RésultatsV!$Q$10:$T$248,2,0)),"0",VLOOKUP(B95,RésultatsV!$Q$10:$T$248,2,0))</f>
        <v>0</v>
      </c>
      <c r="O95" s="136">
        <f>IF(ISNA(VLOOKUP(B95,RésultatsV!$V$10:$Y$248,3,0)),"0",VLOOKUP(B95,RésultatsV!$V$10:$Y$248,3,0))</f>
        <v>0</v>
      </c>
      <c r="P95" s="136">
        <f>IF(ISNA(VLOOKUP(B95,RésultatsV!$V$10:$Y$248,4,0)),"0",VLOOKUP(B95,RésultatsV!$V$10:$Y$248,4,0))</f>
        <v>0</v>
      </c>
      <c r="Q95" s="136">
        <f>IF(ISNA(VLOOKUP(E95,RésultatsV!$V$10:$Y$248,2,0)),"0",VLOOKUP(E95,RésultatsV!$V$10:$Y$248,2,0))</f>
        <v>0</v>
      </c>
      <c r="R95" s="136">
        <f>IF(ISNA(VLOOKUP(B95,RésultatsV!$AA$10:$AD$248,3,0)),"0",VLOOKUP(B95,RésultatsV!$AA$10:$AD$248,3,0))</f>
        <v>0</v>
      </c>
      <c r="S95" s="136">
        <f>IF(ISNA(VLOOKUP(B95,RésultatsV!$AA$10:$AD$248,4,0)),"0",VLOOKUP(B95,RésultatsV!$AA$10:$AD$248,4,0))</f>
        <v>0</v>
      </c>
      <c r="T95" s="136">
        <f>IF(ISNA(VLOOKUP(B95,RésultatsV!$AA$10:$AD$248,2,0)),"0",VLOOKUP(B95,RésultatsV!$AA$10:$AD$248,2,0))</f>
        <v>0</v>
      </c>
      <c r="U95" s="110">
        <f t="shared" si="19"/>
        <v>0</v>
      </c>
      <c r="V95" s="103">
        <f t="shared" si="20"/>
        <v>0</v>
      </c>
      <c r="W95" s="106">
        <f t="shared" si="23"/>
        <v>0</v>
      </c>
      <c r="X95" s="61">
        <f t="shared" si="26"/>
        <v>0</v>
      </c>
      <c r="Y95" s="52">
        <f t="shared" si="27"/>
        <v>0</v>
      </c>
      <c r="Z95" s="104">
        <f t="shared" si="24"/>
        <v>23.000158949999999</v>
      </c>
      <c r="AA95" s="115">
        <f>IF(B95="","",SMALL(Z$6:Z$185,ROWS(AD$6:AD95)))</f>
        <v>23.000158889999998</v>
      </c>
      <c r="AB95" s="270"/>
      <c r="AC95" s="4">
        <f>IF(OR(B95="",U95=""),"",INDEX($B$6:$B$185,MATCH(AA95,$Z$6:Z$185,0)))</f>
        <v>0</v>
      </c>
      <c r="AD95" s="4">
        <f t="shared" si="21"/>
        <v>0</v>
      </c>
      <c r="AE95" s="4">
        <f t="shared" si="22"/>
        <v>0</v>
      </c>
      <c r="AF95" s="113">
        <f t="shared" si="25"/>
        <v>0</v>
      </c>
      <c r="AG95" s="271">
        <f>IF(AA95="","",IF(AND(AD94=AD95,AE94=AE95,AF94=AF95),AG94,$AG$6+89))</f>
        <v>23</v>
      </c>
      <c r="AH95" s="34"/>
      <c r="AI95" s="92"/>
    </row>
    <row r="96" spans="1:35" s="23" customFormat="1" ht="18" customHeight="1">
      <c r="A96" s="282">
        <v>91</v>
      </c>
      <c r="B96" s="283">
        <f>+'Joueurs et TirageV'!E37</f>
        <v>0</v>
      </c>
      <c r="C96" s="136" t="str">
        <f>IF(ISNA(VLOOKUP(B96,RésultatsV!$B$10:$E$248,3,0)),"0",VLOOKUP(B96,RésultatsV!$B$10:$E$248,3,0))</f>
        <v>0</v>
      </c>
      <c r="D96" s="136">
        <f>IF(ISNA(VLOOKUP(B96,RésultatsV!$B$10:$E$248,4,0)),"0",VLOOKUP(B96,RésultatsV!$B$10:$E$248,4,0))</f>
        <v>0</v>
      </c>
      <c r="E96" s="136">
        <f>IF(ISNA(VLOOKUP(B96,RésultatsV!$B$10:$E$248,2,0)),"0",VLOOKUP(B96,RésultatsV!$B$10:$E$248,2,0))</f>
        <v>0</v>
      </c>
      <c r="F96" s="136">
        <f>IF(ISNA(VLOOKUP(B96,RésultatsV!$G$10:$J$248,3,0)),"0",VLOOKUP(B96,RésultatsV!$G$10:$J$248,3,0))</f>
        <v>0</v>
      </c>
      <c r="G96" s="136">
        <f>IF(ISNA(VLOOKUP(B96,RésultatsV!$G$10:$J$248,4,0)),"0",VLOOKUP(B96,RésultatsV!$G$10:$J$248,4,0))</f>
        <v>0</v>
      </c>
      <c r="H96" s="136">
        <f>IF(ISNA(VLOOKUP(B96,RésultatsV!$G$10:$J$248,2,0)),"0",VLOOKUP(B96,RésultatsV!$G$10:$J$248,2,0))</f>
        <v>0</v>
      </c>
      <c r="I96" s="136">
        <f>IF(ISNA(VLOOKUP(B96,RésultatsV!$L$10:$O$248,3,0)),"0",VLOOKUP(B96,RésultatsV!$L$10:$O$248,3,0))</f>
        <v>0</v>
      </c>
      <c r="J96" s="136">
        <f>IF(ISNA(VLOOKUP(B96,RésultatsV!$L$10:$O$248,4,0)),"0",VLOOKUP(B96,RésultatsV!$L$10:$O$248,4,0))</f>
        <v>0</v>
      </c>
      <c r="K96" s="136">
        <f>IF(ISNA(VLOOKUP(B96,RésultatsV!$L$10:$O$248,2,0)),"0",VLOOKUP(B96,RésultatsV!$L$10:$O$248,2,0))</f>
        <v>0</v>
      </c>
      <c r="L96" s="136">
        <f>IF(ISNA(VLOOKUP(B96,RésultatsV!$Q$10:$T$248,3,0)),"0",VLOOKUP(B96,RésultatsV!$Q$10:$T$248,3,0))</f>
        <v>0</v>
      </c>
      <c r="M96" s="136">
        <f>IF(ISNA(VLOOKUP(B96,RésultatsV!$Q$10:$T$248,4,0)),"0",VLOOKUP(B96,RésultatsV!$Q$10:$T$248,4,0))</f>
        <v>0</v>
      </c>
      <c r="N96" s="136">
        <f>IF(ISNA(VLOOKUP(B96,RésultatsV!$Q$10:$T$248,2,0)),"0",VLOOKUP(B96,RésultatsV!$Q$10:$T$248,2,0))</f>
        <v>0</v>
      </c>
      <c r="O96" s="136">
        <f>IF(ISNA(VLOOKUP(B96,RésultatsV!$V$10:$Y$248,3,0)),"0",VLOOKUP(B96,RésultatsV!$V$10:$Y$248,3,0))</f>
        <v>0</v>
      </c>
      <c r="P96" s="136">
        <f>IF(ISNA(VLOOKUP(B96,RésultatsV!$V$10:$Y$248,4,0)),"0",VLOOKUP(B96,RésultatsV!$V$10:$Y$248,4,0))</f>
        <v>0</v>
      </c>
      <c r="Q96" s="136">
        <f>IF(ISNA(VLOOKUP(E96,RésultatsV!$V$10:$Y$248,2,0)),"0",VLOOKUP(E96,RésultatsV!$V$10:$Y$248,2,0))</f>
        <v>0</v>
      </c>
      <c r="R96" s="136">
        <f>IF(ISNA(VLOOKUP(B96,RésultatsV!$AA$10:$AD$248,3,0)),"0",VLOOKUP(B96,RésultatsV!$AA$10:$AD$248,3,0))</f>
        <v>0</v>
      </c>
      <c r="S96" s="136">
        <f>IF(ISNA(VLOOKUP(B96,RésultatsV!$AA$10:$AD$248,4,0)),"0",VLOOKUP(B96,RésultatsV!$AA$10:$AD$248,4,0))</f>
        <v>0</v>
      </c>
      <c r="T96" s="136">
        <f>IF(ISNA(VLOOKUP(B96,RésultatsV!$AA$10:$AD$248,2,0)),"0",VLOOKUP(B96,RésultatsV!$AA$10:$AD$248,2,0))</f>
        <v>0</v>
      </c>
      <c r="U96" s="110">
        <f t="shared" si="19"/>
        <v>0</v>
      </c>
      <c r="V96" s="103">
        <f t="shared" si="20"/>
        <v>0</v>
      </c>
      <c r="W96" s="106">
        <f t="shared" si="23"/>
        <v>0</v>
      </c>
      <c r="X96" s="61">
        <f t="shared" si="26"/>
        <v>0</v>
      </c>
      <c r="Y96" s="52">
        <f t="shared" si="27"/>
        <v>0</v>
      </c>
      <c r="Z96" s="104">
        <f t="shared" si="24"/>
        <v>23.00015896</v>
      </c>
      <c r="AA96" s="115">
        <f>IF(B96="","",SMALL(Z$6:Z$185,ROWS(AD$6:AD96)))</f>
        <v>23.000158899999999</v>
      </c>
      <c r="AB96" s="270"/>
      <c r="AC96" s="4">
        <f>IF(OR(B96="",U96=""),"",INDEX($B$6:$B$185,MATCH(AA96,$Z$6:Z$185,0)))</f>
        <v>0</v>
      </c>
      <c r="AD96" s="4">
        <f t="shared" si="21"/>
        <v>0</v>
      </c>
      <c r="AE96" s="4">
        <f t="shared" si="22"/>
        <v>0</v>
      </c>
      <c r="AF96" s="113">
        <f t="shared" si="25"/>
        <v>0</v>
      </c>
      <c r="AG96" s="271">
        <f>IF(AA96="","",IF(AND(AD95=AD96,AE95=AE96,AF95=AF96),AG95,$AG$6+90))</f>
        <v>23</v>
      </c>
      <c r="AH96" s="34"/>
      <c r="AI96" s="92"/>
    </row>
    <row r="97" spans="1:36" s="23" customFormat="1" ht="18" customHeight="1">
      <c r="A97" s="282">
        <v>92</v>
      </c>
      <c r="B97" s="283">
        <f>+'Joueurs et TirageV'!E38</f>
        <v>0</v>
      </c>
      <c r="C97" s="136" t="str">
        <f>IF(ISNA(VLOOKUP(B97,RésultatsV!$B$10:$E$248,3,0)),"0",VLOOKUP(B97,RésultatsV!$B$10:$E$248,3,0))</f>
        <v>0</v>
      </c>
      <c r="D97" s="136">
        <f>IF(ISNA(VLOOKUP(B97,RésultatsV!$B$10:$E$248,4,0)),"0",VLOOKUP(B97,RésultatsV!$B$10:$E$248,4,0))</f>
        <v>0</v>
      </c>
      <c r="E97" s="136">
        <f>IF(ISNA(VLOOKUP(B97,RésultatsV!$B$10:$E$248,2,0)),"0",VLOOKUP(B97,RésultatsV!$B$10:$E$248,2,0))</f>
        <v>0</v>
      </c>
      <c r="F97" s="136">
        <f>IF(ISNA(VLOOKUP(B97,RésultatsV!$G$10:$J$248,3,0)),"0",VLOOKUP(B97,RésultatsV!$G$10:$J$248,3,0))</f>
        <v>0</v>
      </c>
      <c r="G97" s="136">
        <f>IF(ISNA(VLOOKUP(B97,RésultatsV!$G$10:$J$248,4,0)),"0",VLOOKUP(B97,RésultatsV!$G$10:$J$248,4,0))</f>
        <v>0</v>
      </c>
      <c r="H97" s="136">
        <f>IF(ISNA(VLOOKUP(B97,RésultatsV!$G$10:$J$248,2,0)),"0",VLOOKUP(B97,RésultatsV!$G$10:$J$248,2,0))</f>
        <v>0</v>
      </c>
      <c r="I97" s="136">
        <f>IF(ISNA(VLOOKUP(B97,RésultatsV!$L$10:$O$248,3,0)),"0",VLOOKUP(B97,RésultatsV!$L$10:$O$248,3,0))</f>
        <v>0</v>
      </c>
      <c r="J97" s="136">
        <f>IF(ISNA(VLOOKUP(B97,RésultatsV!$L$10:$O$248,4,0)),"0",VLOOKUP(B97,RésultatsV!$L$10:$O$248,4,0))</f>
        <v>0</v>
      </c>
      <c r="K97" s="136">
        <f>IF(ISNA(VLOOKUP(B97,RésultatsV!$L$10:$O$248,2,0)),"0",VLOOKUP(B97,RésultatsV!$L$10:$O$248,2,0))</f>
        <v>0</v>
      </c>
      <c r="L97" s="136">
        <f>IF(ISNA(VLOOKUP(B97,RésultatsV!$Q$10:$T$248,3,0)),"0",VLOOKUP(B97,RésultatsV!$Q$10:$T$248,3,0))</f>
        <v>0</v>
      </c>
      <c r="M97" s="136">
        <f>IF(ISNA(VLOOKUP(B97,RésultatsV!$Q$10:$T$248,4,0)),"0",VLOOKUP(B97,RésultatsV!$Q$10:$T$248,4,0))</f>
        <v>0</v>
      </c>
      <c r="N97" s="136">
        <f>IF(ISNA(VLOOKUP(B97,RésultatsV!$Q$10:$T$248,2,0)),"0",VLOOKUP(B97,RésultatsV!$Q$10:$T$248,2,0))</f>
        <v>0</v>
      </c>
      <c r="O97" s="136">
        <f>IF(ISNA(VLOOKUP(B97,RésultatsV!$V$10:$Y$248,3,0)),"0",VLOOKUP(B97,RésultatsV!$V$10:$Y$248,3,0))</f>
        <v>0</v>
      </c>
      <c r="P97" s="136">
        <f>IF(ISNA(VLOOKUP(B97,RésultatsV!$V$10:$Y$248,4,0)),"0",VLOOKUP(B97,RésultatsV!$V$10:$Y$248,4,0))</f>
        <v>0</v>
      </c>
      <c r="Q97" s="136">
        <f>IF(ISNA(VLOOKUP(E97,RésultatsV!$V$10:$Y$248,2,0)),"0",VLOOKUP(E97,RésultatsV!$V$10:$Y$248,2,0))</f>
        <v>0</v>
      </c>
      <c r="R97" s="136">
        <f>IF(ISNA(VLOOKUP(B97,RésultatsV!$AA$10:$AD$248,3,0)),"0",VLOOKUP(B97,RésultatsV!$AA$10:$AD$248,3,0))</f>
        <v>0</v>
      </c>
      <c r="S97" s="136">
        <f>IF(ISNA(VLOOKUP(B97,RésultatsV!$AA$10:$AD$248,4,0)),"0",VLOOKUP(B97,RésultatsV!$AA$10:$AD$248,4,0))</f>
        <v>0</v>
      </c>
      <c r="T97" s="136">
        <f>IF(ISNA(VLOOKUP(B97,RésultatsV!$AA$10:$AD$248,2,0)),"0",VLOOKUP(B97,RésultatsV!$AA$10:$AD$248,2,0))</f>
        <v>0</v>
      </c>
      <c r="U97" s="110">
        <f t="shared" si="19"/>
        <v>0</v>
      </c>
      <c r="V97" s="103">
        <f t="shared" si="20"/>
        <v>0</v>
      </c>
      <c r="W97" s="106">
        <f t="shared" si="23"/>
        <v>0</v>
      </c>
      <c r="X97" s="61">
        <f t="shared" si="26"/>
        <v>0</v>
      </c>
      <c r="Y97" s="52">
        <f t="shared" si="27"/>
        <v>0</v>
      </c>
      <c r="Z97" s="104">
        <f t="shared" si="24"/>
        <v>23.000158969999998</v>
      </c>
      <c r="AA97" s="115">
        <f>IF(B97="","",SMALL(Z$6:Z$185,ROWS(AD$6:AD97)))</f>
        <v>23.00015891</v>
      </c>
      <c r="AB97" s="270"/>
      <c r="AC97" s="4">
        <f>IF(OR(B97="",U97=""),"",INDEX($B$6:$B$185,MATCH(AA97,$Z$6:Z$185,0)))</f>
        <v>0</v>
      </c>
      <c r="AD97" s="4">
        <f t="shared" si="21"/>
        <v>0</v>
      </c>
      <c r="AE97" s="4">
        <f t="shared" si="22"/>
        <v>0</v>
      </c>
      <c r="AF97" s="113">
        <f t="shared" si="25"/>
        <v>0</v>
      </c>
      <c r="AG97" s="271">
        <f>IF(AA97="","",IF(AND(AD96=AD97,AE96=AE97,AF96=AF97),AG96,$AG$6+91))</f>
        <v>23</v>
      </c>
      <c r="AH97" s="34"/>
      <c r="AI97" s="92"/>
    </row>
    <row r="98" spans="1:36" s="23" customFormat="1" ht="18" customHeight="1">
      <c r="A98" s="282">
        <v>93</v>
      </c>
      <c r="B98" s="283">
        <f>+'Joueurs et TirageV'!E39</f>
        <v>0</v>
      </c>
      <c r="C98" s="136" t="str">
        <f>IF(ISNA(VLOOKUP(B98,RésultatsV!$B$10:$E$248,3,0)),"0",VLOOKUP(B98,RésultatsV!$B$10:$E$248,3,0))</f>
        <v>0</v>
      </c>
      <c r="D98" s="136">
        <f>IF(ISNA(VLOOKUP(B98,RésultatsV!$B$10:$E$248,4,0)),"0",VLOOKUP(B98,RésultatsV!$B$10:$E$248,4,0))</f>
        <v>0</v>
      </c>
      <c r="E98" s="136">
        <f>IF(ISNA(VLOOKUP(B98,RésultatsV!$B$10:$E$248,2,0)),"0",VLOOKUP(B98,RésultatsV!$B$10:$E$248,2,0))</f>
        <v>0</v>
      </c>
      <c r="F98" s="136">
        <f>IF(ISNA(VLOOKUP(B98,RésultatsV!$G$10:$J$248,3,0)),"0",VLOOKUP(B98,RésultatsV!$G$10:$J$248,3,0))</f>
        <v>0</v>
      </c>
      <c r="G98" s="136">
        <f>IF(ISNA(VLOOKUP(B98,RésultatsV!$G$10:$J$248,4,0)),"0",VLOOKUP(B98,RésultatsV!$G$10:$J$248,4,0))</f>
        <v>0</v>
      </c>
      <c r="H98" s="136">
        <f>IF(ISNA(VLOOKUP(B98,RésultatsV!$G$10:$J$248,2,0)),"0",VLOOKUP(B98,RésultatsV!$G$10:$J$248,2,0))</f>
        <v>0</v>
      </c>
      <c r="I98" s="136">
        <f>IF(ISNA(VLOOKUP(B98,RésultatsV!$L$10:$O$248,3,0)),"0",VLOOKUP(B98,RésultatsV!$L$10:$O$248,3,0))</f>
        <v>0</v>
      </c>
      <c r="J98" s="136">
        <f>IF(ISNA(VLOOKUP(B98,RésultatsV!$L$10:$O$248,4,0)),"0",VLOOKUP(B98,RésultatsV!$L$10:$O$248,4,0))</f>
        <v>0</v>
      </c>
      <c r="K98" s="136">
        <f>IF(ISNA(VLOOKUP(B98,RésultatsV!$L$10:$O$248,2,0)),"0",VLOOKUP(B98,RésultatsV!$L$10:$O$248,2,0))</f>
        <v>0</v>
      </c>
      <c r="L98" s="136">
        <f>IF(ISNA(VLOOKUP(B98,RésultatsV!$Q$10:$T$248,3,0)),"0",VLOOKUP(B98,RésultatsV!$Q$10:$T$248,3,0))</f>
        <v>0</v>
      </c>
      <c r="M98" s="136">
        <f>IF(ISNA(VLOOKUP(B98,RésultatsV!$Q$10:$T$248,4,0)),"0",VLOOKUP(B98,RésultatsV!$Q$10:$T$248,4,0))</f>
        <v>0</v>
      </c>
      <c r="N98" s="136">
        <f>IF(ISNA(VLOOKUP(B98,RésultatsV!$Q$10:$T$248,2,0)),"0",VLOOKUP(B98,RésultatsV!$Q$10:$T$248,2,0))</f>
        <v>0</v>
      </c>
      <c r="O98" s="136">
        <f>IF(ISNA(VLOOKUP(B98,RésultatsV!$V$10:$Y$248,3,0)),"0",VLOOKUP(B98,RésultatsV!$V$10:$Y$248,3,0))</f>
        <v>0</v>
      </c>
      <c r="P98" s="136">
        <f>IF(ISNA(VLOOKUP(B98,RésultatsV!$V$10:$Y$248,4,0)),"0",VLOOKUP(B98,RésultatsV!$V$10:$Y$248,4,0))</f>
        <v>0</v>
      </c>
      <c r="Q98" s="136">
        <f>IF(ISNA(VLOOKUP(E98,RésultatsV!$V$10:$Y$248,2,0)),"0",VLOOKUP(E98,RésultatsV!$V$10:$Y$248,2,0))</f>
        <v>0</v>
      </c>
      <c r="R98" s="136">
        <f>IF(ISNA(VLOOKUP(B98,RésultatsV!$AA$10:$AD$248,3,0)),"0",VLOOKUP(B98,RésultatsV!$AA$10:$AD$248,3,0))</f>
        <v>0</v>
      </c>
      <c r="S98" s="136">
        <f>IF(ISNA(VLOOKUP(B98,RésultatsV!$AA$10:$AD$248,4,0)),"0",VLOOKUP(B98,RésultatsV!$AA$10:$AD$248,4,0))</f>
        <v>0</v>
      </c>
      <c r="T98" s="136">
        <f>IF(ISNA(VLOOKUP(B98,RésultatsV!$AA$10:$AD$248,2,0)),"0",VLOOKUP(B98,RésultatsV!$AA$10:$AD$248,2,0))</f>
        <v>0</v>
      </c>
      <c r="U98" s="110">
        <f t="shared" si="19"/>
        <v>0</v>
      </c>
      <c r="V98" s="103">
        <f t="shared" si="20"/>
        <v>0</v>
      </c>
      <c r="W98" s="106">
        <f t="shared" si="23"/>
        <v>0</v>
      </c>
      <c r="X98" s="61">
        <f t="shared" si="26"/>
        <v>0</v>
      </c>
      <c r="Y98" s="52">
        <f t="shared" si="27"/>
        <v>0</v>
      </c>
      <c r="Z98" s="104">
        <f t="shared" si="24"/>
        <v>23.000158979999998</v>
      </c>
      <c r="AA98" s="115">
        <f>IF(B98="","",SMALL(Z$6:Z$185,ROWS(AD$6:AD98)))</f>
        <v>23.000158920000001</v>
      </c>
      <c r="AB98" s="270"/>
      <c r="AC98" s="4">
        <f>IF(OR(B98="",U98=""),"",INDEX($B$6:$B$185,MATCH(AA98,$Z$6:Z$185,0)))</f>
        <v>0</v>
      </c>
      <c r="AD98" s="4">
        <f t="shared" si="21"/>
        <v>0</v>
      </c>
      <c r="AE98" s="4">
        <f t="shared" si="22"/>
        <v>0</v>
      </c>
      <c r="AF98" s="113">
        <f t="shared" si="25"/>
        <v>0</v>
      </c>
      <c r="AG98" s="271">
        <f>IF(AA98="","",IF(AND(AD97=AD98,AE97=AE98,AF97=AF98),AG97,$AG$6+92))</f>
        <v>23</v>
      </c>
      <c r="AH98" s="34"/>
      <c r="AI98" s="92"/>
    </row>
    <row r="99" spans="1:36" s="23" customFormat="1" ht="18" customHeight="1">
      <c r="A99" s="282">
        <v>94</v>
      </c>
      <c r="B99" s="283">
        <f>+'Joueurs et TirageV'!E40</f>
        <v>0</v>
      </c>
      <c r="C99" s="136" t="str">
        <f>IF(ISNA(VLOOKUP(B99,RésultatsV!$B$10:$E$248,3,0)),"0",VLOOKUP(B99,RésultatsV!$B$10:$E$248,3,0))</f>
        <v>0</v>
      </c>
      <c r="D99" s="136">
        <f>IF(ISNA(VLOOKUP(B99,RésultatsV!$B$10:$E$248,4,0)),"0",VLOOKUP(B99,RésultatsV!$B$10:$E$248,4,0))</f>
        <v>0</v>
      </c>
      <c r="E99" s="136">
        <f>IF(ISNA(VLOOKUP(B99,RésultatsV!$B$10:$E$248,2,0)),"0",VLOOKUP(B99,RésultatsV!$B$10:$E$248,2,0))</f>
        <v>0</v>
      </c>
      <c r="F99" s="136">
        <f>IF(ISNA(VLOOKUP(B99,RésultatsV!$G$10:$J$248,3,0)),"0",VLOOKUP(B99,RésultatsV!$G$10:$J$248,3,0))</f>
        <v>0</v>
      </c>
      <c r="G99" s="136">
        <f>IF(ISNA(VLOOKUP(B99,RésultatsV!$G$10:$J$248,4,0)),"0",VLOOKUP(B99,RésultatsV!$G$10:$J$248,4,0))</f>
        <v>0</v>
      </c>
      <c r="H99" s="136">
        <f>IF(ISNA(VLOOKUP(B99,RésultatsV!$G$10:$J$248,2,0)),"0",VLOOKUP(B99,RésultatsV!$G$10:$J$248,2,0))</f>
        <v>0</v>
      </c>
      <c r="I99" s="136">
        <f>IF(ISNA(VLOOKUP(B99,RésultatsV!$L$10:$O$248,3,0)),"0",VLOOKUP(B99,RésultatsV!$L$10:$O$248,3,0))</f>
        <v>0</v>
      </c>
      <c r="J99" s="136">
        <f>IF(ISNA(VLOOKUP(B99,RésultatsV!$L$10:$O$248,4,0)),"0",VLOOKUP(B99,RésultatsV!$L$10:$O$248,4,0))</f>
        <v>0</v>
      </c>
      <c r="K99" s="136">
        <f>IF(ISNA(VLOOKUP(B99,RésultatsV!$L$10:$O$248,2,0)),"0",VLOOKUP(B99,RésultatsV!$L$10:$O$248,2,0))</f>
        <v>0</v>
      </c>
      <c r="L99" s="136">
        <f>IF(ISNA(VLOOKUP(B99,RésultatsV!$Q$10:$T$248,3,0)),"0",VLOOKUP(B99,RésultatsV!$Q$10:$T$248,3,0))</f>
        <v>0</v>
      </c>
      <c r="M99" s="136">
        <f>IF(ISNA(VLOOKUP(B99,RésultatsV!$Q$10:$T$248,4,0)),"0",VLOOKUP(B99,RésultatsV!$Q$10:$T$248,4,0))</f>
        <v>0</v>
      </c>
      <c r="N99" s="136">
        <f>IF(ISNA(VLOOKUP(B99,RésultatsV!$Q$10:$T$248,2,0)),"0",VLOOKUP(B99,RésultatsV!$Q$10:$T$248,2,0))</f>
        <v>0</v>
      </c>
      <c r="O99" s="136">
        <f>IF(ISNA(VLOOKUP(B99,RésultatsV!$V$10:$Y$248,3,0)),"0",VLOOKUP(B99,RésultatsV!$V$10:$Y$248,3,0))</f>
        <v>0</v>
      </c>
      <c r="P99" s="136">
        <f>IF(ISNA(VLOOKUP(B99,RésultatsV!$V$10:$Y$248,4,0)),"0",VLOOKUP(B99,RésultatsV!$V$10:$Y$248,4,0))</f>
        <v>0</v>
      </c>
      <c r="Q99" s="136">
        <f>IF(ISNA(VLOOKUP(E99,RésultatsV!$V$10:$Y$248,2,0)),"0",VLOOKUP(E99,RésultatsV!$V$10:$Y$248,2,0))</f>
        <v>0</v>
      </c>
      <c r="R99" s="136">
        <f>IF(ISNA(VLOOKUP(B99,RésultatsV!$AA$10:$AD$248,3,0)),"0",VLOOKUP(B99,RésultatsV!$AA$10:$AD$248,3,0))</f>
        <v>0</v>
      </c>
      <c r="S99" s="136">
        <f>IF(ISNA(VLOOKUP(B99,RésultatsV!$AA$10:$AD$248,4,0)),"0",VLOOKUP(B99,RésultatsV!$AA$10:$AD$248,4,0))</f>
        <v>0</v>
      </c>
      <c r="T99" s="136">
        <f>IF(ISNA(VLOOKUP(B99,RésultatsV!$AA$10:$AD$248,2,0)),"0",VLOOKUP(B99,RésultatsV!$AA$10:$AD$248,2,0))</f>
        <v>0</v>
      </c>
      <c r="U99" s="110">
        <f t="shared" si="19"/>
        <v>0</v>
      </c>
      <c r="V99" s="103">
        <f t="shared" si="20"/>
        <v>0</v>
      </c>
      <c r="W99" s="106">
        <f t="shared" si="23"/>
        <v>0</v>
      </c>
      <c r="X99" s="61">
        <f t="shared" si="26"/>
        <v>0</v>
      </c>
      <c r="Y99" s="52">
        <f t="shared" si="27"/>
        <v>0</v>
      </c>
      <c r="Z99" s="104">
        <f t="shared" si="24"/>
        <v>23.000158989999999</v>
      </c>
      <c r="AA99" s="115">
        <f>IF(B99="","",SMALL(Z$6:Z$185,ROWS(AD$6:AD99)))</f>
        <v>23.000158929999998</v>
      </c>
      <c r="AB99" s="270"/>
      <c r="AC99" s="4">
        <f>IF(OR(B99="",U99=""),"",INDEX($B$6:$B$185,MATCH(AA99,$Z$6:Z$185,0)))</f>
        <v>0</v>
      </c>
      <c r="AD99" s="4">
        <f t="shared" si="21"/>
        <v>0</v>
      </c>
      <c r="AE99" s="4">
        <f t="shared" si="22"/>
        <v>0</v>
      </c>
      <c r="AF99" s="113">
        <f t="shared" si="25"/>
        <v>0</v>
      </c>
      <c r="AG99" s="271">
        <f>IF(AA99="","",IF(AND(AD98=AD99,AE98=AE99,AF98=AF99),AG98,$AG$6+93))</f>
        <v>23</v>
      </c>
      <c r="AH99" s="34"/>
      <c r="AI99" s="92"/>
    </row>
    <row r="100" spans="1:36" s="23" customFormat="1" ht="18" customHeight="1">
      <c r="A100" s="282">
        <v>95</v>
      </c>
      <c r="B100" s="283">
        <f>+'Joueurs et TirageV'!E41</f>
        <v>0</v>
      </c>
      <c r="C100" s="136" t="str">
        <f>IF(ISNA(VLOOKUP(B100,RésultatsV!$B$10:$E$248,3,0)),"0",VLOOKUP(B100,RésultatsV!$B$10:$E$248,3,0))</f>
        <v>0</v>
      </c>
      <c r="D100" s="136">
        <f>IF(ISNA(VLOOKUP(B100,RésultatsV!$B$10:$E$248,4,0)),"0",VLOOKUP(B100,RésultatsV!$B$10:$E$248,4,0))</f>
        <v>0</v>
      </c>
      <c r="E100" s="136">
        <f>IF(ISNA(VLOOKUP(B100,RésultatsV!$B$10:$E$248,2,0)),"0",VLOOKUP(B100,RésultatsV!$B$10:$E$248,2,0))</f>
        <v>0</v>
      </c>
      <c r="F100" s="136">
        <f>IF(ISNA(VLOOKUP(B100,RésultatsV!$G$10:$J$248,3,0)),"0",VLOOKUP(B100,RésultatsV!$G$10:$J$248,3,0))</f>
        <v>0</v>
      </c>
      <c r="G100" s="136">
        <f>IF(ISNA(VLOOKUP(B100,RésultatsV!$G$10:$J$248,4,0)),"0",VLOOKUP(B100,RésultatsV!$G$10:$J$248,4,0))</f>
        <v>0</v>
      </c>
      <c r="H100" s="136">
        <f>IF(ISNA(VLOOKUP(B100,RésultatsV!$G$10:$J$248,2,0)),"0",VLOOKUP(B100,RésultatsV!$G$10:$J$248,2,0))</f>
        <v>0</v>
      </c>
      <c r="I100" s="136">
        <f>IF(ISNA(VLOOKUP(B100,RésultatsV!$L$10:$O$248,3,0)),"0",VLOOKUP(B100,RésultatsV!$L$10:$O$248,3,0))</f>
        <v>0</v>
      </c>
      <c r="J100" s="136">
        <f>IF(ISNA(VLOOKUP(B100,RésultatsV!$L$10:$O$248,4,0)),"0",VLOOKUP(B100,RésultatsV!$L$10:$O$248,4,0))</f>
        <v>0</v>
      </c>
      <c r="K100" s="136">
        <f>IF(ISNA(VLOOKUP(B100,RésultatsV!$L$10:$O$248,2,0)),"0",VLOOKUP(B100,RésultatsV!$L$10:$O$248,2,0))</f>
        <v>0</v>
      </c>
      <c r="L100" s="136">
        <f>IF(ISNA(VLOOKUP(B100,RésultatsV!$Q$10:$T$248,3,0)),"0",VLOOKUP(B100,RésultatsV!$Q$10:$T$248,3,0))</f>
        <v>0</v>
      </c>
      <c r="M100" s="136">
        <f>IF(ISNA(VLOOKUP(B100,RésultatsV!$Q$10:$T$248,4,0)),"0",VLOOKUP(B100,RésultatsV!$Q$10:$T$248,4,0))</f>
        <v>0</v>
      </c>
      <c r="N100" s="136">
        <f>IF(ISNA(VLOOKUP(B100,RésultatsV!$Q$10:$T$248,2,0)),"0",VLOOKUP(B100,RésultatsV!$Q$10:$T$248,2,0))</f>
        <v>0</v>
      </c>
      <c r="O100" s="136">
        <f>IF(ISNA(VLOOKUP(B100,RésultatsV!$V$10:$Y$248,3,0)),"0",VLOOKUP(B100,RésultatsV!$V$10:$Y$248,3,0))</f>
        <v>0</v>
      </c>
      <c r="P100" s="136">
        <f>IF(ISNA(VLOOKUP(B100,RésultatsV!$V$10:$Y$248,4,0)),"0",VLOOKUP(B100,RésultatsV!$V$10:$Y$248,4,0))</f>
        <v>0</v>
      </c>
      <c r="Q100" s="136">
        <f>IF(ISNA(VLOOKUP(E100,RésultatsV!$V$10:$Y$248,2,0)),"0",VLOOKUP(E100,RésultatsV!$V$10:$Y$248,2,0))</f>
        <v>0</v>
      </c>
      <c r="R100" s="136">
        <f>IF(ISNA(VLOOKUP(B100,RésultatsV!$AA$10:$AD$248,3,0)),"0",VLOOKUP(B100,RésultatsV!$AA$10:$AD$248,3,0))</f>
        <v>0</v>
      </c>
      <c r="S100" s="136">
        <f>IF(ISNA(VLOOKUP(B100,RésultatsV!$AA$10:$AD$248,4,0)),"0",VLOOKUP(B100,RésultatsV!$AA$10:$AD$248,4,0))</f>
        <v>0</v>
      </c>
      <c r="T100" s="136">
        <f>IF(ISNA(VLOOKUP(B100,RésultatsV!$AA$10:$AD$248,2,0)),"0",VLOOKUP(B100,RésultatsV!$AA$10:$AD$248,2,0))</f>
        <v>0</v>
      </c>
      <c r="U100" s="110">
        <f t="shared" si="19"/>
        <v>0</v>
      </c>
      <c r="V100" s="103">
        <f t="shared" si="20"/>
        <v>0</v>
      </c>
      <c r="W100" s="106">
        <f t="shared" si="23"/>
        <v>0</v>
      </c>
      <c r="X100" s="61">
        <f t="shared" si="26"/>
        <v>0</v>
      </c>
      <c r="Y100" s="52">
        <f t="shared" si="27"/>
        <v>0</v>
      </c>
      <c r="Z100" s="104">
        <f t="shared" si="24"/>
        <v>23.000159</v>
      </c>
      <c r="AA100" s="115">
        <f>IF(B100="","",SMALL(Z$6:Z$185,ROWS(AD$6:AD100)))</f>
        <v>23.000158939999999</v>
      </c>
      <c r="AB100" s="270"/>
      <c r="AC100" s="4">
        <f>IF(OR(B100="",U100=""),"",INDEX($B$6:$B$185,MATCH(AA100,$Z$6:Z$185,0)))</f>
        <v>0</v>
      </c>
      <c r="AD100" s="4">
        <f t="shared" si="21"/>
        <v>0</v>
      </c>
      <c r="AE100" s="4">
        <f t="shared" si="22"/>
        <v>0</v>
      </c>
      <c r="AF100" s="113">
        <f t="shared" si="25"/>
        <v>0</v>
      </c>
      <c r="AG100" s="271">
        <f>IF(AA100="","",IF(AND(AD99=AD100,AE99=AE100,AF99=AF100),AG99,$AG$6+94))</f>
        <v>23</v>
      </c>
      <c r="AH100" s="34"/>
      <c r="AI100" s="92"/>
    </row>
    <row r="101" spans="1:36" s="23" customFormat="1" ht="18" customHeight="1">
      <c r="A101" s="282">
        <v>96</v>
      </c>
      <c r="B101" s="283">
        <f>+'Joueurs et TirageV'!E42</f>
        <v>0</v>
      </c>
      <c r="C101" s="136" t="str">
        <f>IF(ISNA(VLOOKUP(B101,RésultatsV!$B$10:$E$248,3,0)),"0",VLOOKUP(B101,RésultatsV!$B$10:$E$248,3,0))</f>
        <v>0</v>
      </c>
      <c r="D101" s="136">
        <f>IF(ISNA(VLOOKUP(B101,RésultatsV!$B$10:$E$248,4,0)),"0",VLOOKUP(B101,RésultatsV!$B$10:$E$248,4,0))</f>
        <v>0</v>
      </c>
      <c r="E101" s="136">
        <f>IF(ISNA(VLOOKUP(B101,RésultatsV!$B$10:$E$248,2,0)),"0",VLOOKUP(B101,RésultatsV!$B$10:$E$248,2,0))</f>
        <v>0</v>
      </c>
      <c r="F101" s="136">
        <f>IF(ISNA(VLOOKUP(B101,RésultatsV!$G$10:$J$248,3,0)),"0",VLOOKUP(B101,RésultatsV!$G$10:$J$248,3,0))</f>
        <v>0</v>
      </c>
      <c r="G101" s="136">
        <f>IF(ISNA(VLOOKUP(B101,RésultatsV!$G$10:$J$248,4,0)),"0",VLOOKUP(B101,RésultatsV!$G$10:$J$248,4,0))</f>
        <v>0</v>
      </c>
      <c r="H101" s="136">
        <f>IF(ISNA(VLOOKUP(B101,RésultatsV!$G$10:$J$248,2,0)),"0",VLOOKUP(B101,RésultatsV!$G$10:$J$248,2,0))</f>
        <v>0</v>
      </c>
      <c r="I101" s="136">
        <f>IF(ISNA(VLOOKUP(B101,RésultatsV!$L$10:$O$248,3,0)),"0",VLOOKUP(B101,RésultatsV!$L$10:$O$248,3,0))</f>
        <v>0</v>
      </c>
      <c r="J101" s="136">
        <f>IF(ISNA(VLOOKUP(B101,RésultatsV!$L$10:$O$248,4,0)),"0",VLOOKUP(B101,RésultatsV!$L$10:$O$248,4,0))</f>
        <v>0</v>
      </c>
      <c r="K101" s="136">
        <f>IF(ISNA(VLOOKUP(B101,RésultatsV!$L$10:$O$248,2,0)),"0",VLOOKUP(B101,RésultatsV!$L$10:$O$248,2,0))</f>
        <v>0</v>
      </c>
      <c r="L101" s="136">
        <f>IF(ISNA(VLOOKUP(B101,RésultatsV!$Q$10:$T$248,3,0)),"0",VLOOKUP(B101,RésultatsV!$Q$10:$T$248,3,0))</f>
        <v>0</v>
      </c>
      <c r="M101" s="136">
        <f>IF(ISNA(VLOOKUP(B101,RésultatsV!$Q$10:$T$248,4,0)),"0",VLOOKUP(B101,RésultatsV!$Q$10:$T$248,4,0))</f>
        <v>0</v>
      </c>
      <c r="N101" s="136">
        <f>IF(ISNA(VLOOKUP(B101,RésultatsV!$Q$10:$T$248,2,0)),"0",VLOOKUP(B101,RésultatsV!$Q$10:$T$248,2,0))</f>
        <v>0</v>
      </c>
      <c r="O101" s="136">
        <f>IF(ISNA(VLOOKUP(B101,RésultatsV!$V$10:$Y$248,3,0)),"0",VLOOKUP(B101,RésultatsV!$V$10:$Y$248,3,0))</f>
        <v>0</v>
      </c>
      <c r="P101" s="136">
        <f>IF(ISNA(VLOOKUP(B101,RésultatsV!$V$10:$Y$248,4,0)),"0",VLOOKUP(B101,RésultatsV!$V$10:$Y$248,4,0))</f>
        <v>0</v>
      </c>
      <c r="Q101" s="136">
        <f>IF(ISNA(VLOOKUP(E101,RésultatsV!$V$10:$Y$248,2,0)),"0",VLOOKUP(E101,RésultatsV!$V$10:$Y$248,2,0))</f>
        <v>0</v>
      </c>
      <c r="R101" s="136">
        <f>IF(ISNA(VLOOKUP(B101,RésultatsV!$AA$10:$AD$248,3,0)),"0",VLOOKUP(B101,RésultatsV!$AA$10:$AD$248,3,0))</f>
        <v>0</v>
      </c>
      <c r="S101" s="136">
        <f>IF(ISNA(VLOOKUP(B101,RésultatsV!$AA$10:$AD$248,4,0)),"0",VLOOKUP(B101,RésultatsV!$AA$10:$AD$248,4,0))</f>
        <v>0</v>
      </c>
      <c r="T101" s="136">
        <f>IF(ISNA(VLOOKUP(B101,RésultatsV!$AA$10:$AD$248,2,0)),"0",VLOOKUP(B101,RésultatsV!$AA$10:$AD$248,2,0))</f>
        <v>0</v>
      </c>
      <c r="U101" s="110">
        <f t="shared" si="19"/>
        <v>0</v>
      </c>
      <c r="V101" s="103">
        <f t="shared" si="20"/>
        <v>0</v>
      </c>
      <c r="W101" s="106">
        <f t="shared" si="23"/>
        <v>0</v>
      </c>
      <c r="X101" s="61">
        <f t="shared" si="26"/>
        <v>0</v>
      </c>
      <c r="Y101" s="52">
        <f t="shared" si="27"/>
        <v>0</v>
      </c>
      <c r="Z101" s="104">
        <f t="shared" si="24"/>
        <v>23.000159009999997</v>
      </c>
      <c r="AA101" s="115">
        <f>IF(B101="","",SMALL(Z$6:Z$185,ROWS(AD$6:AD101)))</f>
        <v>23.000158949999999</v>
      </c>
      <c r="AB101" s="270"/>
      <c r="AC101" s="4">
        <f>IF(OR(B101="",U101=""),"",INDEX($B$6:$B$185,MATCH(AA101,$Z$6:Z$185,0)))</f>
        <v>0</v>
      </c>
      <c r="AD101" s="4">
        <f t="shared" si="21"/>
        <v>0</v>
      </c>
      <c r="AE101" s="4">
        <f t="shared" si="22"/>
        <v>0</v>
      </c>
      <c r="AF101" s="113">
        <f t="shared" si="25"/>
        <v>0</v>
      </c>
      <c r="AG101" s="271">
        <f>IF(AA101="","",IF(AND(AD100=AD101,AE100=AE101,AF100=AF101),AG100,$AG$6+95))</f>
        <v>23</v>
      </c>
      <c r="AH101" s="34"/>
      <c r="AI101" s="92"/>
    </row>
    <row r="102" spans="1:36" s="23" customFormat="1" ht="18" customHeight="1">
      <c r="A102" s="282">
        <v>97</v>
      </c>
      <c r="B102" s="283">
        <f>+'Joueurs et TirageV'!E43</f>
        <v>0</v>
      </c>
      <c r="C102" s="136" t="str">
        <f>IF(ISNA(VLOOKUP(B102,RésultatsV!$B$10:$E$248,3,0)),"0",VLOOKUP(B102,RésultatsV!$B$10:$E$248,3,0))</f>
        <v>0</v>
      </c>
      <c r="D102" s="136">
        <f>IF(ISNA(VLOOKUP(B102,RésultatsV!$B$10:$E$248,4,0)),"0",VLOOKUP(B102,RésultatsV!$B$10:$E$248,4,0))</f>
        <v>0</v>
      </c>
      <c r="E102" s="136">
        <f>IF(ISNA(VLOOKUP(B102,RésultatsV!$B$10:$E$248,2,0)),"0",VLOOKUP(B102,RésultatsV!$B$10:$E$248,2,0))</f>
        <v>0</v>
      </c>
      <c r="F102" s="136">
        <f>IF(ISNA(VLOOKUP(B102,RésultatsV!$G$10:$J$248,3,0)),"0",VLOOKUP(B102,RésultatsV!$G$10:$J$248,3,0))</f>
        <v>0</v>
      </c>
      <c r="G102" s="136">
        <f>IF(ISNA(VLOOKUP(B102,RésultatsV!$G$10:$J$248,4,0)),"0",VLOOKUP(B102,RésultatsV!$G$10:$J$248,4,0))</f>
        <v>0</v>
      </c>
      <c r="H102" s="136">
        <f>IF(ISNA(VLOOKUP(B102,RésultatsV!$G$10:$J$248,2,0)),"0",VLOOKUP(B102,RésultatsV!$G$10:$J$248,2,0))</f>
        <v>0</v>
      </c>
      <c r="I102" s="136">
        <f>IF(ISNA(VLOOKUP(B102,RésultatsV!$L$10:$O$248,3,0)),"0",VLOOKUP(B102,RésultatsV!$L$10:$O$248,3,0))</f>
        <v>0</v>
      </c>
      <c r="J102" s="136">
        <f>IF(ISNA(VLOOKUP(B102,RésultatsV!$L$10:$O$248,4,0)),"0",VLOOKUP(B102,RésultatsV!$L$10:$O$248,4,0))</f>
        <v>0</v>
      </c>
      <c r="K102" s="136">
        <f>IF(ISNA(VLOOKUP(B102,RésultatsV!$L$10:$O$248,2,0)),"0",VLOOKUP(B102,RésultatsV!$L$10:$O$248,2,0))</f>
        <v>0</v>
      </c>
      <c r="L102" s="136">
        <f>IF(ISNA(VLOOKUP(B102,RésultatsV!$Q$10:$T$248,3,0)),"0",VLOOKUP(B102,RésultatsV!$Q$10:$T$248,3,0))</f>
        <v>0</v>
      </c>
      <c r="M102" s="136">
        <f>IF(ISNA(VLOOKUP(B102,RésultatsV!$Q$10:$T$248,4,0)),"0",VLOOKUP(B102,RésultatsV!$Q$10:$T$248,4,0))</f>
        <v>0</v>
      </c>
      <c r="N102" s="136">
        <f>IF(ISNA(VLOOKUP(B102,RésultatsV!$Q$10:$T$248,2,0)),"0",VLOOKUP(B102,RésultatsV!$Q$10:$T$248,2,0))</f>
        <v>0</v>
      </c>
      <c r="O102" s="136">
        <f>IF(ISNA(VLOOKUP(B102,RésultatsV!$V$10:$Y$248,3,0)),"0",VLOOKUP(B102,RésultatsV!$V$10:$Y$248,3,0))</f>
        <v>0</v>
      </c>
      <c r="P102" s="136">
        <f>IF(ISNA(VLOOKUP(B102,RésultatsV!$V$10:$Y$248,4,0)),"0",VLOOKUP(B102,RésultatsV!$V$10:$Y$248,4,0))</f>
        <v>0</v>
      </c>
      <c r="Q102" s="136">
        <f>IF(ISNA(VLOOKUP(E102,RésultatsV!$V$10:$Y$248,2,0)),"0",VLOOKUP(E102,RésultatsV!$V$10:$Y$248,2,0))</f>
        <v>0</v>
      </c>
      <c r="R102" s="136">
        <f>IF(ISNA(VLOOKUP(B102,RésultatsV!$AA$10:$AD$248,3,0)),"0",VLOOKUP(B102,RésultatsV!$AA$10:$AD$248,3,0))</f>
        <v>0</v>
      </c>
      <c r="S102" s="136">
        <f>IF(ISNA(VLOOKUP(B102,RésultatsV!$AA$10:$AD$248,4,0)),"0",VLOOKUP(B102,RésultatsV!$AA$10:$AD$248,4,0))</f>
        <v>0</v>
      </c>
      <c r="T102" s="136">
        <f>IF(ISNA(VLOOKUP(B102,RésultatsV!$AA$10:$AD$248,2,0)),"0",VLOOKUP(B102,RésultatsV!$AA$10:$AD$248,2,0))</f>
        <v>0</v>
      </c>
      <c r="U102" s="110">
        <f t="shared" ref="U102:U133" si="28">SUMIFS(C102:R102,$C$5:$R$5,"Pts",C102:R102,"&lt;&gt;#N/A")</f>
        <v>0</v>
      </c>
      <c r="V102" s="103">
        <f t="shared" ref="V102:V133" si="29">SUMIFS(D102:S102,$D$5:$S$5,"GA",D102:S102,"&lt;&gt;#N/A")</f>
        <v>0</v>
      </c>
      <c r="W102" s="106">
        <f t="shared" si="23"/>
        <v>0</v>
      </c>
      <c r="X102" s="61">
        <f t="shared" si="26"/>
        <v>0</v>
      </c>
      <c r="Y102" s="52">
        <f t="shared" si="27"/>
        <v>0</v>
      </c>
      <c r="Z102" s="104">
        <f t="shared" si="24"/>
        <v>23.000159019999998</v>
      </c>
      <c r="AA102" s="115">
        <f>IF(B102="","",SMALL(Z$6:Z$185,ROWS(AD$6:AD102)))</f>
        <v>23.00015896</v>
      </c>
      <c r="AB102" s="270"/>
      <c r="AC102" s="4">
        <f>IF(OR(B102="",U102=""),"",INDEX($B$6:$B$185,MATCH(AA102,$Z$6:Z$185,0)))</f>
        <v>0</v>
      </c>
      <c r="AD102" s="4">
        <f t="shared" ref="AD102:AD133" si="30">IF(B102="","",INDEX($U$6:$U$185,MATCH(AA102,$Z$6:$Z$185,0)))</f>
        <v>0</v>
      </c>
      <c r="AE102" s="4">
        <f t="shared" ref="AE102:AE133" si="31">IF(B102="","",INDEX($V$6:$V$185,MATCH(AA102,$Z$6:$Z$185,0)))</f>
        <v>0</v>
      </c>
      <c r="AF102" s="113">
        <f t="shared" si="25"/>
        <v>0</v>
      </c>
      <c r="AG102" s="271">
        <f>IF(AA102="","",IF(AND(AD101=AD102,AE101=AE102,AF101=AF102),AG101,$AG$6+96))</f>
        <v>23</v>
      </c>
      <c r="AH102" s="34"/>
      <c r="AI102" s="92"/>
    </row>
    <row r="103" spans="1:36" s="23" customFormat="1" ht="18" customHeight="1">
      <c r="A103" s="282">
        <v>98</v>
      </c>
      <c r="B103" s="283">
        <f>+'Joueurs et TirageV'!E44</f>
        <v>0</v>
      </c>
      <c r="C103" s="136" t="str">
        <f>IF(ISNA(VLOOKUP(B103,RésultatsV!$B$10:$E$248,3,0)),"0",VLOOKUP(B103,RésultatsV!$B$10:$E$248,3,0))</f>
        <v>0</v>
      </c>
      <c r="D103" s="136">
        <f>IF(ISNA(VLOOKUP(B103,RésultatsV!$B$10:$E$248,4,0)),"0",VLOOKUP(B103,RésultatsV!$B$10:$E$248,4,0))</f>
        <v>0</v>
      </c>
      <c r="E103" s="136">
        <f>IF(ISNA(VLOOKUP(B103,RésultatsV!$B$10:$E$248,2,0)),"0",VLOOKUP(B103,RésultatsV!$B$10:$E$248,2,0))</f>
        <v>0</v>
      </c>
      <c r="F103" s="136">
        <f>IF(ISNA(VLOOKUP(B103,RésultatsV!$G$10:$J$248,3,0)),"0",VLOOKUP(B103,RésultatsV!$G$10:$J$248,3,0))</f>
        <v>0</v>
      </c>
      <c r="G103" s="136">
        <f>IF(ISNA(VLOOKUP(B103,RésultatsV!$G$10:$J$248,4,0)),"0",VLOOKUP(B103,RésultatsV!$G$10:$J$248,4,0))</f>
        <v>0</v>
      </c>
      <c r="H103" s="136">
        <f>IF(ISNA(VLOOKUP(B103,RésultatsV!$G$10:$J$248,2,0)),"0",VLOOKUP(B103,RésultatsV!$G$10:$J$248,2,0))</f>
        <v>0</v>
      </c>
      <c r="I103" s="136">
        <f>IF(ISNA(VLOOKUP(B103,RésultatsV!$L$10:$O$248,3,0)),"0",VLOOKUP(B103,RésultatsV!$L$10:$O$248,3,0))</f>
        <v>0</v>
      </c>
      <c r="J103" s="136">
        <f>IF(ISNA(VLOOKUP(B103,RésultatsV!$L$10:$O$248,4,0)),"0",VLOOKUP(B103,RésultatsV!$L$10:$O$248,4,0))</f>
        <v>0</v>
      </c>
      <c r="K103" s="136">
        <f>IF(ISNA(VLOOKUP(B103,RésultatsV!$L$10:$O$248,2,0)),"0",VLOOKUP(B103,RésultatsV!$L$10:$O$248,2,0))</f>
        <v>0</v>
      </c>
      <c r="L103" s="136">
        <f>IF(ISNA(VLOOKUP(B103,RésultatsV!$Q$10:$T$248,3,0)),"0",VLOOKUP(B103,RésultatsV!$Q$10:$T$248,3,0))</f>
        <v>0</v>
      </c>
      <c r="M103" s="136">
        <f>IF(ISNA(VLOOKUP(B103,RésultatsV!$Q$10:$T$248,4,0)),"0",VLOOKUP(B103,RésultatsV!$Q$10:$T$248,4,0))</f>
        <v>0</v>
      </c>
      <c r="N103" s="136">
        <f>IF(ISNA(VLOOKUP(B103,RésultatsV!$Q$10:$T$248,2,0)),"0",VLOOKUP(B103,RésultatsV!$Q$10:$T$248,2,0))</f>
        <v>0</v>
      </c>
      <c r="O103" s="136">
        <f>IF(ISNA(VLOOKUP(B103,RésultatsV!$V$10:$Y$248,3,0)),"0",VLOOKUP(B103,RésultatsV!$V$10:$Y$248,3,0))</f>
        <v>0</v>
      </c>
      <c r="P103" s="136">
        <f>IF(ISNA(VLOOKUP(B103,RésultatsV!$V$10:$Y$248,4,0)),"0",VLOOKUP(B103,RésultatsV!$V$10:$Y$248,4,0))</f>
        <v>0</v>
      </c>
      <c r="Q103" s="136">
        <f>IF(ISNA(VLOOKUP(E103,RésultatsV!$V$10:$Y$248,2,0)),"0",VLOOKUP(E103,RésultatsV!$V$10:$Y$248,2,0))</f>
        <v>0</v>
      </c>
      <c r="R103" s="136">
        <f>IF(ISNA(VLOOKUP(B103,RésultatsV!$AA$10:$AD$248,3,0)),"0",VLOOKUP(B103,RésultatsV!$AA$10:$AD$248,3,0))</f>
        <v>0</v>
      </c>
      <c r="S103" s="136">
        <f>IF(ISNA(VLOOKUP(B103,RésultatsV!$AA$10:$AD$248,4,0)),"0",VLOOKUP(B103,RésultatsV!$AA$10:$AD$248,4,0))</f>
        <v>0</v>
      </c>
      <c r="T103" s="136">
        <f>IF(ISNA(VLOOKUP(B103,RésultatsV!$AA$10:$AD$248,2,0)),"0",VLOOKUP(B103,RésultatsV!$AA$10:$AD$248,2,0))</f>
        <v>0</v>
      </c>
      <c r="U103" s="110">
        <f t="shared" si="28"/>
        <v>0</v>
      </c>
      <c r="V103" s="103">
        <f t="shared" si="29"/>
        <v>0</v>
      </c>
      <c r="W103" s="106">
        <f t="shared" si="23"/>
        <v>0</v>
      </c>
      <c r="X103" s="61">
        <f t="shared" si="26"/>
        <v>0</v>
      </c>
      <c r="Y103" s="52">
        <f t="shared" si="27"/>
        <v>0</v>
      </c>
      <c r="Z103" s="104">
        <f t="shared" si="24"/>
        <v>23.000159029999999</v>
      </c>
      <c r="AA103" s="115">
        <f>IF(B103="","",SMALL(Z$6:Z$185,ROWS(AD$6:AD103)))</f>
        <v>23.000158969999998</v>
      </c>
      <c r="AB103" s="270"/>
      <c r="AC103" s="4">
        <f>IF(OR(B103="",U103=""),"",INDEX($B$6:$B$185,MATCH(AA103,$Z$6:Z$185,0)))</f>
        <v>0</v>
      </c>
      <c r="AD103" s="4">
        <f t="shared" si="30"/>
        <v>0</v>
      </c>
      <c r="AE103" s="4">
        <f t="shared" si="31"/>
        <v>0</v>
      </c>
      <c r="AF103" s="113">
        <f t="shared" si="25"/>
        <v>0</v>
      </c>
      <c r="AG103" s="271">
        <f>IF(AA103="","",IF(AND(AD102=AD103,AE102=AE103,AF102=AF103),AG102,$AG$6+97))</f>
        <v>23</v>
      </c>
      <c r="AH103" s="34"/>
      <c r="AI103" s="92"/>
    </row>
    <row r="104" spans="1:36" s="23" customFormat="1" ht="18" customHeight="1">
      <c r="A104" s="282">
        <v>99</v>
      </c>
      <c r="B104" s="283">
        <f>+'Joueurs et TirageV'!E45</f>
        <v>0</v>
      </c>
      <c r="C104" s="136" t="str">
        <f>IF(ISNA(VLOOKUP(B104,RésultatsV!$B$10:$E$248,3,0)),"0",VLOOKUP(B104,RésultatsV!$B$10:$E$248,3,0))</f>
        <v>0</v>
      </c>
      <c r="D104" s="136">
        <f>IF(ISNA(VLOOKUP(B104,RésultatsV!$B$10:$E$248,4,0)),"0",VLOOKUP(B104,RésultatsV!$B$10:$E$248,4,0))</f>
        <v>0</v>
      </c>
      <c r="E104" s="136">
        <f>IF(ISNA(VLOOKUP(B104,RésultatsV!$B$10:$E$248,2,0)),"0",VLOOKUP(B104,RésultatsV!$B$10:$E$248,2,0))</f>
        <v>0</v>
      </c>
      <c r="F104" s="136">
        <f>IF(ISNA(VLOOKUP(B104,RésultatsV!$G$10:$J$248,3,0)),"0",VLOOKUP(B104,RésultatsV!$G$10:$J$248,3,0))</f>
        <v>0</v>
      </c>
      <c r="G104" s="136">
        <f>IF(ISNA(VLOOKUP(B104,RésultatsV!$G$10:$J$248,4,0)),"0",VLOOKUP(B104,RésultatsV!$G$10:$J$248,4,0))</f>
        <v>0</v>
      </c>
      <c r="H104" s="136">
        <f>IF(ISNA(VLOOKUP(B104,RésultatsV!$G$10:$J$248,2,0)),"0",VLOOKUP(B104,RésultatsV!$G$10:$J$248,2,0))</f>
        <v>0</v>
      </c>
      <c r="I104" s="136">
        <f>IF(ISNA(VLOOKUP(B104,RésultatsV!$L$10:$O$248,3,0)),"0",VLOOKUP(B104,RésultatsV!$L$10:$O$248,3,0))</f>
        <v>0</v>
      </c>
      <c r="J104" s="136">
        <f>IF(ISNA(VLOOKUP(B104,RésultatsV!$L$10:$O$248,4,0)),"0",VLOOKUP(B104,RésultatsV!$L$10:$O$248,4,0))</f>
        <v>0</v>
      </c>
      <c r="K104" s="136">
        <f>IF(ISNA(VLOOKUP(B104,RésultatsV!$L$10:$O$248,2,0)),"0",VLOOKUP(B104,RésultatsV!$L$10:$O$248,2,0))</f>
        <v>0</v>
      </c>
      <c r="L104" s="136">
        <f>IF(ISNA(VLOOKUP(B104,RésultatsV!$Q$10:$T$248,3,0)),"0",VLOOKUP(B104,RésultatsV!$Q$10:$T$248,3,0))</f>
        <v>0</v>
      </c>
      <c r="M104" s="136">
        <f>IF(ISNA(VLOOKUP(B104,RésultatsV!$Q$10:$T$248,4,0)),"0",VLOOKUP(B104,RésultatsV!$Q$10:$T$248,4,0))</f>
        <v>0</v>
      </c>
      <c r="N104" s="136">
        <f>IF(ISNA(VLOOKUP(B104,RésultatsV!$Q$10:$T$248,2,0)),"0",VLOOKUP(B104,RésultatsV!$Q$10:$T$248,2,0))</f>
        <v>0</v>
      </c>
      <c r="O104" s="136">
        <f>IF(ISNA(VLOOKUP(B104,RésultatsV!$V$10:$Y$248,3,0)),"0",VLOOKUP(B104,RésultatsV!$V$10:$Y$248,3,0))</f>
        <v>0</v>
      </c>
      <c r="P104" s="136">
        <f>IF(ISNA(VLOOKUP(B104,RésultatsV!$V$10:$Y$248,4,0)),"0",VLOOKUP(B104,RésultatsV!$V$10:$Y$248,4,0))</f>
        <v>0</v>
      </c>
      <c r="Q104" s="136">
        <f>IF(ISNA(VLOOKUP(E104,RésultatsV!$V$10:$Y$248,2,0)),"0",VLOOKUP(E104,RésultatsV!$V$10:$Y$248,2,0))</f>
        <v>0</v>
      </c>
      <c r="R104" s="136">
        <f>IF(ISNA(VLOOKUP(B104,RésultatsV!$AA$10:$AD$248,3,0)),"0",VLOOKUP(B104,RésultatsV!$AA$10:$AD$248,3,0))</f>
        <v>0</v>
      </c>
      <c r="S104" s="136">
        <f>IF(ISNA(VLOOKUP(B104,RésultatsV!$AA$10:$AD$248,4,0)),"0",VLOOKUP(B104,RésultatsV!$AA$10:$AD$248,4,0))</f>
        <v>0</v>
      </c>
      <c r="T104" s="136">
        <f>IF(ISNA(VLOOKUP(B104,RésultatsV!$AA$10:$AD$248,2,0)),"0",VLOOKUP(B104,RésultatsV!$AA$10:$AD$248,2,0))</f>
        <v>0</v>
      </c>
      <c r="U104" s="110">
        <f t="shared" si="28"/>
        <v>0</v>
      </c>
      <c r="V104" s="103">
        <f t="shared" si="29"/>
        <v>0</v>
      </c>
      <c r="W104" s="106">
        <f t="shared" si="23"/>
        <v>0</v>
      </c>
      <c r="X104" s="61">
        <f t="shared" si="26"/>
        <v>0</v>
      </c>
      <c r="Y104" s="52">
        <f t="shared" si="27"/>
        <v>0</v>
      </c>
      <c r="Z104" s="104">
        <f t="shared" si="24"/>
        <v>23.00015904</v>
      </c>
      <c r="AA104" s="115">
        <f>IF(B104="","",SMALL(Z$6:Z$185,ROWS(AD$6:AD104)))</f>
        <v>23.000158979999998</v>
      </c>
      <c r="AB104" s="270"/>
      <c r="AC104" s="4">
        <f>IF(OR(B104="",U104=""),"",INDEX($B$6:$B$185,MATCH(AA104,$Z$6:Z$185,0)))</f>
        <v>0</v>
      </c>
      <c r="AD104" s="4">
        <f t="shared" si="30"/>
        <v>0</v>
      </c>
      <c r="AE104" s="4">
        <f t="shared" si="31"/>
        <v>0</v>
      </c>
      <c r="AF104" s="113">
        <f t="shared" si="25"/>
        <v>0</v>
      </c>
      <c r="AG104" s="271">
        <f>IF(AA104="","",IF(AND(AD103=AD104,AE103=AE104,AF103=AF104),AG103,$AG$6+98))</f>
        <v>23</v>
      </c>
      <c r="AH104" s="34"/>
      <c r="AI104" s="92"/>
    </row>
    <row r="105" spans="1:36" s="23" customFormat="1" ht="18" customHeight="1">
      <c r="A105" s="282">
        <v>100</v>
      </c>
      <c r="B105" s="283">
        <f>+'Joueurs et TirageV'!E46</f>
        <v>0</v>
      </c>
      <c r="C105" s="136" t="str">
        <f>IF(ISNA(VLOOKUP(B105,RésultatsV!$B$10:$E$248,3,0)),"0",VLOOKUP(B105,RésultatsV!$B$10:$E$248,3,0))</f>
        <v>0</v>
      </c>
      <c r="D105" s="136">
        <f>IF(ISNA(VLOOKUP(B105,RésultatsV!$B$10:$E$248,4,0)),"0",VLOOKUP(B105,RésultatsV!$B$10:$E$248,4,0))</f>
        <v>0</v>
      </c>
      <c r="E105" s="136">
        <f>IF(ISNA(VLOOKUP(B105,RésultatsV!$B$10:$E$248,2,0)),"0",VLOOKUP(B105,RésultatsV!$B$10:$E$248,2,0))</f>
        <v>0</v>
      </c>
      <c r="F105" s="136">
        <f>IF(ISNA(VLOOKUP(B105,RésultatsV!$G$10:$J$248,3,0)),"0",VLOOKUP(B105,RésultatsV!$G$10:$J$248,3,0))</f>
        <v>0</v>
      </c>
      <c r="G105" s="136">
        <f>IF(ISNA(VLOOKUP(B105,RésultatsV!$G$10:$J$248,4,0)),"0",VLOOKUP(B105,RésultatsV!$G$10:$J$248,4,0))</f>
        <v>0</v>
      </c>
      <c r="H105" s="136">
        <f>IF(ISNA(VLOOKUP(B105,RésultatsV!$G$10:$J$248,2,0)),"0",VLOOKUP(B105,RésultatsV!$G$10:$J$248,2,0))</f>
        <v>0</v>
      </c>
      <c r="I105" s="136">
        <f>IF(ISNA(VLOOKUP(B105,RésultatsV!$L$10:$O$248,3,0)),"0",VLOOKUP(B105,RésultatsV!$L$10:$O$248,3,0))</f>
        <v>0</v>
      </c>
      <c r="J105" s="136">
        <f>IF(ISNA(VLOOKUP(B105,RésultatsV!$L$10:$O$248,4,0)),"0",VLOOKUP(B105,RésultatsV!$L$10:$O$248,4,0))</f>
        <v>0</v>
      </c>
      <c r="K105" s="136">
        <f>IF(ISNA(VLOOKUP(B105,RésultatsV!$L$10:$O$248,2,0)),"0",VLOOKUP(B105,RésultatsV!$L$10:$O$248,2,0))</f>
        <v>0</v>
      </c>
      <c r="L105" s="136">
        <f>IF(ISNA(VLOOKUP(B105,RésultatsV!$Q$10:$T$248,3,0)),"0",VLOOKUP(B105,RésultatsV!$Q$10:$T$248,3,0))</f>
        <v>0</v>
      </c>
      <c r="M105" s="136">
        <f>IF(ISNA(VLOOKUP(B105,RésultatsV!$Q$10:$T$248,4,0)),"0",VLOOKUP(B105,RésultatsV!$Q$10:$T$248,4,0))</f>
        <v>0</v>
      </c>
      <c r="N105" s="136">
        <f>IF(ISNA(VLOOKUP(B105,RésultatsV!$Q$10:$T$248,2,0)),"0",VLOOKUP(B105,RésultatsV!$Q$10:$T$248,2,0))</f>
        <v>0</v>
      </c>
      <c r="O105" s="136">
        <f>IF(ISNA(VLOOKUP(B105,RésultatsV!$V$10:$Y$248,3,0)),"0",VLOOKUP(B105,RésultatsV!$V$10:$Y$248,3,0))</f>
        <v>0</v>
      </c>
      <c r="P105" s="136">
        <f>IF(ISNA(VLOOKUP(B105,RésultatsV!$V$10:$Y$248,4,0)),"0",VLOOKUP(B105,RésultatsV!$V$10:$Y$248,4,0))</f>
        <v>0</v>
      </c>
      <c r="Q105" s="136">
        <f>IF(ISNA(VLOOKUP(E105,RésultatsV!$V$10:$Y$248,2,0)),"0",VLOOKUP(E105,RésultatsV!$V$10:$Y$248,2,0))</f>
        <v>0</v>
      </c>
      <c r="R105" s="136">
        <f>IF(ISNA(VLOOKUP(B105,RésultatsV!$AA$10:$AD$248,3,0)),"0",VLOOKUP(B105,RésultatsV!$AA$10:$AD$248,3,0))</f>
        <v>0</v>
      </c>
      <c r="S105" s="136">
        <f>IF(ISNA(VLOOKUP(B105,RésultatsV!$AA$10:$AD$248,4,0)),"0",VLOOKUP(B105,RésultatsV!$AA$10:$AD$248,4,0))</f>
        <v>0</v>
      </c>
      <c r="T105" s="136">
        <f>IF(ISNA(VLOOKUP(B105,RésultatsV!$AA$10:$AD$248,2,0)),"0",VLOOKUP(B105,RésultatsV!$AA$10:$AD$248,2,0))</f>
        <v>0</v>
      </c>
      <c r="U105" s="110">
        <f t="shared" si="28"/>
        <v>0</v>
      </c>
      <c r="V105" s="103">
        <f t="shared" si="29"/>
        <v>0</v>
      </c>
      <c r="W105" s="106">
        <f t="shared" si="23"/>
        <v>0</v>
      </c>
      <c r="X105" s="61">
        <f t="shared" si="26"/>
        <v>0</v>
      </c>
      <c r="Y105" s="52">
        <f t="shared" si="27"/>
        <v>0</v>
      </c>
      <c r="Z105" s="104">
        <f t="shared" si="24"/>
        <v>23.000159050000001</v>
      </c>
      <c r="AA105" s="115">
        <f>IF(B105="","",SMALL(Z$6:Z$185,ROWS(AD$6:AD105)))</f>
        <v>23.000158989999999</v>
      </c>
      <c r="AB105" s="270"/>
      <c r="AC105" s="4">
        <f>IF(OR(B105="",U105=""),"",INDEX($B$6:$B$185,MATCH(AA105,$Z$6:Z$185,0)))</f>
        <v>0</v>
      </c>
      <c r="AD105" s="4">
        <f t="shared" si="30"/>
        <v>0</v>
      </c>
      <c r="AE105" s="4">
        <f t="shared" si="31"/>
        <v>0</v>
      </c>
      <c r="AF105" s="113">
        <f t="shared" si="25"/>
        <v>0</v>
      </c>
      <c r="AG105" s="271">
        <f>IF(AA105="","",IF(AND(AD104=AD105,AE104=AE105,AF104=AF105),AG104,$AG$6+99))</f>
        <v>23</v>
      </c>
      <c r="AH105" s="34"/>
      <c r="AI105" s="92"/>
    </row>
    <row r="106" spans="1:36" s="23" customFormat="1" ht="18" customHeight="1">
      <c r="A106" s="282">
        <v>101</v>
      </c>
      <c r="B106" s="283">
        <f>+'Joueurs et TirageV'!E47</f>
        <v>0</v>
      </c>
      <c r="C106" s="136" t="str">
        <f>IF(ISNA(VLOOKUP(B106,RésultatsV!$B$10:$E$248,3,0)),"0",VLOOKUP(B106,RésultatsV!$B$10:$E$248,3,0))</f>
        <v>0</v>
      </c>
      <c r="D106" s="136">
        <f>IF(ISNA(VLOOKUP(B106,RésultatsV!$B$10:$E$248,4,0)),"0",VLOOKUP(B106,RésultatsV!$B$10:$E$248,4,0))</f>
        <v>0</v>
      </c>
      <c r="E106" s="136">
        <f>IF(ISNA(VLOOKUP(B106,RésultatsV!$B$10:$E$248,2,0)),"0",VLOOKUP(B106,RésultatsV!$B$10:$E$248,2,0))</f>
        <v>0</v>
      </c>
      <c r="F106" s="136">
        <f>IF(ISNA(VLOOKUP(B106,RésultatsV!$G$10:$J$248,3,0)),"0",VLOOKUP(B106,RésultatsV!$G$10:$J$248,3,0))</f>
        <v>0</v>
      </c>
      <c r="G106" s="136">
        <f>IF(ISNA(VLOOKUP(B106,RésultatsV!$G$10:$J$248,4,0)),"0",VLOOKUP(B106,RésultatsV!$G$10:$J$248,4,0))</f>
        <v>0</v>
      </c>
      <c r="H106" s="136">
        <f>IF(ISNA(VLOOKUP(B106,RésultatsV!$G$10:$J$248,2,0)),"0",VLOOKUP(B106,RésultatsV!$G$10:$J$248,2,0))</f>
        <v>0</v>
      </c>
      <c r="I106" s="136">
        <f>IF(ISNA(VLOOKUP(B106,RésultatsV!$L$10:$O$248,3,0)),"0",VLOOKUP(B106,RésultatsV!$L$10:$O$248,3,0))</f>
        <v>0</v>
      </c>
      <c r="J106" s="136">
        <f>IF(ISNA(VLOOKUP(B106,RésultatsV!$L$10:$O$248,4,0)),"0",VLOOKUP(B106,RésultatsV!$L$10:$O$248,4,0))</f>
        <v>0</v>
      </c>
      <c r="K106" s="136">
        <f>IF(ISNA(VLOOKUP(B106,RésultatsV!$L$10:$O$248,2,0)),"0",VLOOKUP(B106,RésultatsV!$L$10:$O$248,2,0))</f>
        <v>0</v>
      </c>
      <c r="L106" s="136">
        <f>IF(ISNA(VLOOKUP(B106,RésultatsV!$Q$10:$T$248,3,0)),"0",VLOOKUP(B106,RésultatsV!$Q$10:$T$248,3,0))</f>
        <v>0</v>
      </c>
      <c r="M106" s="136">
        <f>IF(ISNA(VLOOKUP(B106,RésultatsV!$Q$10:$T$248,4,0)),"0",VLOOKUP(B106,RésultatsV!$Q$10:$T$248,4,0))</f>
        <v>0</v>
      </c>
      <c r="N106" s="136">
        <f>IF(ISNA(VLOOKUP(B106,RésultatsV!$Q$10:$T$248,2,0)),"0",VLOOKUP(B106,RésultatsV!$Q$10:$T$248,2,0))</f>
        <v>0</v>
      </c>
      <c r="O106" s="136">
        <f>IF(ISNA(VLOOKUP(B106,RésultatsV!$V$10:$Y$248,3,0)),"0",VLOOKUP(B106,RésultatsV!$V$10:$Y$248,3,0))</f>
        <v>0</v>
      </c>
      <c r="P106" s="136">
        <f>IF(ISNA(VLOOKUP(B106,RésultatsV!$V$10:$Y$248,4,0)),"0",VLOOKUP(B106,RésultatsV!$V$10:$Y$248,4,0))</f>
        <v>0</v>
      </c>
      <c r="Q106" s="136">
        <f>IF(ISNA(VLOOKUP(E106,RésultatsV!$V$10:$Y$248,2,0)),"0",VLOOKUP(E106,RésultatsV!$V$10:$Y$248,2,0))</f>
        <v>0</v>
      </c>
      <c r="R106" s="136">
        <f>IF(ISNA(VLOOKUP(B106,RésultatsV!$AA$10:$AD$248,3,0)),"0",VLOOKUP(B106,RésultatsV!$AA$10:$AD$248,3,0))</f>
        <v>0</v>
      </c>
      <c r="S106" s="136">
        <f>IF(ISNA(VLOOKUP(B106,RésultatsV!$AA$10:$AD$248,4,0)),"0",VLOOKUP(B106,RésultatsV!$AA$10:$AD$248,4,0))</f>
        <v>0</v>
      </c>
      <c r="T106" s="136">
        <f>IF(ISNA(VLOOKUP(B106,RésultatsV!$AA$10:$AD$248,2,0)),"0",VLOOKUP(B106,RésultatsV!$AA$10:$AD$248,2,0))</f>
        <v>0</v>
      </c>
      <c r="U106" s="110">
        <f t="shared" si="28"/>
        <v>0</v>
      </c>
      <c r="V106" s="103">
        <f t="shared" si="29"/>
        <v>0</v>
      </c>
      <c r="W106" s="106">
        <f t="shared" si="23"/>
        <v>0</v>
      </c>
      <c r="X106" s="61">
        <f t="shared" si="26"/>
        <v>0</v>
      </c>
      <c r="Y106" s="52">
        <f t="shared" si="27"/>
        <v>0</v>
      </c>
      <c r="Z106" s="104">
        <f t="shared" si="24"/>
        <v>23.000159059999998</v>
      </c>
      <c r="AA106" s="115">
        <f>IF(B106="","",SMALL(Z$6:Z$185,ROWS(AD$6:AD106)))</f>
        <v>23.000159</v>
      </c>
      <c r="AB106" s="270"/>
      <c r="AC106" s="4">
        <f>IF(OR(B106="",U106=""),"",INDEX($B$6:$B$185,MATCH(AA106,$Z$6:Z$185,0)))</f>
        <v>0</v>
      </c>
      <c r="AD106" s="4">
        <f t="shared" si="30"/>
        <v>0</v>
      </c>
      <c r="AE106" s="4">
        <f t="shared" si="31"/>
        <v>0</v>
      </c>
      <c r="AF106" s="113">
        <f t="shared" si="25"/>
        <v>0</v>
      </c>
      <c r="AG106" s="271">
        <f>IF(AA106="","",IF(AND(AD105=AD106,AE105=AE106,AF105=AF106),AG105,$AG$6+100))</f>
        <v>23</v>
      </c>
      <c r="AH106" s="254"/>
      <c r="AI106" s="92"/>
      <c r="AJ106" s="23">
        <v>100</v>
      </c>
    </row>
    <row r="107" spans="1:36" s="23" customFormat="1" ht="18" customHeight="1">
      <c r="A107" s="282">
        <v>102</v>
      </c>
      <c r="B107" s="283">
        <f>+'Joueurs et TirageV'!E48</f>
        <v>0</v>
      </c>
      <c r="C107" s="136" t="str">
        <f>IF(ISNA(VLOOKUP(B107,RésultatsV!$B$10:$E$248,3,0)),"0",VLOOKUP(B107,RésultatsV!$B$10:$E$248,3,0))</f>
        <v>0</v>
      </c>
      <c r="D107" s="136">
        <f>IF(ISNA(VLOOKUP(B107,RésultatsV!$B$10:$E$248,4,0)),"0",VLOOKUP(B107,RésultatsV!$B$10:$E$248,4,0))</f>
        <v>0</v>
      </c>
      <c r="E107" s="136">
        <f>IF(ISNA(VLOOKUP(B107,RésultatsV!$B$10:$E$248,2,0)),"0",VLOOKUP(B107,RésultatsV!$B$10:$E$248,2,0))</f>
        <v>0</v>
      </c>
      <c r="F107" s="136">
        <f>IF(ISNA(VLOOKUP(B107,RésultatsV!$G$10:$J$248,3,0)),"0",VLOOKUP(B107,RésultatsV!$G$10:$J$248,3,0))</f>
        <v>0</v>
      </c>
      <c r="G107" s="136">
        <f>IF(ISNA(VLOOKUP(B107,RésultatsV!$G$10:$J$248,4,0)),"0",VLOOKUP(B107,RésultatsV!$G$10:$J$248,4,0))</f>
        <v>0</v>
      </c>
      <c r="H107" s="136">
        <f>IF(ISNA(VLOOKUP(B107,RésultatsV!$G$10:$J$248,2,0)),"0",VLOOKUP(B107,RésultatsV!$G$10:$J$248,2,0))</f>
        <v>0</v>
      </c>
      <c r="I107" s="136">
        <f>IF(ISNA(VLOOKUP(B107,RésultatsV!$L$10:$O$248,3,0)),"0",VLOOKUP(B107,RésultatsV!$L$10:$O$248,3,0))</f>
        <v>0</v>
      </c>
      <c r="J107" s="136">
        <f>IF(ISNA(VLOOKUP(B107,RésultatsV!$L$10:$O$248,4,0)),"0",VLOOKUP(B107,RésultatsV!$L$10:$O$248,4,0))</f>
        <v>0</v>
      </c>
      <c r="K107" s="136">
        <f>IF(ISNA(VLOOKUP(B107,RésultatsV!$L$10:$O$248,2,0)),"0",VLOOKUP(B107,RésultatsV!$L$10:$O$248,2,0))</f>
        <v>0</v>
      </c>
      <c r="L107" s="136">
        <f>IF(ISNA(VLOOKUP(B107,RésultatsV!$Q$10:$T$248,3,0)),"0",VLOOKUP(B107,RésultatsV!$Q$10:$T$248,3,0))</f>
        <v>0</v>
      </c>
      <c r="M107" s="136">
        <f>IF(ISNA(VLOOKUP(B107,RésultatsV!$Q$10:$T$248,4,0)),"0",VLOOKUP(B107,RésultatsV!$Q$10:$T$248,4,0))</f>
        <v>0</v>
      </c>
      <c r="N107" s="136">
        <f>IF(ISNA(VLOOKUP(B107,RésultatsV!$Q$10:$T$248,2,0)),"0",VLOOKUP(B107,RésultatsV!$Q$10:$T$248,2,0))</f>
        <v>0</v>
      </c>
      <c r="O107" s="136">
        <f>IF(ISNA(VLOOKUP(B107,RésultatsV!$V$10:$Y$248,3,0)),"0",VLOOKUP(B107,RésultatsV!$V$10:$Y$248,3,0))</f>
        <v>0</v>
      </c>
      <c r="P107" s="136">
        <f>IF(ISNA(VLOOKUP(B107,RésultatsV!$V$10:$Y$248,4,0)),"0",VLOOKUP(B107,RésultatsV!$V$10:$Y$248,4,0))</f>
        <v>0</v>
      </c>
      <c r="Q107" s="136">
        <f>IF(ISNA(VLOOKUP(E107,RésultatsV!$V$10:$Y$248,2,0)),"0",VLOOKUP(E107,RésultatsV!$V$10:$Y$248,2,0))</f>
        <v>0</v>
      </c>
      <c r="R107" s="136">
        <f>IF(ISNA(VLOOKUP(B107,RésultatsV!$AA$10:$AD$248,3,0)),"0",VLOOKUP(B107,RésultatsV!$AA$10:$AD$248,3,0))</f>
        <v>0</v>
      </c>
      <c r="S107" s="136">
        <f>IF(ISNA(VLOOKUP(B107,RésultatsV!$AA$10:$AD$248,4,0)),"0",VLOOKUP(B107,RésultatsV!$AA$10:$AD$248,4,0))</f>
        <v>0</v>
      </c>
      <c r="T107" s="136">
        <f>IF(ISNA(VLOOKUP(B107,RésultatsV!$AA$10:$AD$248,2,0)),"0",VLOOKUP(B107,RésultatsV!$AA$10:$AD$248,2,0))</f>
        <v>0</v>
      </c>
      <c r="U107" s="110">
        <f t="shared" si="28"/>
        <v>0</v>
      </c>
      <c r="V107" s="103">
        <f t="shared" si="29"/>
        <v>0</v>
      </c>
      <c r="W107" s="106">
        <f t="shared" si="23"/>
        <v>0</v>
      </c>
      <c r="X107" s="61">
        <f t="shared" si="26"/>
        <v>0</v>
      </c>
      <c r="Y107" s="52">
        <f t="shared" si="27"/>
        <v>0</v>
      </c>
      <c r="Z107" s="104">
        <f t="shared" si="24"/>
        <v>23.000159069999999</v>
      </c>
      <c r="AA107" s="115">
        <f>IF(B107="","",SMALL(Z$6:Z$185,ROWS(AD$6:AD107)))</f>
        <v>23.000159009999997</v>
      </c>
      <c r="AB107" s="270"/>
      <c r="AC107" s="4">
        <f>IF(OR(B107="",U107=""),"",INDEX($B$6:$B$185,MATCH(AA107,$Z$6:Z$185,0)))</f>
        <v>0</v>
      </c>
      <c r="AD107" s="4">
        <f t="shared" si="30"/>
        <v>0</v>
      </c>
      <c r="AE107" s="4">
        <f t="shared" si="31"/>
        <v>0</v>
      </c>
      <c r="AF107" s="113">
        <f t="shared" si="25"/>
        <v>0</v>
      </c>
      <c r="AG107" s="271">
        <f>IF(AA107="","",IF(AND(AD106=AD107,AE106=AE107,AF106=AF107),AG106,$AG$6+101))</f>
        <v>23</v>
      </c>
      <c r="AH107" s="34"/>
      <c r="AI107" s="92"/>
    </row>
    <row r="108" spans="1:36" s="23" customFormat="1" ht="18" customHeight="1">
      <c r="A108" s="282">
        <v>103</v>
      </c>
      <c r="B108" s="283">
        <f>+'Joueurs et TirageV'!E49</f>
        <v>0</v>
      </c>
      <c r="C108" s="136" t="str">
        <f>IF(ISNA(VLOOKUP(B108,RésultatsV!$B$10:$E$248,3,0)),"0",VLOOKUP(B108,RésultatsV!$B$10:$E$248,3,0))</f>
        <v>0</v>
      </c>
      <c r="D108" s="136">
        <f>IF(ISNA(VLOOKUP(B108,RésultatsV!$B$10:$E$248,4,0)),"0",VLOOKUP(B108,RésultatsV!$B$10:$E$248,4,0))</f>
        <v>0</v>
      </c>
      <c r="E108" s="136">
        <f>IF(ISNA(VLOOKUP(B108,RésultatsV!$B$10:$E$248,2,0)),"0",VLOOKUP(B108,RésultatsV!$B$10:$E$248,2,0))</f>
        <v>0</v>
      </c>
      <c r="F108" s="136">
        <f>IF(ISNA(VLOOKUP(B108,RésultatsV!$G$10:$J$248,3,0)),"0",VLOOKUP(B108,RésultatsV!$G$10:$J$248,3,0))</f>
        <v>0</v>
      </c>
      <c r="G108" s="136">
        <f>IF(ISNA(VLOOKUP(B108,RésultatsV!$G$10:$J$248,4,0)),"0",VLOOKUP(B108,RésultatsV!$G$10:$J$248,4,0))</f>
        <v>0</v>
      </c>
      <c r="H108" s="136">
        <f>IF(ISNA(VLOOKUP(B108,RésultatsV!$G$10:$J$248,2,0)),"0",VLOOKUP(B108,RésultatsV!$G$10:$J$248,2,0))</f>
        <v>0</v>
      </c>
      <c r="I108" s="136">
        <f>IF(ISNA(VLOOKUP(B108,RésultatsV!$L$10:$O$248,3,0)),"0",VLOOKUP(B108,RésultatsV!$L$10:$O$248,3,0))</f>
        <v>0</v>
      </c>
      <c r="J108" s="136">
        <f>IF(ISNA(VLOOKUP(B108,RésultatsV!$L$10:$O$248,4,0)),"0",VLOOKUP(B108,RésultatsV!$L$10:$O$248,4,0))</f>
        <v>0</v>
      </c>
      <c r="K108" s="136">
        <f>IF(ISNA(VLOOKUP(B108,RésultatsV!$L$10:$O$248,2,0)),"0",VLOOKUP(B108,RésultatsV!$L$10:$O$248,2,0))</f>
        <v>0</v>
      </c>
      <c r="L108" s="136">
        <f>IF(ISNA(VLOOKUP(B108,RésultatsV!$Q$10:$T$248,3,0)),"0",VLOOKUP(B108,RésultatsV!$Q$10:$T$248,3,0))</f>
        <v>0</v>
      </c>
      <c r="M108" s="136">
        <f>IF(ISNA(VLOOKUP(B108,RésultatsV!$Q$10:$T$248,4,0)),"0",VLOOKUP(B108,RésultatsV!$Q$10:$T$248,4,0))</f>
        <v>0</v>
      </c>
      <c r="N108" s="136">
        <f>IF(ISNA(VLOOKUP(B108,RésultatsV!$Q$10:$T$248,2,0)),"0",VLOOKUP(B108,RésultatsV!$Q$10:$T$248,2,0))</f>
        <v>0</v>
      </c>
      <c r="O108" s="136">
        <f>IF(ISNA(VLOOKUP(B108,RésultatsV!$V$10:$Y$248,3,0)),"0",VLOOKUP(B108,RésultatsV!$V$10:$Y$248,3,0))</f>
        <v>0</v>
      </c>
      <c r="P108" s="136">
        <f>IF(ISNA(VLOOKUP(B108,RésultatsV!$V$10:$Y$248,4,0)),"0",VLOOKUP(B108,RésultatsV!$V$10:$Y$248,4,0))</f>
        <v>0</v>
      </c>
      <c r="Q108" s="136">
        <f>IF(ISNA(VLOOKUP(E108,RésultatsV!$V$10:$Y$248,2,0)),"0",VLOOKUP(E108,RésultatsV!$V$10:$Y$248,2,0))</f>
        <v>0</v>
      </c>
      <c r="R108" s="136">
        <f>IF(ISNA(VLOOKUP(B108,RésultatsV!$AA$10:$AD$248,3,0)),"0",VLOOKUP(B108,RésultatsV!$AA$10:$AD$248,3,0))</f>
        <v>0</v>
      </c>
      <c r="S108" s="136">
        <f>IF(ISNA(VLOOKUP(B108,RésultatsV!$AA$10:$AD$248,4,0)),"0",VLOOKUP(B108,RésultatsV!$AA$10:$AD$248,4,0))</f>
        <v>0</v>
      </c>
      <c r="T108" s="136">
        <f>IF(ISNA(VLOOKUP(B108,RésultatsV!$AA$10:$AD$248,2,0)),"0",VLOOKUP(B108,RésultatsV!$AA$10:$AD$248,2,0))</f>
        <v>0</v>
      </c>
      <c r="U108" s="110">
        <f t="shared" si="28"/>
        <v>0</v>
      </c>
      <c r="V108" s="103">
        <f t="shared" si="29"/>
        <v>0</v>
      </c>
      <c r="W108" s="106">
        <f t="shared" si="23"/>
        <v>0</v>
      </c>
      <c r="X108" s="61">
        <f t="shared" si="26"/>
        <v>0</v>
      </c>
      <c r="Y108" s="52">
        <f t="shared" si="27"/>
        <v>0</v>
      </c>
      <c r="Z108" s="104">
        <f t="shared" si="24"/>
        <v>23.00015908</v>
      </c>
      <c r="AA108" s="115">
        <f>IF(B108="","",SMALL(Z$6:Z$185,ROWS(AD$6:AD108)))</f>
        <v>23.000159019999998</v>
      </c>
      <c r="AB108" s="270"/>
      <c r="AC108" s="4">
        <f>IF(OR(B108="",U108=""),"",INDEX($B$6:$B$185,MATCH(AA108,$Z$6:Z$185,0)))</f>
        <v>0</v>
      </c>
      <c r="AD108" s="4">
        <f t="shared" si="30"/>
        <v>0</v>
      </c>
      <c r="AE108" s="4">
        <f t="shared" si="31"/>
        <v>0</v>
      </c>
      <c r="AF108" s="113">
        <f t="shared" si="25"/>
        <v>0</v>
      </c>
      <c r="AG108" s="271">
        <f>IF(AA108="","",IF(AND(AD107=AD108,AE107=AE108,AF107=AF108),AG107,$AG$6+102))</f>
        <v>23</v>
      </c>
      <c r="AH108" s="34"/>
      <c r="AI108" s="92"/>
    </row>
    <row r="109" spans="1:36" s="23" customFormat="1" ht="18" customHeight="1">
      <c r="A109" s="282">
        <v>104</v>
      </c>
      <c r="B109" s="283">
        <f>+'Joueurs et TirageV'!E50</f>
        <v>0</v>
      </c>
      <c r="C109" s="136" t="str">
        <f>IF(ISNA(VLOOKUP(B109,RésultatsV!$B$10:$E$248,3,0)),"0",VLOOKUP(B109,RésultatsV!$B$10:$E$248,3,0))</f>
        <v>0</v>
      </c>
      <c r="D109" s="136">
        <f>IF(ISNA(VLOOKUP(B109,RésultatsV!$B$10:$E$248,4,0)),"0",VLOOKUP(B109,RésultatsV!$B$10:$E$248,4,0))</f>
        <v>0</v>
      </c>
      <c r="E109" s="136">
        <f>IF(ISNA(VLOOKUP(B109,RésultatsV!$B$10:$E$248,2,0)),"0",VLOOKUP(B109,RésultatsV!$B$10:$E$248,2,0))</f>
        <v>0</v>
      </c>
      <c r="F109" s="136">
        <f>IF(ISNA(VLOOKUP(B109,RésultatsV!$G$10:$J$248,3,0)),"0",VLOOKUP(B109,RésultatsV!$G$10:$J$248,3,0))</f>
        <v>0</v>
      </c>
      <c r="G109" s="136">
        <f>IF(ISNA(VLOOKUP(B109,RésultatsV!$G$10:$J$248,4,0)),"0",VLOOKUP(B109,RésultatsV!$G$10:$J$248,4,0))</f>
        <v>0</v>
      </c>
      <c r="H109" s="136">
        <f>IF(ISNA(VLOOKUP(B109,RésultatsV!$G$10:$J$248,2,0)),"0",VLOOKUP(B109,RésultatsV!$G$10:$J$248,2,0))</f>
        <v>0</v>
      </c>
      <c r="I109" s="136">
        <f>IF(ISNA(VLOOKUP(B109,RésultatsV!$L$10:$O$248,3,0)),"0",VLOOKUP(B109,RésultatsV!$L$10:$O$248,3,0))</f>
        <v>0</v>
      </c>
      <c r="J109" s="136">
        <f>IF(ISNA(VLOOKUP(B109,RésultatsV!$L$10:$O$248,4,0)),"0",VLOOKUP(B109,RésultatsV!$L$10:$O$248,4,0))</f>
        <v>0</v>
      </c>
      <c r="K109" s="136">
        <f>IF(ISNA(VLOOKUP(B109,RésultatsV!$L$10:$O$248,2,0)),"0",VLOOKUP(B109,RésultatsV!$L$10:$O$248,2,0))</f>
        <v>0</v>
      </c>
      <c r="L109" s="136">
        <f>IF(ISNA(VLOOKUP(B109,RésultatsV!$Q$10:$T$248,3,0)),"0",VLOOKUP(B109,RésultatsV!$Q$10:$T$248,3,0))</f>
        <v>0</v>
      </c>
      <c r="M109" s="136">
        <f>IF(ISNA(VLOOKUP(B109,RésultatsV!$Q$10:$T$248,4,0)),"0",VLOOKUP(B109,RésultatsV!$Q$10:$T$248,4,0))</f>
        <v>0</v>
      </c>
      <c r="N109" s="136">
        <f>IF(ISNA(VLOOKUP(B109,RésultatsV!$Q$10:$T$248,2,0)),"0",VLOOKUP(B109,RésultatsV!$Q$10:$T$248,2,0))</f>
        <v>0</v>
      </c>
      <c r="O109" s="136">
        <f>IF(ISNA(VLOOKUP(B109,RésultatsV!$V$10:$Y$248,3,0)),"0",VLOOKUP(B109,RésultatsV!$V$10:$Y$248,3,0))</f>
        <v>0</v>
      </c>
      <c r="P109" s="136">
        <f>IF(ISNA(VLOOKUP(B109,RésultatsV!$V$10:$Y$248,4,0)),"0",VLOOKUP(B109,RésultatsV!$V$10:$Y$248,4,0))</f>
        <v>0</v>
      </c>
      <c r="Q109" s="136">
        <f>IF(ISNA(VLOOKUP(E109,RésultatsV!$V$10:$Y$248,2,0)),"0",VLOOKUP(E109,RésultatsV!$V$10:$Y$248,2,0))</f>
        <v>0</v>
      </c>
      <c r="R109" s="136">
        <f>IF(ISNA(VLOOKUP(B109,RésultatsV!$AA$10:$AD$248,3,0)),"0",VLOOKUP(B109,RésultatsV!$AA$10:$AD$248,3,0))</f>
        <v>0</v>
      </c>
      <c r="S109" s="136">
        <f>IF(ISNA(VLOOKUP(B109,RésultatsV!$AA$10:$AD$248,4,0)),"0",VLOOKUP(B109,RésultatsV!$AA$10:$AD$248,4,0))</f>
        <v>0</v>
      </c>
      <c r="T109" s="136">
        <f>IF(ISNA(VLOOKUP(B109,RésultatsV!$AA$10:$AD$248,2,0)),"0",VLOOKUP(B109,RésultatsV!$AA$10:$AD$248,2,0))</f>
        <v>0</v>
      </c>
      <c r="U109" s="110">
        <f t="shared" si="28"/>
        <v>0</v>
      </c>
      <c r="V109" s="103">
        <f t="shared" si="29"/>
        <v>0</v>
      </c>
      <c r="W109" s="106">
        <f t="shared" si="23"/>
        <v>0</v>
      </c>
      <c r="X109" s="61">
        <f t="shared" si="26"/>
        <v>0</v>
      </c>
      <c r="Y109" s="52">
        <f t="shared" si="27"/>
        <v>0</v>
      </c>
      <c r="Z109" s="104">
        <f t="shared" si="24"/>
        <v>23.00015909</v>
      </c>
      <c r="AA109" s="115">
        <f>IF(B109="","",SMALL(Z$6:Z$185,ROWS(AD$6:AD109)))</f>
        <v>23.000159029999999</v>
      </c>
      <c r="AB109" s="270"/>
      <c r="AC109" s="4">
        <f>IF(OR(B109="",U109=""),"",INDEX($B$6:$B$185,MATCH(AA109,$Z$6:Z$185,0)))</f>
        <v>0</v>
      </c>
      <c r="AD109" s="4">
        <f t="shared" si="30"/>
        <v>0</v>
      </c>
      <c r="AE109" s="4">
        <f t="shared" si="31"/>
        <v>0</v>
      </c>
      <c r="AF109" s="113">
        <f t="shared" si="25"/>
        <v>0</v>
      </c>
      <c r="AG109" s="271">
        <f>IF(AA109="","",IF(AND(AD108=AD109,AE108=AE109,AF108=AF109),AG108,$AG$6+103))</f>
        <v>23</v>
      </c>
      <c r="AH109" s="34"/>
      <c r="AI109" s="92"/>
    </row>
    <row r="110" spans="1:36" s="23" customFormat="1" ht="18" customHeight="1">
      <c r="A110" s="282">
        <v>105</v>
      </c>
      <c r="B110" s="283">
        <f>+'Joueurs et TirageV'!E51</f>
        <v>0</v>
      </c>
      <c r="C110" s="136" t="str">
        <f>IF(ISNA(VLOOKUP(B110,RésultatsV!$B$10:$E$248,3,0)),"0",VLOOKUP(B110,RésultatsV!$B$10:$E$248,3,0))</f>
        <v>0</v>
      </c>
      <c r="D110" s="136">
        <f>IF(ISNA(VLOOKUP(B110,RésultatsV!$B$10:$E$248,4,0)),"0",VLOOKUP(B110,RésultatsV!$B$10:$E$248,4,0))</f>
        <v>0</v>
      </c>
      <c r="E110" s="136">
        <f>IF(ISNA(VLOOKUP(B110,RésultatsV!$B$10:$E$248,2,0)),"0",VLOOKUP(B110,RésultatsV!$B$10:$E$248,2,0))</f>
        <v>0</v>
      </c>
      <c r="F110" s="136">
        <f>IF(ISNA(VLOOKUP(B110,RésultatsV!$G$10:$J$248,3,0)),"0",VLOOKUP(B110,RésultatsV!$G$10:$J$248,3,0))</f>
        <v>0</v>
      </c>
      <c r="G110" s="136">
        <f>IF(ISNA(VLOOKUP(B110,RésultatsV!$G$10:$J$248,4,0)),"0",VLOOKUP(B110,RésultatsV!$G$10:$J$248,4,0))</f>
        <v>0</v>
      </c>
      <c r="H110" s="136">
        <f>IF(ISNA(VLOOKUP(B110,RésultatsV!$G$10:$J$248,2,0)),"0",VLOOKUP(B110,RésultatsV!$G$10:$J$248,2,0))</f>
        <v>0</v>
      </c>
      <c r="I110" s="136">
        <f>IF(ISNA(VLOOKUP(B110,RésultatsV!$L$10:$O$248,3,0)),"0",VLOOKUP(B110,RésultatsV!$L$10:$O$248,3,0))</f>
        <v>0</v>
      </c>
      <c r="J110" s="136">
        <f>IF(ISNA(VLOOKUP(B110,RésultatsV!$L$10:$O$248,4,0)),"0",VLOOKUP(B110,RésultatsV!$L$10:$O$248,4,0))</f>
        <v>0</v>
      </c>
      <c r="K110" s="136">
        <f>IF(ISNA(VLOOKUP(B110,RésultatsV!$L$10:$O$248,2,0)),"0",VLOOKUP(B110,RésultatsV!$L$10:$O$248,2,0))</f>
        <v>0</v>
      </c>
      <c r="L110" s="136">
        <f>IF(ISNA(VLOOKUP(B110,RésultatsV!$Q$10:$T$248,3,0)),"0",VLOOKUP(B110,RésultatsV!$Q$10:$T$248,3,0))</f>
        <v>0</v>
      </c>
      <c r="M110" s="136">
        <f>IF(ISNA(VLOOKUP(B110,RésultatsV!$Q$10:$T$248,4,0)),"0",VLOOKUP(B110,RésultatsV!$Q$10:$T$248,4,0))</f>
        <v>0</v>
      </c>
      <c r="N110" s="136">
        <f>IF(ISNA(VLOOKUP(B110,RésultatsV!$Q$10:$T$248,2,0)),"0",VLOOKUP(B110,RésultatsV!$Q$10:$T$248,2,0))</f>
        <v>0</v>
      </c>
      <c r="O110" s="136">
        <f>IF(ISNA(VLOOKUP(B110,RésultatsV!$V$10:$Y$248,3,0)),"0",VLOOKUP(B110,RésultatsV!$V$10:$Y$248,3,0))</f>
        <v>0</v>
      </c>
      <c r="P110" s="136">
        <f>IF(ISNA(VLOOKUP(B110,RésultatsV!$V$10:$Y$248,4,0)),"0",VLOOKUP(B110,RésultatsV!$V$10:$Y$248,4,0))</f>
        <v>0</v>
      </c>
      <c r="Q110" s="136">
        <f>IF(ISNA(VLOOKUP(E110,RésultatsV!$V$10:$Y$248,2,0)),"0",VLOOKUP(E110,RésultatsV!$V$10:$Y$248,2,0))</f>
        <v>0</v>
      </c>
      <c r="R110" s="136">
        <f>IF(ISNA(VLOOKUP(B110,RésultatsV!$AA$10:$AD$248,3,0)),"0",VLOOKUP(B110,RésultatsV!$AA$10:$AD$248,3,0))</f>
        <v>0</v>
      </c>
      <c r="S110" s="136">
        <f>IF(ISNA(VLOOKUP(B110,RésultatsV!$AA$10:$AD$248,4,0)),"0",VLOOKUP(B110,RésultatsV!$AA$10:$AD$248,4,0))</f>
        <v>0</v>
      </c>
      <c r="T110" s="136">
        <f>IF(ISNA(VLOOKUP(B110,RésultatsV!$AA$10:$AD$248,2,0)),"0",VLOOKUP(B110,RésultatsV!$AA$10:$AD$248,2,0))</f>
        <v>0</v>
      </c>
      <c r="U110" s="110">
        <f t="shared" si="28"/>
        <v>0</v>
      </c>
      <c r="V110" s="103">
        <f t="shared" si="29"/>
        <v>0</v>
      </c>
      <c r="W110" s="106">
        <f t="shared" si="23"/>
        <v>0</v>
      </c>
      <c r="X110" s="61">
        <f t="shared" si="26"/>
        <v>0</v>
      </c>
      <c r="Y110" s="52">
        <f t="shared" si="27"/>
        <v>0</v>
      </c>
      <c r="Z110" s="104">
        <f t="shared" si="24"/>
        <v>23.000159099999998</v>
      </c>
      <c r="AA110" s="115">
        <f>IF(B110="","",SMALL(Z$6:Z$185,ROWS(AD$6:AD110)))</f>
        <v>23.00015904</v>
      </c>
      <c r="AB110" s="270"/>
      <c r="AC110" s="4">
        <f>IF(OR(B110="",U110=""),"",INDEX($B$6:$B$185,MATCH(AA110,$Z$6:Z$185,0)))</f>
        <v>0</v>
      </c>
      <c r="AD110" s="4">
        <f t="shared" si="30"/>
        <v>0</v>
      </c>
      <c r="AE110" s="4">
        <f t="shared" si="31"/>
        <v>0</v>
      </c>
      <c r="AF110" s="113">
        <f t="shared" si="25"/>
        <v>0</v>
      </c>
      <c r="AG110" s="271">
        <f>IF(AA110="","",IF(AND(AD109=AD110,AE109=AE110,AF109=AF110),AG109,$AG$6+104))</f>
        <v>23</v>
      </c>
      <c r="AH110" s="34"/>
      <c r="AI110" s="92"/>
    </row>
    <row r="111" spans="1:36" s="23" customFormat="1" ht="18" customHeight="1">
      <c r="A111" s="282">
        <v>106</v>
      </c>
      <c r="B111" s="283">
        <f>+'Joueurs et TirageV'!E52</f>
        <v>0</v>
      </c>
      <c r="C111" s="136" t="str">
        <f>IF(ISNA(VLOOKUP(B111,RésultatsV!$B$10:$E$248,3,0)),"0",VLOOKUP(B111,RésultatsV!$B$10:$E$248,3,0))</f>
        <v>0</v>
      </c>
      <c r="D111" s="136">
        <f>IF(ISNA(VLOOKUP(B111,RésultatsV!$B$10:$E$248,4,0)),"0",VLOOKUP(B111,RésultatsV!$B$10:$E$248,4,0))</f>
        <v>0</v>
      </c>
      <c r="E111" s="136">
        <f>IF(ISNA(VLOOKUP(B111,RésultatsV!$B$10:$E$248,2,0)),"0",VLOOKUP(B111,RésultatsV!$B$10:$E$248,2,0))</f>
        <v>0</v>
      </c>
      <c r="F111" s="136">
        <f>IF(ISNA(VLOOKUP(B111,RésultatsV!$G$10:$J$248,3,0)),"0",VLOOKUP(B111,RésultatsV!$G$10:$J$248,3,0))</f>
        <v>0</v>
      </c>
      <c r="G111" s="136">
        <f>IF(ISNA(VLOOKUP(B111,RésultatsV!$G$10:$J$248,4,0)),"0",VLOOKUP(B111,RésultatsV!$G$10:$J$248,4,0))</f>
        <v>0</v>
      </c>
      <c r="H111" s="136">
        <f>IF(ISNA(VLOOKUP(B111,RésultatsV!$G$10:$J$248,2,0)),"0",VLOOKUP(B111,RésultatsV!$G$10:$J$248,2,0))</f>
        <v>0</v>
      </c>
      <c r="I111" s="136">
        <f>IF(ISNA(VLOOKUP(B111,RésultatsV!$L$10:$O$248,3,0)),"0",VLOOKUP(B111,RésultatsV!$L$10:$O$248,3,0))</f>
        <v>0</v>
      </c>
      <c r="J111" s="136">
        <f>IF(ISNA(VLOOKUP(B111,RésultatsV!$L$10:$O$248,4,0)),"0",VLOOKUP(B111,RésultatsV!$L$10:$O$248,4,0))</f>
        <v>0</v>
      </c>
      <c r="K111" s="136">
        <f>IF(ISNA(VLOOKUP(B111,RésultatsV!$L$10:$O$248,2,0)),"0",VLOOKUP(B111,RésultatsV!$L$10:$O$248,2,0))</f>
        <v>0</v>
      </c>
      <c r="L111" s="136">
        <f>IF(ISNA(VLOOKUP(B111,RésultatsV!$Q$10:$T$248,3,0)),"0",VLOOKUP(B111,RésultatsV!$Q$10:$T$248,3,0))</f>
        <v>0</v>
      </c>
      <c r="M111" s="136">
        <f>IF(ISNA(VLOOKUP(B111,RésultatsV!$Q$10:$T$248,4,0)),"0",VLOOKUP(B111,RésultatsV!$Q$10:$T$248,4,0))</f>
        <v>0</v>
      </c>
      <c r="N111" s="136">
        <f>IF(ISNA(VLOOKUP(B111,RésultatsV!$Q$10:$T$248,2,0)),"0",VLOOKUP(B111,RésultatsV!$Q$10:$T$248,2,0))</f>
        <v>0</v>
      </c>
      <c r="O111" s="136">
        <f>IF(ISNA(VLOOKUP(B111,RésultatsV!$V$10:$Y$248,3,0)),"0",VLOOKUP(B111,RésultatsV!$V$10:$Y$248,3,0))</f>
        <v>0</v>
      </c>
      <c r="P111" s="136">
        <f>IF(ISNA(VLOOKUP(B111,RésultatsV!$V$10:$Y$248,4,0)),"0",VLOOKUP(B111,RésultatsV!$V$10:$Y$248,4,0))</f>
        <v>0</v>
      </c>
      <c r="Q111" s="136">
        <f>IF(ISNA(VLOOKUP(E111,RésultatsV!$V$10:$Y$248,2,0)),"0",VLOOKUP(E111,RésultatsV!$V$10:$Y$248,2,0))</f>
        <v>0</v>
      </c>
      <c r="R111" s="136">
        <f>IF(ISNA(VLOOKUP(B111,RésultatsV!$AA$10:$AD$248,3,0)),"0",VLOOKUP(B111,RésultatsV!$AA$10:$AD$248,3,0))</f>
        <v>0</v>
      </c>
      <c r="S111" s="136">
        <f>IF(ISNA(VLOOKUP(B111,RésultatsV!$AA$10:$AD$248,4,0)),"0",VLOOKUP(B111,RésultatsV!$AA$10:$AD$248,4,0))</f>
        <v>0</v>
      </c>
      <c r="T111" s="136">
        <f>IF(ISNA(VLOOKUP(B111,RésultatsV!$AA$10:$AD$248,2,0)),"0",VLOOKUP(B111,RésultatsV!$AA$10:$AD$248,2,0))</f>
        <v>0</v>
      </c>
      <c r="U111" s="110">
        <f t="shared" si="28"/>
        <v>0</v>
      </c>
      <c r="V111" s="103">
        <f t="shared" si="29"/>
        <v>0</v>
      </c>
      <c r="W111" s="106">
        <f t="shared" si="23"/>
        <v>0</v>
      </c>
      <c r="X111" s="61">
        <f t="shared" si="26"/>
        <v>0</v>
      </c>
      <c r="Y111" s="52">
        <f t="shared" si="27"/>
        <v>0</v>
      </c>
      <c r="Z111" s="104">
        <f t="shared" si="24"/>
        <v>23.000159109999998</v>
      </c>
      <c r="AA111" s="115">
        <f>IF(B111="","",SMALL(Z$6:Z$185,ROWS(AD$6:AD111)))</f>
        <v>23.000159050000001</v>
      </c>
      <c r="AB111" s="270"/>
      <c r="AC111" s="4">
        <f>IF(OR(B111="",U111=""),"",INDEX($B$6:$B$185,MATCH(AA111,$Z$6:Z$185,0)))</f>
        <v>0</v>
      </c>
      <c r="AD111" s="4">
        <f t="shared" si="30"/>
        <v>0</v>
      </c>
      <c r="AE111" s="4">
        <f t="shared" si="31"/>
        <v>0</v>
      </c>
      <c r="AF111" s="113">
        <f t="shared" si="25"/>
        <v>0</v>
      </c>
      <c r="AG111" s="271">
        <f>IF(AA111="","",IF(AND(AD110=AD111,AE110=AE111,AF110=AF111),AG110,$AG$6+105))</f>
        <v>23</v>
      </c>
      <c r="AH111" s="34"/>
      <c r="AI111" s="92"/>
    </row>
    <row r="112" spans="1:36" s="23" customFormat="1" ht="18" customHeight="1">
      <c r="A112" s="282">
        <v>107</v>
      </c>
      <c r="B112" s="283">
        <f>+'Joueurs et TirageV'!E53</f>
        <v>0</v>
      </c>
      <c r="C112" s="136" t="str">
        <f>IF(ISNA(VLOOKUP(B112,RésultatsV!$B$10:$E$248,3,0)),"0",VLOOKUP(B112,RésultatsV!$B$10:$E$248,3,0))</f>
        <v>0</v>
      </c>
      <c r="D112" s="136">
        <f>IF(ISNA(VLOOKUP(B112,RésultatsV!$B$10:$E$248,4,0)),"0",VLOOKUP(B112,RésultatsV!$B$10:$E$248,4,0))</f>
        <v>0</v>
      </c>
      <c r="E112" s="136">
        <f>IF(ISNA(VLOOKUP(B112,RésultatsV!$B$10:$E$248,2,0)),"0",VLOOKUP(B112,RésultatsV!$B$10:$E$248,2,0))</f>
        <v>0</v>
      </c>
      <c r="F112" s="136">
        <f>IF(ISNA(VLOOKUP(B112,RésultatsV!$G$10:$J$248,3,0)),"0",VLOOKUP(B112,RésultatsV!$G$10:$J$248,3,0))</f>
        <v>0</v>
      </c>
      <c r="G112" s="136">
        <f>IF(ISNA(VLOOKUP(B112,RésultatsV!$G$10:$J$248,4,0)),"0",VLOOKUP(B112,RésultatsV!$G$10:$J$248,4,0))</f>
        <v>0</v>
      </c>
      <c r="H112" s="136">
        <f>IF(ISNA(VLOOKUP(B112,RésultatsV!$G$10:$J$248,2,0)),"0",VLOOKUP(B112,RésultatsV!$G$10:$J$248,2,0))</f>
        <v>0</v>
      </c>
      <c r="I112" s="136">
        <f>IF(ISNA(VLOOKUP(B112,RésultatsV!$L$10:$O$248,3,0)),"0",VLOOKUP(B112,RésultatsV!$L$10:$O$248,3,0))</f>
        <v>0</v>
      </c>
      <c r="J112" s="136">
        <f>IF(ISNA(VLOOKUP(B112,RésultatsV!$L$10:$O$248,4,0)),"0",VLOOKUP(B112,RésultatsV!$L$10:$O$248,4,0))</f>
        <v>0</v>
      </c>
      <c r="K112" s="136">
        <f>IF(ISNA(VLOOKUP(B112,RésultatsV!$L$10:$O$248,2,0)),"0",VLOOKUP(B112,RésultatsV!$L$10:$O$248,2,0))</f>
        <v>0</v>
      </c>
      <c r="L112" s="136">
        <f>IF(ISNA(VLOOKUP(B112,RésultatsV!$Q$10:$T$248,3,0)),"0",VLOOKUP(B112,RésultatsV!$Q$10:$T$248,3,0))</f>
        <v>0</v>
      </c>
      <c r="M112" s="136">
        <f>IF(ISNA(VLOOKUP(B112,RésultatsV!$Q$10:$T$248,4,0)),"0",VLOOKUP(B112,RésultatsV!$Q$10:$T$248,4,0))</f>
        <v>0</v>
      </c>
      <c r="N112" s="136">
        <f>IF(ISNA(VLOOKUP(B112,RésultatsV!$Q$10:$T$248,2,0)),"0",VLOOKUP(B112,RésultatsV!$Q$10:$T$248,2,0))</f>
        <v>0</v>
      </c>
      <c r="O112" s="136">
        <f>IF(ISNA(VLOOKUP(B112,RésultatsV!$V$10:$Y$248,3,0)),"0",VLOOKUP(B112,RésultatsV!$V$10:$Y$248,3,0))</f>
        <v>0</v>
      </c>
      <c r="P112" s="136">
        <f>IF(ISNA(VLOOKUP(B112,RésultatsV!$V$10:$Y$248,4,0)),"0",VLOOKUP(B112,RésultatsV!$V$10:$Y$248,4,0))</f>
        <v>0</v>
      </c>
      <c r="Q112" s="136">
        <f>IF(ISNA(VLOOKUP(E112,RésultatsV!$V$10:$Y$248,2,0)),"0",VLOOKUP(E112,RésultatsV!$V$10:$Y$248,2,0))</f>
        <v>0</v>
      </c>
      <c r="R112" s="136">
        <f>IF(ISNA(VLOOKUP(B112,RésultatsV!$AA$10:$AD$248,3,0)),"0",VLOOKUP(B112,RésultatsV!$AA$10:$AD$248,3,0))</f>
        <v>0</v>
      </c>
      <c r="S112" s="136">
        <f>IF(ISNA(VLOOKUP(B112,RésultatsV!$AA$10:$AD$248,4,0)),"0",VLOOKUP(B112,RésultatsV!$AA$10:$AD$248,4,0))</f>
        <v>0</v>
      </c>
      <c r="T112" s="136">
        <f>IF(ISNA(VLOOKUP(B112,RésultatsV!$AA$10:$AD$248,2,0)),"0",VLOOKUP(B112,RésultatsV!$AA$10:$AD$248,2,0))</f>
        <v>0</v>
      </c>
      <c r="U112" s="110">
        <f t="shared" si="28"/>
        <v>0</v>
      </c>
      <c r="V112" s="103">
        <f t="shared" si="29"/>
        <v>0</v>
      </c>
      <c r="W112" s="106">
        <f t="shared" si="23"/>
        <v>0</v>
      </c>
      <c r="X112" s="61">
        <f t="shared" si="26"/>
        <v>0</v>
      </c>
      <c r="Y112" s="52">
        <f t="shared" si="27"/>
        <v>0</v>
      </c>
      <c r="Z112" s="104">
        <f t="shared" si="24"/>
        <v>23.000159119999999</v>
      </c>
      <c r="AA112" s="115">
        <f>IF(B112="","",SMALL(Z$6:Z$185,ROWS(AD$6:AD112)))</f>
        <v>23.000159059999998</v>
      </c>
      <c r="AB112" s="270"/>
      <c r="AC112" s="4">
        <f>IF(OR(B112="",U112=""),"",INDEX($B$6:$B$185,MATCH(AA112,$Z$6:Z$185,0)))</f>
        <v>0</v>
      </c>
      <c r="AD112" s="4">
        <f t="shared" si="30"/>
        <v>0</v>
      </c>
      <c r="AE112" s="4">
        <f t="shared" si="31"/>
        <v>0</v>
      </c>
      <c r="AF112" s="113">
        <f t="shared" si="25"/>
        <v>0</v>
      </c>
      <c r="AG112" s="271">
        <f>IF(AA112="","",IF(AND(AD111=AD112,AE111=AE112,AF111=AF112),AG111,$AG$6+106))</f>
        <v>23</v>
      </c>
      <c r="AH112" s="34"/>
      <c r="AI112" s="92"/>
    </row>
    <row r="113" spans="1:36" s="23" customFormat="1" ht="18" customHeight="1">
      <c r="A113" s="282">
        <v>108</v>
      </c>
      <c r="B113" s="283">
        <f>+'Joueurs et TirageV'!E54</f>
        <v>0</v>
      </c>
      <c r="C113" s="136" t="str">
        <f>IF(ISNA(VLOOKUP(B113,RésultatsV!$B$10:$E$248,3,0)),"0",VLOOKUP(B113,RésultatsV!$B$10:$E$248,3,0))</f>
        <v>0</v>
      </c>
      <c r="D113" s="136">
        <f>IF(ISNA(VLOOKUP(B113,RésultatsV!$B$10:$E$248,4,0)),"0",VLOOKUP(B113,RésultatsV!$B$10:$E$248,4,0))</f>
        <v>0</v>
      </c>
      <c r="E113" s="136">
        <f>IF(ISNA(VLOOKUP(B113,RésultatsV!$B$10:$E$248,2,0)),"0",VLOOKUP(B113,RésultatsV!$B$10:$E$248,2,0))</f>
        <v>0</v>
      </c>
      <c r="F113" s="136">
        <f>IF(ISNA(VLOOKUP(B113,RésultatsV!$G$10:$J$248,3,0)),"0",VLOOKUP(B113,RésultatsV!$G$10:$J$248,3,0))</f>
        <v>0</v>
      </c>
      <c r="G113" s="136">
        <f>IF(ISNA(VLOOKUP(B113,RésultatsV!$G$10:$J$248,4,0)),"0",VLOOKUP(B113,RésultatsV!$G$10:$J$248,4,0))</f>
        <v>0</v>
      </c>
      <c r="H113" s="136">
        <f>IF(ISNA(VLOOKUP(B113,RésultatsV!$G$10:$J$248,2,0)),"0",VLOOKUP(B113,RésultatsV!$G$10:$J$248,2,0))</f>
        <v>0</v>
      </c>
      <c r="I113" s="136">
        <f>IF(ISNA(VLOOKUP(B113,RésultatsV!$L$10:$O$248,3,0)),"0",VLOOKUP(B113,RésultatsV!$L$10:$O$248,3,0))</f>
        <v>0</v>
      </c>
      <c r="J113" s="136">
        <f>IF(ISNA(VLOOKUP(B113,RésultatsV!$L$10:$O$248,4,0)),"0",VLOOKUP(B113,RésultatsV!$L$10:$O$248,4,0))</f>
        <v>0</v>
      </c>
      <c r="K113" s="136">
        <f>IF(ISNA(VLOOKUP(B113,RésultatsV!$L$10:$O$248,2,0)),"0",VLOOKUP(B113,RésultatsV!$L$10:$O$248,2,0))</f>
        <v>0</v>
      </c>
      <c r="L113" s="136">
        <f>IF(ISNA(VLOOKUP(B113,RésultatsV!$Q$10:$T$248,3,0)),"0",VLOOKUP(B113,RésultatsV!$Q$10:$T$248,3,0))</f>
        <v>0</v>
      </c>
      <c r="M113" s="136">
        <f>IF(ISNA(VLOOKUP(B113,RésultatsV!$Q$10:$T$248,4,0)),"0",VLOOKUP(B113,RésultatsV!$Q$10:$T$248,4,0))</f>
        <v>0</v>
      </c>
      <c r="N113" s="136">
        <f>IF(ISNA(VLOOKUP(B113,RésultatsV!$Q$10:$T$248,2,0)),"0",VLOOKUP(B113,RésultatsV!$Q$10:$T$248,2,0))</f>
        <v>0</v>
      </c>
      <c r="O113" s="136">
        <f>IF(ISNA(VLOOKUP(B113,RésultatsV!$V$10:$Y$248,3,0)),"0",VLOOKUP(B113,RésultatsV!$V$10:$Y$248,3,0))</f>
        <v>0</v>
      </c>
      <c r="P113" s="136">
        <f>IF(ISNA(VLOOKUP(B113,RésultatsV!$V$10:$Y$248,4,0)),"0",VLOOKUP(B113,RésultatsV!$V$10:$Y$248,4,0))</f>
        <v>0</v>
      </c>
      <c r="Q113" s="136">
        <f>IF(ISNA(VLOOKUP(E113,RésultatsV!$V$10:$Y$248,2,0)),"0",VLOOKUP(E113,RésultatsV!$V$10:$Y$248,2,0))</f>
        <v>0</v>
      </c>
      <c r="R113" s="136">
        <f>IF(ISNA(VLOOKUP(B113,RésultatsV!$AA$10:$AD$248,3,0)),"0",VLOOKUP(B113,RésultatsV!$AA$10:$AD$248,3,0))</f>
        <v>0</v>
      </c>
      <c r="S113" s="136">
        <f>IF(ISNA(VLOOKUP(B113,RésultatsV!$AA$10:$AD$248,4,0)),"0",VLOOKUP(B113,RésultatsV!$AA$10:$AD$248,4,0))</f>
        <v>0</v>
      </c>
      <c r="T113" s="136">
        <f>IF(ISNA(VLOOKUP(B113,RésultatsV!$AA$10:$AD$248,2,0)),"0",VLOOKUP(B113,RésultatsV!$AA$10:$AD$248,2,0))</f>
        <v>0</v>
      </c>
      <c r="U113" s="110">
        <f t="shared" si="28"/>
        <v>0</v>
      </c>
      <c r="V113" s="103">
        <f t="shared" si="29"/>
        <v>0</v>
      </c>
      <c r="W113" s="106">
        <f t="shared" si="23"/>
        <v>0</v>
      </c>
      <c r="X113" s="61">
        <f t="shared" si="26"/>
        <v>0</v>
      </c>
      <c r="Y113" s="52">
        <f t="shared" si="27"/>
        <v>0</v>
      </c>
      <c r="Z113" s="104">
        <f t="shared" si="24"/>
        <v>23.00015913</v>
      </c>
      <c r="AA113" s="115">
        <f>IF(B113="","",SMALL(Z$6:Z$185,ROWS(AD$6:AD113)))</f>
        <v>23.000159069999999</v>
      </c>
      <c r="AB113" s="270"/>
      <c r="AC113" s="4">
        <f>IF(OR(B113="",U113=""),"",INDEX($B$6:$B$185,MATCH(AA113,$Z$6:Z$185,0)))</f>
        <v>0</v>
      </c>
      <c r="AD113" s="4">
        <f t="shared" si="30"/>
        <v>0</v>
      </c>
      <c r="AE113" s="4">
        <f t="shared" si="31"/>
        <v>0</v>
      </c>
      <c r="AF113" s="113">
        <f t="shared" si="25"/>
        <v>0</v>
      </c>
      <c r="AG113" s="271">
        <f>IF(AA113="","",IF(AND(AD112=AD113,AE112=AE113,AF112=AF113),AG112,$AG$6+107))</f>
        <v>23</v>
      </c>
      <c r="AH113" s="34"/>
      <c r="AI113" s="92"/>
    </row>
    <row r="114" spans="1:36" s="23" customFormat="1" ht="18" customHeight="1">
      <c r="A114" s="282">
        <v>109</v>
      </c>
      <c r="B114" s="283">
        <f>+'Joueurs et TirageV'!E55</f>
        <v>0</v>
      </c>
      <c r="C114" s="136" t="str">
        <f>IF(ISNA(VLOOKUP(B114,RésultatsV!$B$10:$E$248,3,0)),"0",VLOOKUP(B114,RésultatsV!$B$10:$E$248,3,0))</f>
        <v>0</v>
      </c>
      <c r="D114" s="136">
        <f>IF(ISNA(VLOOKUP(B114,RésultatsV!$B$10:$E$248,4,0)),"0",VLOOKUP(B114,RésultatsV!$B$10:$E$248,4,0))</f>
        <v>0</v>
      </c>
      <c r="E114" s="136">
        <f>IF(ISNA(VLOOKUP(B114,RésultatsV!$B$10:$E$248,2,0)),"0",VLOOKUP(B114,RésultatsV!$B$10:$E$248,2,0))</f>
        <v>0</v>
      </c>
      <c r="F114" s="136">
        <f>IF(ISNA(VLOOKUP(B114,RésultatsV!$G$10:$J$248,3,0)),"0",VLOOKUP(B114,RésultatsV!$G$10:$J$248,3,0))</f>
        <v>0</v>
      </c>
      <c r="G114" s="136">
        <f>IF(ISNA(VLOOKUP(B114,RésultatsV!$G$10:$J$248,4,0)),"0",VLOOKUP(B114,RésultatsV!$G$10:$J$248,4,0))</f>
        <v>0</v>
      </c>
      <c r="H114" s="136">
        <f>IF(ISNA(VLOOKUP(B114,RésultatsV!$G$10:$J$248,2,0)),"0",VLOOKUP(B114,RésultatsV!$G$10:$J$248,2,0))</f>
        <v>0</v>
      </c>
      <c r="I114" s="136">
        <f>IF(ISNA(VLOOKUP(B114,RésultatsV!$L$10:$O$248,3,0)),"0",VLOOKUP(B114,RésultatsV!$L$10:$O$248,3,0))</f>
        <v>0</v>
      </c>
      <c r="J114" s="136">
        <f>IF(ISNA(VLOOKUP(B114,RésultatsV!$L$10:$O$248,4,0)),"0",VLOOKUP(B114,RésultatsV!$L$10:$O$248,4,0))</f>
        <v>0</v>
      </c>
      <c r="K114" s="136">
        <f>IF(ISNA(VLOOKUP(B114,RésultatsV!$L$10:$O$248,2,0)),"0",VLOOKUP(B114,RésultatsV!$L$10:$O$248,2,0))</f>
        <v>0</v>
      </c>
      <c r="L114" s="136">
        <f>IF(ISNA(VLOOKUP(B114,RésultatsV!$Q$10:$T$248,3,0)),"0",VLOOKUP(B114,RésultatsV!$Q$10:$T$248,3,0))</f>
        <v>0</v>
      </c>
      <c r="M114" s="136">
        <f>IF(ISNA(VLOOKUP(B114,RésultatsV!$Q$10:$T$248,4,0)),"0",VLOOKUP(B114,RésultatsV!$Q$10:$T$248,4,0))</f>
        <v>0</v>
      </c>
      <c r="N114" s="136">
        <f>IF(ISNA(VLOOKUP(B114,RésultatsV!$Q$10:$T$248,2,0)),"0",VLOOKUP(B114,RésultatsV!$Q$10:$T$248,2,0))</f>
        <v>0</v>
      </c>
      <c r="O114" s="136">
        <f>IF(ISNA(VLOOKUP(B114,RésultatsV!$V$10:$Y$248,3,0)),"0",VLOOKUP(B114,RésultatsV!$V$10:$Y$248,3,0))</f>
        <v>0</v>
      </c>
      <c r="P114" s="136">
        <f>IF(ISNA(VLOOKUP(B114,RésultatsV!$V$10:$Y$248,4,0)),"0",VLOOKUP(B114,RésultatsV!$V$10:$Y$248,4,0))</f>
        <v>0</v>
      </c>
      <c r="Q114" s="136">
        <f>IF(ISNA(VLOOKUP(E114,RésultatsV!$V$10:$Y$248,2,0)),"0",VLOOKUP(E114,RésultatsV!$V$10:$Y$248,2,0))</f>
        <v>0</v>
      </c>
      <c r="R114" s="136">
        <f>IF(ISNA(VLOOKUP(B114,RésultatsV!$AA$10:$AD$248,3,0)),"0",VLOOKUP(B114,RésultatsV!$AA$10:$AD$248,3,0))</f>
        <v>0</v>
      </c>
      <c r="S114" s="136">
        <f>IF(ISNA(VLOOKUP(B114,RésultatsV!$AA$10:$AD$248,4,0)),"0",VLOOKUP(B114,RésultatsV!$AA$10:$AD$248,4,0))</f>
        <v>0</v>
      </c>
      <c r="T114" s="136">
        <f>IF(ISNA(VLOOKUP(B114,RésultatsV!$AA$10:$AD$248,2,0)),"0",VLOOKUP(B114,RésultatsV!$AA$10:$AD$248,2,0))</f>
        <v>0</v>
      </c>
      <c r="U114" s="110">
        <f t="shared" si="28"/>
        <v>0</v>
      </c>
      <c r="V114" s="103">
        <f t="shared" si="29"/>
        <v>0</v>
      </c>
      <c r="W114" s="106">
        <f t="shared" si="23"/>
        <v>0</v>
      </c>
      <c r="X114" s="61">
        <f t="shared" si="26"/>
        <v>0</v>
      </c>
      <c r="Y114" s="52">
        <f t="shared" si="27"/>
        <v>0</v>
      </c>
      <c r="Z114" s="104">
        <f t="shared" si="24"/>
        <v>23.000159139999997</v>
      </c>
      <c r="AA114" s="115">
        <f>IF(B114="","",SMALL(Z$6:Z$185,ROWS(AD$6:AD114)))</f>
        <v>23.00015908</v>
      </c>
      <c r="AB114" s="270"/>
      <c r="AC114" s="4">
        <f>IF(OR(B114="",U114=""),"",INDEX($B$6:$B$185,MATCH(AA114,$Z$6:Z$185,0)))</f>
        <v>0</v>
      </c>
      <c r="AD114" s="4">
        <f t="shared" si="30"/>
        <v>0</v>
      </c>
      <c r="AE114" s="4">
        <f t="shared" si="31"/>
        <v>0</v>
      </c>
      <c r="AF114" s="113">
        <f t="shared" si="25"/>
        <v>0</v>
      </c>
      <c r="AG114" s="271">
        <f>IF(AA114="","",IF(AND(AD113=AD114,AE113=AE114,AF113=AF114),AG113,$AG$6+108))</f>
        <v>23</v>
      </c>
      <c r="AH114" s="34"/>
      <c r="AI114" s="92"/>
    </row>
    <row r="115" spans="1:36" s="23" customFormat="1" ht="18" customHeight="1">
      <c r="A115" s="282">
        <v>110</v>
      </c>
      <c r="B115" s="283">
        <f>+'Joueurs et TirageV'!E56</f>
        <v>0</v>
      </c>
      <c r="C115" s="136" t="str">
        <f>IF(ISNA(VLOOKUP(B115,RésultatsV!$B$10:$E$248,3,0)),"0",VLOOKUP(B115,RésultatsV!$B$10:$E$248,3,0))</f>
        <v>0</v>
      </c>
      <c r="D115" s="136">
        <f>IF(ISNA(VLOOKUP(B115,RésultatsV!$B$10:$E$248,4,0)),"0",VLOOKUP(B115,RésultatsV!$B$10:$E$248,4,0))</f>
        <v>0</v>
      </c>
      <c r="E115" s="136">
        <f>IF(ISNA(VLOOKUP(B115,RésultatsV!$B$10:$E$248,2,0)),"0",VLOOKUP(B115,RésultatsV!$B$10:$E$248,2,0))</f>
        <v>0</v>
      </c>
      <c r="F115" s="136">
        <f>IF(ISNA(VLOOKUP(B115,RésultatsV!$G$10:$J$248,3,0)),"0",VLOOKUP(B115,RésultatsV!$G$10:$J$248,3,0))</f>
        <v>0</v>
      </c>
      <c r="G115" s="136">
        <f>IF(ISNA(VLOOKUP(B115,RésultatsV!$G$10:$J$248,4,0)),"0",VLOOKUP(B115,RésultatsV!$G$10:$J$248,4,0))</f>
        <v>0</v>
      </c>
      <c r="H115" s="136">
        <f>IF(ISNA(VLOOKUP(B115,RésultatsV!$G$10:$J$248,2,0)),"0",VLOOKUP(B115,RésultatsV!$G$10:$J$248,2,0))</f>
        <v>0</v>
      </c>
      <c r="I115" s="136">
        <f>IF(ISNA(VLOOKUP(B115,RésultatsV!$L$10:$O$248,3,0)),"0",VLOOKUP(B115,RésultatsV!$L$10:$O$248,3,0))</f>
        <v>0</v>
      </c>
      <c r="J115" s="136">
        <f>IF(ISNA(VLOOKUP(B115,RésultatsV!$L$10:$O$248,4,0)),"0",VLOOKUP(B115,RésultatsV!$L$10:$O$248,4,0))</f>
        <v>0</v>
      </c>
      <c r="K115" s="136">
        <f>IF(ISNA(VLOOKUP(B115,RésultatsV!$L$10:$O$248,2,0)),"0",VLOOKUP(B115,RésultatsV!$L$10:$O$248,2,0))</f>
        <v>0</v>
      </c>
      <c r="L115" s="136">
        <f>IF(ISNA(VLOOKUP(B115,RésultatsV!$Q$10:$T$248,3,0)),"0",VLOOKUP(B115,RésultatsV!$Q$10:$T$248,3,0))</f>
        <v>0</v>
      </c>
      <c r="M115" s="136">
        <f>IF(ISNA(VLOOKUP(B115,RésultatsV!$Q$10:$T$248,4,0)),"0",VLOOKUP(B115,RésultatsV!$Q$10:$T$248,4,0))</f>
        <v>0</v>
      </c>
      <c r="N115" s="136">
        <f>IF(ISNA(VLOOKUP(B115,RésultatsV!$Q$10:$T$248,2,0)),"0",VLOOKUP(B115,RésultatsV!$Q$10:$T$248,2,0))</f>
        <v>0</v>
      </c>
      <c r="O115" s="136">
        <f>IF(ISNA(VLOOKUP(B115,RésultatsV!$V$10:$Y$248,3,0)),"0",VLOOKUP(B115,RésultatsV!$V$10:$Y$248,3,0))</f>
        <v>0</v>
      </c>
      <c r="P115" s="136">
        <f>IF(ISNA(VLOOKUP(B115,RésultatsV!$V$10:$Y$248,4,0)),"0",VLOOKUP(B115,RésultatsV!$V$10:$Y$248,4,0))</f>
        <v>0</v>
      </c>
      <c r="Q115" s="136">
        <f>IF(ISNA(VLOOKUP(E115,RésultatsV!$V$10:$Y$248,2,0)),"0",VLOOKUP(E115,RésultatsV!$V$10:$Y$248,2,0))</f>
        <v>0</v>
      </c>
      <c r="R115" s="136">
        <f>IF(ISNA(VLOOKUP(B115,RésultatsV!$AA$10:$AD$248,3,0)),"0",VLOOKUP(B115,RésultatsV!$AA$10:$AD$248,3,0))</f>
        <v>0</v>
      </c>
      <c r="S115" s="136">
        <f>IF(ISNA(VLOOKUP(B115,RésultatsV!$AA$10:$AD$248,4,0)),"0",VLOOKUP(B115,RésultatsV!$AA$10:$AD$248,4,0))</f>
        <v>0</v>
      </c>
      <c r="T115" s="136">
        <f>IF(ISNA(VLOOKUP(B115,RésultatsV!$AA$10:$AD$248,2,0)),"0",VLOOKUP(B115,RésultatsV!$AA$10:$AD$248,2,0))</f>
        <v>0</v>
      </c>
      <c r="U115" s="110">
        <f t="shared" si="28"/>
        <v>0</v>
      </c>
      <c r="V115" s="103">
        <f t="shared" si="29"/>
        <v>0</v>
      </c>
      <c r="W115" s="106">
        <f t="shared" si="23"/>
        <v>0</v>
      </c>
      <c r="X115" s="61">
        <f t="shared" si="26"/>
        <v>0</v>
      </c>
      <c r="Y115" s="52">
        <f t="shared" si="27"/>
        <v>0</v>
      </c>
      <c r="Z115" s="104">
        <f t="shared" si="24"/>
        <v>23.000159149999998</v>
      </c>
      <c r="AA115" s="115">
        <f>IF(B115="","",SMALL(Z$6:Z$185,ROWS(AD$6:AD115)))</f>
        <v>23.00015909</v>
      </c>
      <c r="AB115" s="270"/>
      <c r="AC115" s="4">
        <f>IF(OR(B115="",U115=""),"",INDEX($B$6:$B$185,MATCH(AA115,$Z$6:Z$185,0)))</f>
        <v>0</v>
      </c>
      <c r="AD115" s="4">
        <f t="shared" si="30"/>
        <v>0</v>
      </c>
      <c r="AE115" s="4">
        <f t="shared" si="31"/>
        <v>0</v>
      </c>
      <c r="AF115" s="113">
        <f t="shared" si="25"/>
        <v>0</v>
      </c>
      <c r="AG115" s="271">
        <f>IF(AA115="","",IF(AND(AD114=AD115,AE114=AE115,AF114=AF115),AG114,$AG$6+109))</f>
        <v>23</v>
      </c>
      <c r="AH115" s="34"/>
      <c r="AI115" s="92"/>
    </row>
    <row r="116" spans="1:36" s="23" customFormat="1" ht="18" customHeight="1">
      <c r="A116" s="282">
        <v>111</v>
      </c>
      <c r="B116" s="283">
        <f>+'Joueurs et TirageV'!E57</f>
        <v>0</v>
      </c>
      <c r="C116" s="136" t="str">
        <f>IF(ISNA(VLOOKUP(B116,RésultatsV!$B$10:$E$248,3,0)),"0",VLOOKUP(B116,RésultatsV!$B$10:$E$248,3,0))</f>
        <v>0</v>
      </c>
      <c r="D116" s="136">
        <f>IF(ISNA(VLOOKUP(B116,RésultatsV!$B$10:$E$248,4,0)),"0",VLOOKUP(B116,RésultatsV!$B$10:$E$248,4,0))</f>
        <v>0</v>
      </c>
      <c r="E116" s="136">
        <f>IF(ISNA(VLOOKUP(B116,RésultatsV!$B$10:$E$248,2,0)),"0",VLOOKUP(B116,RésultatsV!$B$10:$E$248,2,0))</f>
        <v>0</v>
      </c>
      <c r="F116" s="136">
        <f>IF(ISNA(VLOOKUP(B116,RésultatsV!$G$10:$J$248,3,0)),"0",VLOOKUP(B116,RésultatsV!$G$10:$J$248,3,0))</f>
        <v>0</v>
      </c>
      <c r="G116" s="136">
        <f>IF(ISNA(VLOOKUP(B116,RésultatsV!$G$10:$J$248,4,0)),"0",VLOOKUP(B116,RésultatsV!$G$10:$J$248,4,0))</f>
        <v>0</v>
      </c>
      <c r="H116" s="136">
        <f>IF(ISNA(VLOOKUP(B116,RésultatsV!$G$10:$J$248,2,0)),"0",VLOOKUP(B116,RésultatsV!$G$10:$J$248,2,0))</f>
        <v>0</v>
      </c>
      <c r="I116" s="136">
        <f>IF(ISNA(VLOOKUP(B116,RésultatsV!$L$10:$O$248,3,0)),"0",VLOOKUP(B116,RésultatsV!$L$10:$O$248,3,0))</f>
        <v>0</v>
      </c>
      <c r="J116" s="136">
        <f>IF(ISNA(VLOOKUP(B116,RésultatsV!$L$10:$O$248,4,0)),"0",VLOOKUP(B116,RésultatsV!$L$10:$O$248,4,0))</f>
        <v>0</v>
      </c>
      <c r="K116" s="136">
        <f>IF(ISNA(VLOOKUP(B116,RésultatsV!$L$10:$O$248,2,0)),"0",VLOOKUP(B116,RésultatsV!$L$10:$O$248,2,0))</f>
        <v>0</v>
      </c>
      <c r="L116" s="136">
        <f>IF(ISNA(VLOOKUP(B116,RésultatsV!$Q$10:$T$248,3,0)),"0",VLOOKUP(B116,RésultatsV!$Q$10:$T$248,3,0))</f>
        <v>0</v>
      </c>
      <c r="M116" s="136">
        <f>IF(ISNA(VLOOKUP(B116,RésultatsV!$Q$10:$T$248,4,0)),"0",VLOOKUP(B116,RésultatsV!$Q$10:$T$248,4,0))</f>
        <v>0</v>
      </c>
      <c r="N116" s="136">
        <f>IF(ISNA(VLOOKUP(B116,RésultatsV!$Q$10:$T$248,2,0)),"0",VLOOKUP(B116,RésultatsV!$Q$10:$T$248,2,0))</f>
        <v>0</v>
      </c>
      <c r="O116" s="136">
        <f>IF(ISNA(VLOOKUP(B116,RésultatsV!$V$10:$Y$248,3,0)),"0",VLOOKUP(B116,RésultatsV!$V$10:$Y$248,3,0))</f>
        <v>0</v>
      </c>
      <c r="P116" s="136">
        <f>IF(ISNA(VLOOKUP(B116,RésultatsV!$V$10:$Y$248,4,0)),"0",VLOOKUP(B116,RésultatsV!$V$10:$Y$248,4,0))</f>
        <v>0</v>
      </c>
      <c r="Q116" s="136">
        <f>IF(ISNA(VLOOKUP(E116,RésultatsV!$V$10:$Y$248,2,0)),"0",VLOOKUP(E116,RésultatsV!$V$10:$Y$248,2,0))</f>
        <v>0</v>
      </c>
      <c r="R116" s="136">
        <f>IF(ISNA(VLOOKUP(B116,RésultatsV!$AA$10:$AD$248,3,0)),"0",VLOOKUP(B116,RésultatsV!$AA$10:$AD$248,3,0))</f>
        <v>0</v>
      </c>
      <c r="S116" s="136">
        <f>IF(ISNA(VLOOKUP(B116,RésultatsV!$AA$10:$AD$248,4,0)),"0",VLOOKUP(B116,RésultatsV!$AA$10:$AD$248,4,0))</f>
        <v>0</v>
      </c>
      <c r="T116" s="136">
        <f>IF(ISNA(VLOOKUP(B116,RésultatsV!$AA$10:$AD$248,2,0)),"0",VLOOKUP(B116,RésultatsV!$AA$10:$AD$248,2,0))</f>
        <v>0</v>
      </c>
      <c r="U116" s="110">
        <f t="shared" si="28"/>
        <v>0</v>
      </c>
      <c r="V116" s="103">
        <f t="shared" si="29"/>
        <v>0</v>
      </c>
      <c r="W116" s="106">
        <f t="shared" si="23"/>
        <v>0</v>
      </c>
      <c r="X116" s="61">
        <f t="shared" si="26"/>
        <v>0</v>
      </c>
      <c r="Y116" s="52">
        <f t="shared" si="27"/>
        <v>0</v>
      </c>
      <c r="Z116" s="104">
        <f t="shared" si="24"/>
        <v>23.000159159999999</v>
      </c>
      <c r="AA116" s="115">
        <f>IF(B116="","",SMALL(Z$6:Z$185,ROWS(AD$6:AD116)))</f>
        <v>23.000159099999998</v>
      </c>
      <c r="AB116" s="270"/>
      <c r="AC116" s="4">
        <f>IF(OR(B116="",U116=""),"",INDEX($B$6:$B$185,MATCH(AA116,$Z$6:Z$185,0)))</f>
        <v>0</v>
      </c>
      <c r="AD116" s="4">
        <f t="shared" si="30"/>
        <v>0</v>
      </c>
      <c r="AE116" s="4">
        <f t="shared" si="31"/>
        <v>0</v>
      </c>
      <c r="AF116" s="113">
        <f t="shared" si="25"/>
        <v>0</v>
      </c>
      <c r="AG116" s="271">
        <f>IF(AA116="","",IF(AND(AD115=AD116,AE115=AE116,AF115=AF116),AG115,$AG$6+110))</f>
        <v>23</v>
      </c>
      <c r="AH116" s="254"/>
      <c r="AI116" s="92"/>
      <c r="AJ116" s="23">
        <v>110</v>
      </c>
    </row>
    <row r="117" spans="1:36" s="23" customFormat="1" ht="18" customHeight="1">
      <c r="A117" s="282">
        <v>112</v>
      </c>
      <c r="B117" s="283">
        <f>+'Joueurs et TirageV'!E58</f>
        <v>0</v>
      </c>
      <c r="C117" s="136" t="str">
        <f>IF(ISNA(VLOOKUP(B117,RésultatsV!$B$10:$E$248,3,0)),"0",VLOOKUP(B117,RésultatsV!$B$10:$E$248,3,0))</f>
        <v>0</v>
      </c>
      <c r="D117" s="136">
        <f>IF(ISNA(VLOOKUP(B117,RésultatsV!$B$10:$E$248,4,0)),"0",VLOOKUP(B117,RésultatsV!$B$10:$E$248,4,0))</f>
        <v>0</v>
      </c>
      <c r="E117" s="136">
        <f>IF(ISNA(VLOOKUP(B117,RésultatsV!$B$10:$E$248,2,0)),"0",VLOOKUP(B117,RésultatsV!$B$10:$E$248,2,0))</f>
        <v>0</v>
      </c>
      <c r="F117" s="136">
        <f>IF(ISNA(VLOOKUP(B117,RésultatsV!$G$10:$J$248,3,0)),"0",VLOOKUP(B117,RésultatsV!$G$10:$J$248,3,0))</f>
        <v>0</v>
      </c>
      <c r="G117" s="136">
        <f>IF(ISNA(VLOOKUP(B117,RésultatsV!$G$10:$J$248,4,0)),"0",VLOOKUP(B117,RésultatsV!$G$10:$J$248,4,0))</f>
        <v>0</v>
      </c>
      <c r="H117" s="136">
        <f>IF(ISNA(VLOOKUP(B117,RésultatsV!$G$10:$J$248,2,0)),"0",VLOOKUP(B117,RésultatsV!$G$10:$J$248,2,0))</f>
        <v>0</v>
      </c>
      <c r="I117" s="136">
        <f>IF(ISNA(VLOOKUP(B117,RésultatsV!$L$10:$O$248,3,0)),"0",VLOOKUP(B117,RésultatsV!$L$10:$O$248,3,0))</f>
        <v>0</v>
      </c>
      <c r="J117" s="136">
        <f>IF(ISNA(VLOOKUP(B117,RésultatsV!$L$10:$O$248,4,0)),"0",VLOOKUP(B117,RésultatsV!$L$10:$O$248,4,0))</f>
        <v>0</v>
      </c>
      <c r="K117" s="136">
        <f>IF(ISNA(VLOOKUP(B117,RésultatsV!$L$10:$O$248,2,0)),"0",VLOOKUP(B117,RésultatsV!$L$10:$O$248,2,0))</f>
        <v>0</v>
      </c>
      <c r="L117" s="136">
        <f>IF(ISNA(VLOOKUP(B117,RésultatsV!$Q$10:$T$248,3,0)),"0",VLOOKUP(B117,RésultatsV!$Q$10:$T$248,3,0))</f>
        <v>0</v>
      </c>
      <c r="M117" s="136">
        <f>IF(ISNA(VLOOKUP(B117,RésultatsV!$Q$10:$T$248,4,0)),"0",VLOOKUP(B117,RésultatsV!$Q$10:$T$248,4,0))</f>
        <v>0</v>
      </c>
      <c r="N117" s="136">
        <f>IF(ISNA(VLOOKUP(B117,RésultatsV!$Q$10:$T$248,2,0)),"0",VLOOKUP(B117,RésultatsV!$Q$10:$T$248,2,0))</f>
        <v>0</v>
      </c>
      <c r="O117" s="136">
        <f>IF(ISNA(VLOOKUP(B117,RésultatsV!$V$10:$Y$248,3,0)),"0",VLOOKUP(B117,RésultatsV!$V$10:$Y$248,3,0))</f>
        <v>0</v>
      </c>
      <c r="P117" s="136">
        <f>IF(ISNA(VLOOKUP(B117,RésultatsV!$V$10:$Y$248,4,0)),"0",VLOOKUP(B117,RésultatsV!$V$10:$Y$248,4,0))</f>
        <v>0</v>
      </c>
      <c r="Q117" s="136">
        <f>IF(ISNA(VLOOKUP(E117,RésultatsV!$V$10:$Y$248,2,0)),"0",VLOOKUP(E117,RésultatsV!$V$10:$Y$248,2,0))</f>
        <v>0</v>
      </c>
      <c r="R117" s="136">
        <f>IF(ISNA(VLOOKUP(B117,RésultatsV!$AA$10:$AD$248,3,0)),"0",VLOOKUP(B117,RésultatsV!$AA$10:$AD$248,3,0))</f>
        <v>0</v>
      </c>
      <c r="S117" s="136">
        <f>IF(ISNA(VLOOKUP(B117,RésultatsV!$AA$10:$AD$248,4,0)),"0",VLOOKUP(B117,RésultatsV!$AA$10:$AD$248,4,0))</f>
        <v>0</v>
      </c>
      <c r="T117" s="136">
        <f>IF(ISNA(VLOOKUP(B117,RésultatsV!$AA$10:$AD$248,2,0)),"0",VLOOKUP(B117,RésultatsV!$AA$10:$AD$248,2,0))</f>
        <v>0</v>
      </c>
      <c r="U117" s="110">
        <f t="shared" si="28"/>
        <v>0</v>
      </c>
      <c r="V117" s="103">
        <f t="shared" si="29"/>
        <v>0</v>
      </c>
      <c r="W117" s="106">
        <f t="shared" si="23"/>
        <v>0</v>
      </c>
      <c r="X117" s="61">
        <f t="shared" si="26"/>
        <v>0</v>
      </c>
      <c r="Y117" s="52">
        <f t="shared" si="27"/>
        <v>0</v>
      </c>
      <c r="Z117" s="104">
        <f t="shared" si="24"/>
        <v>23.00015917</v>
      </c>
      <c r="AA117" s="115">
        <f>IF(B117="","",SMALL(Z$6:Z$185,ROWS(AD$6:AD117)))</f>
        <v>23.000159109999998</v>
      </c>
      <c r="AB117" s="270"/>
      <c r="AC117" s="4">
        <f>IF(OR(B117="",U117=""),"",INDEX($B$6:$B$185,MATCH(AA117,$Z$6:Z$185,0)))</f>
        <v>0</v>
      </c>
      <c r="AD117" s="4">
        <f t="shared" si="30"/>
        <v>0</v>
      </c>
      <c r="AE117" s="4">
        <f t="shared" si="31"/>
        <v>0</v>
      </c>
      <c r="AF117" s="113">
        <f t="shared" si="25"/>
        <v>0</v>
      </c>
      <c r="AG117" s="271">
        <f>IF(AA117="","",IF(AND(AD116=AD117,AE116=AE117,AF116=AF117),AG116,$AG$6+111))</f>
        <v>23</v>
      </c>
      <c r="AH117" s="34"/>
      <c r="AI117" s="92"/>
    </row>
    <row r="118" spans="1:36" s="23" customFormat="1" ht="18" customHeight="1">
      <c r="A118" s="282">
        <v>113</v>
      </c>
      <c r="B118" s="283">
        <f>+'Joueurs et TirageV'!E59</f>
        <v>0</v>
      </c>
      <c r="C118" s="136" t="str">
        <f>IF(ISNA(VLOOKUP(B118,RésultatsV!$B$10:$E$248,3,0)),"0",VLOOKUP(B118,RésultatsV!$B$10:$E$248,3,0))</f>
        <v>0</v>
      </c>
      <c r="D118" s="136">
        <f>IF(ISNA(VLOOKUP(B118,RésultatsV!$B$10:$E$248,4,0)),"0",VLOOKUP(B118,RésultatsV!$B$10:$E$248,4,0))</f>
        <v>0</v>
      </c>
      <c r="E118" s="136">
        <f>IF(ISNA(VLOOKUP(B118,RésultatsV!$B$10:$E$248,2,0)),"0",VLOOKUP(B118,RésultatsV!$B$10:$E$248,2,0))</f>
        <v>0</v>
      </c>
      <c r="F118" s="136">
        <f>IF(ISNA(VLOOKUP(B118,RésultatsV!$G$10:$J$248,3,0)),"0",VLOOKUP(B118,RésultatsV!$G$10:$J$248,3,0))</f>
        <v>0</v>
      </c>
      <c r="G118" s="136">
        <f>IF(ISNA(VLOOKUP(B118,RésultatsV!$G$10:$J$248,4,0)),"0",VLOOKUP(B118,RésultatsV!$G$10:$J$248,4,0))</f>
        <v>0</v>
      </c>
      <c r="H118" s="136">
        <f>IF(ISNA(VLOOKUP(B118,RésultatsV!$G$10:$J$248,2,0)),"0",VLOOKUP(B118,RésultatsV!$G$10:$J$248,2,0))</f>
        <v>0</v>
      </c>
      <c r="I118" s="136">
        <f>IF(ISNA(VLOOKUP(B118,RésultatsV!$L$10:$O$248,3,0)),"0",VLOOKUP(B118,RésultatsV!$L$10:$O$248,3,0))</f>
        <v>0</v>
      </c>
      <c r="J118" s="136">
        <f>IF(ISNA(VLOOKUP(B118,RésultatsV!$L$10:$O$248,4,0)),"0",VLOOKUP(B118,RésultatsV!$L$10:$O$248,4,0))</f>
        <v>0</v>
      </c>
      <c r="K118" s="136">
        <f>IF(ISNA(VLOOKUP(B118,RésultatsV!$L$10:$O$248,2,0)),"0",VLOOKUP(B118,RésultatsV!$L$10:$O$248,2,0))</f>
        <v>0</v>
      </c>
      <c r="L118" s="136">
        <f>IF(ISNA(VLOOKUP(B118,RésultatsV!$Q$10:$T$248,3,0)),"0",VLOOKUP(B118,RésultatsV!$Q$10:$T$248,3,0))</f>
        <v>0</v>
      </c>
      <c r="M118" s="136">
        <f>IF(ISNA(VLOOKUP(B118,RésultatsV!$Q$10:$T$248,4,0)),"0",VLOOKUP(B118,RésultatsV!$Q$10:$T$248,4,0))</f>
        <v>0</v>
      </c>
      <c r="N118" s="136">
        <f>IF(ISNA(VLOOKUP(B118,RésultatsV!$Q$10:$T$248,2,0)),"0",VLOOKUP(B118,RésultatsV!$Q$10:$T$248,2,0))</f>
        <v>0</v>
      </c>
      <c r="O118" s="136">
        <f>IF(ISNA(VLOOKUP(B118,RésultatsV!$V$10:$Y$248,3,0)),"0",VLOOKUP(B118,RésultatsV!$V$10:$Y$248,3,0))</f>
        <v>0</v>
      </c>
      <c r="P118" s="136">
        <f>IF(ISNA(VLOOKUP(B118,RésultatsV!$V$10:$Y$248,4,0)),"0",VLOOKUP(B118,RésultatsV!$V$10:$Y$248,4,0))</f>
        <v>0</v>
      </c>
      <c r="Q118" s="136">
        <f>IF(ISNA(VLOOKUP(E118,RésultatsV!$V$10:$Y$248,2,0)),"0",VLOOKUP(E118,RésultatsV!$V$10:$Y$248,2,0))</f>
        <v>0</v>
      </c>
      <c r="R118" s="136">
        <f>IF(ISNA(VLOOKUP(B118,RésultatsV!$AA$10:$AD$248,3,0)),"0",VLOOKUP(B118,RésultatsV!$AA$10:$AD$248,3,0))</f>
        <v>0</v>
      </c>
      <c r="S118" s="136">
        <f>IF(ISNA(VLOOKUP(B118,RésultatsV!$AA$10:$AD$248,4,0)),"0",VLOOKUP(B118,RésultatsV!$AA$10:$AD$248,4,0))</f>
        <v>0</v>
      </c>
      <c r="T118" s="136">
        <f>IF(ISNA(VLOOKUP(B118,RésultatsV!$AA$10:$AD$248,2,0)),"0",VLOOKUP(B118,RésultatsV!$AA$10:$AD$248,2,0))</f>
        <v>0</v>
      </c>
      <c r="U118" s="110">
        <f t="shared" si="28"/>
        <v>0</v>
      </c>
      <c r="V118" s="103">
        <f t="shared" si="29"/>
        <v>0</v>
      </c>
      <c r="W118" s="106">
        <f t="shared" si="23"/>
        <v>0</v>
      </c>
      <c r="X118" s="61">
        <f t="shared" si="26"/>
        <v>0</v>
      </c>
      <c r="Y118" s="52">
        <f t="shared" si="27"/>
        <v>0</v>
      </c>
      <c r="Z118" s="104">
        <f t="shared" si="24"/>
        <v>23.000159180000001</v>
      </c>
      <c r="AA118" s="115">
        <f>IF(B118="","",SMALL(Z$6:Z$185,ROWS(AD$6:AD118)))</f>
        <v>23.000159119999999</v>
      </c>
      <c r="AB118" s="270"/>
      <c r="AC118" s="4">
        <f>IF(OR(B118="",U118=""),"",INDEX($B$6:$B$185,MATCH(AA118,$Z$6:Z$185,0)))</f>
        <v>0</v>
      </c>
      <c r="AD118" s="4">
        <f t="shared" si="30"/>
        <v>0</v>
      </c>
      <c r="AE118" s="4">
        <f t="shared" si="31"/>
        <v>0</v>
      </c>
      <c r="AF118" s="113">
        <f t="shared" si="25"/>
        <v>0</v>
      </c>
      <c r="AG118" s="271">
        <f>IF(AA118="","",IF(AND(AD117=AD118,AE117=AE118,AF117=AF118),AG117,$AG$6+112))</f>
        <v>23</v>
      </c>
      <c r="AH118" s="34"/>
      <c r="AI118" s="92"/>
    </row>
    <row r="119" spans="1:36" s="23" customFormat="1" ht="18" customHeight="1">
      <c r="A119" s="282">
        <v>114</v>
      </c>
      <c r="B119" s="283">
        <f>+'Joueurs et TirageV'!E60</f>
        <v>0</v>
      </c>
      <c r="C119" s="136" t="str">
        <f>IF(ISNA(VLOOKUP(B119,RésultatsV!$B$10:$E$248,3,0)),"0",VLOOKUP(B119,RésultatsV!$B$10:$E$248,3,0))</f>
        <v>0</v>
      </c>
      <c r="D119" s="136">
        <f>IF(ISNA(VLOOKUP(B119,RésultatsV!$B$10:$E$248,4,0)),"0",VLOOKUP(B119,RésultatsV!$B$10:$E$248,4,0))</f>
        <v>0</v>
      </c>
      <c r="E119" s="136">
        <f>IF(ISNA(VLOOKUP(B119,RésultatsV!$B$10:$E$248,2,0)),"0",VLOOKUP(B119,RésultatsV!$B$10:$E$248,2,0))</f>
        <v>0</v>
      </c>
      <c r="F119" s="136">
        <f>IF(ISNA(VLOOKUP(B119,RésultatsV!$G$10:$J$248,3,0)),"0",VLOOKUP(B119,RésultatsV!$G$10:$J$248,3,0))</f>
        <v>0</v>
      </c>
      <c r="G119" s="136">
        <f>IF(ISNA(VLOOKUP(B119,RésultatsV!$G$10:$J$248,4,0)),"0",VLOOKUP(B119,RésultatsV!$G$10:$J$248,4,0))</f>
        <v>0</v>
      </c>
      <c r="H119" s="136">
        <f>IF(ISNA(VLOOKUP(B119,RésultatsV!$G$10:$J$248,2,0)),"0",VLOOKUP(B119,RésultatsV!$G$10:$J$248,2,0))</f>
        <v>0</v>
      </c>
      <c r="I119" s="136">
        <f>IF(ISNA(VLOOKUP(B119,RésultatsV!$L$10:$O$248,3,0)),"0",VLOOKUP(B119,RésultatsV!$L$10:$O$248,3,0))</f>
        <v>0</v>
      </c>
      <c r="J119" s="136">
        <f>IF(ISNA(VLOOKUP(B119,RésultatsV!$L$10:$O$248,4,0)),"0",VLOOKUP(B119,RésultatsV!$L$10:$O$248,4,0))</f>
        <v>0</v>
      </c>
      <c r="K119" s="136">
        <f>IF(ISNA(VLOOKUP(B119,RésultatsV!$L$10:$O$248,2,0)),"0",VLOOKUP(B119,RésultatsV!$L$10:$O$248,2,0))</f>
        <v>0</v>
      </c>
      <c r="L119" s="136">
        <f>IF(ISNA(VLOOKUP(B119,RésultatsV!$Q$10:$T$248,3,0)),"0",VLOOKUP(B119,RésultatsV!$Q$10:$T$248,3,0))</f>
        <v>0</v>
      </c>
      <c r="M119" s="136">
        <f>IF(ISNA(VLOOKUP(B119,RésultatsV!$Q$10:$T$248,4,0)),"0",VLOOKUP(B119,RésultatsV!$Q$10:$T$248,4,0))</f>
        <v>0</v>
      </c>
      <c r="N119" s="136">
        <f>IF(ISNA(VLOOKUP(B119,RésultatsV!$Q$10:$T$248,2,0)),"0",VLOOKUP(B119,RésultatsV!$Q$10:$T$248,2,0))</f>
        <v>0</v>
      </c>
      <c r="O119" s="136">
        <f>IF(ISNA(VLOOKUP(B119,RésultatsV!$V$10:$Y$248,3,0)),"0",VLOOKUP(B119,RésultatsV!$V$10:$Y$248,3,0))</f>
        <v>0</v>
      </c>
      <c r="P119" s="136">
        <f>IF(ISNA(VLOOKUP(B119,RésultatsV!$V$10:$Y$248,4,0)),"0",VLOOKUP(B119,RésultatsV!$V$10:$Y$248,4,0))</f>
        <v>0</v>
      </c>
      <c r="Q119" s="136">
        <f>IF(ISNA(VLOOKUP(E119,RésultatsV!$V$10:$Y$248,2,0)),"0",VLOOKUP(E119,RésultatsV!$V$10:$Y$248,2,0))</f>
        <v>0</v>
      </c>
      <c r="R119" s="136">
        <f>IF(ISNA(VLOOKUP(B119,RésultatsV!$AA$10:$AD$248,3,0)),"0",VLOOKUP(B119,RésultatsV!$AA$10:$AD$248,3,0))</f>
        <v>0</v>
      </c>
      <c r="S119" s="136">
        <f>IF(ISNA(VLOOKUP(B119,RésultatsV!$AA$10:$AD$248,4,0)),"0",VLOOKUP(B119,RésultatsV!$AA$10:$AD$248,4,0))</f>
        <v>0</v>
      </c>
      <c r="T119" s="136">
        <f>IF(ISNA(VLOOKUP(B119,RésultatsV!$AA$10:$AD$248,2,0)),"0",VLOOKUP(B119,RésultatsV!$AA$10:$AD$248,2,0))</f>
        <v>0</v>
      </c>
      <c r="U119" s="110">
        <f t="shared" si="28"/>
        <v>0</v>
      </c>
      <c r="V119" s="103">
        <f t="shared" si="29"/>
        <v>0</v>
      </c>
      <c r="W119" s="106">
        <f t="shared" si="23"/>
        <v>0</v>
      </c>
      <c r="X119" s="61">
        <f t="shared" si="26"/>
        <v>0</v>
      </c>
      <c r="Y119" s="52">
        <f t="shared" si="27"/>
        <v>0</v>
      </c>
      <c r="Z119" s="104">
        <f t="shared" si="24"/>
        <v>23.000159189999998</v>
      </c>
      <c r="AA119" s="115">
        <f>IF(B119="","",SMALL(Z$6:Z$185,ROWS(AD$6:AD119)))</f>
        <v>23.00015913</v>
      </c>
      <c r="AB119" s="270"/>
      <c r="AC119" s="4">
        <f>IF(OR(B119="",U119=""),"",INDEX($B$6:$B$185,MATCH(AA119,$Z$6:Z$185,0)))</f>
        <v>0</v>
      </c>
      <c r="AD119" s="4">
        <f t="shared" si="30"/>
        <v>0</v>
      </c>
      <c r="AE119" s="4">
        <f t="shared" si="31"/>
        <v>0</v>
      </c>
      <c r="AF119" s="113">
        <f t="shared" si="25"/>
        <v>0</v>
      </c>
      <c r="AG119" s="271">
        <f>IF(AA119="","",IF(AND(AD118=AD119,AE118=AE119,AF118=AF119),AG118,$AG$6+113))</f>
        <v>23</v>
      </c>
      <c r="AH119" s="34"/>
      <c r="AI119" s="92"/>
    </row>
    <row r="120" spans="1:36" s="23" customFormat="1" ht="18" customHeight="1">
      <c r="A120" s="282">
        <v>115</v>
      </c>
      <c r="B120" s="283">
        <f>+'Joueurs et TirageV'!E61</f>
        <v>0</v>
      </c>
      <c r="C120" s="136" t="str">
        <f>IF(ISNA(VLOOKUP(B120,RésultatsV!$B$10:$E$248,3,0)),"0",VLOOKUP(B120,RésultatsV!$B$10:$E$248,3,0))</f>
        <v>0</v>
      </c>
      <c r="D120" s="136">
        <f>IF(ISNA(VLOOKUP(B120,RésultatsV!$B$10:$E$248,4,0)),"0",VLOOKUP(B120,RésultatsV!$B$10:$E$248,4,0))</f>
        <v>0</v>
      </c>
      <c r="E120" s="136">
        <f>IF(ISNA(VLOOKUP(B120,RésultatsV!$B$10:$E$248,2,0)),"0",VLOOKUP(B120,RésultatsV!$B$10:$E$248,2,0))</f>
        <v>0</v>
      </c>
      <c r="F120" s="136">
        <f>IF(ISNA(VLOOKUP(B120,RésultatsV!$G$10:$J$248,3,0)),"0",VLOOKUP(B120,RésultatsV!$G$10:$J$248,3,0))</f>
        <v>0</v>
      </c>
      <c r="G120" s="136">
        <f>IF(ISNA(VLOOKUP(B120,RésultatsV!$G$10:$J$248,4,0)),"0",VLOOKUP(B120,RésultatsV!$G$10:$J$248,4,0))</f>
        <v>0</v>
      </c>
      <c r="H120" s="136">
        <f>IF(ISNA(VLOOKUP(B120,RésultatsV!$G$10:$J$248,2,0)),"0",VLOOKUP(B120,RésultatsV!$G$10:$J$248,2,0))</f>
        <v>0</v>
      </c>
      <c r="I120" s="136">
        <f>IF(ISNA(VLOOKUP(B120,RésultatsV!$L$10:$O$248,3,0)),"0",VLOOKUP(B120,RésultatsV!$L$10:$O$248,3,0))</f>
        <v>0</v>
      </c>
      <c r="J120" s="136">
        <f>IF(ISNA(VLOOKUP(B120,RésultatsV!$L$10:$O$248,4,0)),"0",VLOOKUP(B120,RésultatsV!$L$10:$O$248,4,0))</f>
        <v>0</v>
      </c>
      <c r="K120" s="136">
        <f>IF(ISNA(VLOOKUP(B120,RésultatsV!$L$10:$O$248,2,0)),"0",VLOOKUP(B120,RésultatsV!$L$10:$O$248,2,0))</f>
        <v>0</v>
      </c>
      <c r="L120" s="136">
        <f>IF(ISNA(VLOOKUP(B120,RésultatsV!$Q$10:$T$248,3,0)),"0",VLOOKUP(B120,RésultatsV!$Q$10:$T$248,3,0))</f>
        <v>0</v>
      </c>
      <c r="M120" s="136">
        <f>IF(ISNA(VLOOKUP(B120,RésultatsV!$Q$10:$T$248,4,0)),"0",VLOOKUP(B120,RésultatsV!$Q$10:$T$248,4,0))</f>
        <v>0</v>
      </c>
      <c r="N120" s="136">
        <f>IF(ISNA(VLOOKUP(B120,RésultatsV!$Q$10:$T$248,2,0)),"0",VLOOKUP(B120,RésultatsV!$Q$10:$T$248,2,0))</f>
        <v>0</v>
      </c>
      <c r="O120" s="136">
        <f>IF(ISNA(VLOOKUP(B120,RésultatsV!$V$10:$Y$248,3,0)),"0",VLOOKUP(B120,RésultatsV!$V$10:$Y$248,3,0))</f>
        <v>0</v>
      </c>
      <c r="P120" s="136">
        <f>IF(ISNA(VLOOKUP(B120,RésultatsV!$V$10:$Y$248,4,0)),"0",VLOOKUP(B120,RésultatsV!$V$10:$Y$248,4,0))</f>
        <v>0</v>
      </c>
      <c r="Q120" s="136">
        <f>IF(ISNA(VLOOKUP(E120,RésultatsV!$V$10:$Y$248,2,0)),"0",VLOOKUP(E120,RésultatsV!$V$10:$Y$248,2,0))</f>
        <v>0</v>
      </c>
      <c r="R120" s="136">
        <f>IF(ISNA(VLOOKUP(B120,RésultatsV!$AA$10:$AD$248,3,0)),"0",VLOOKUP(B120,RésultatsV!$AA$10:$AD$248,3,0))</f>
        <v>0</v>
      </c>
      <c r="S120" s="136">
        <f>IF(ISNA(VLOOKUP(B120,RésultatsV!$AA$10:$AD$248,4,0)),"0",VLOOKUP(B120,RésultatsV!$AA$10:$AD$248,4,0))</f>
        <v>0</v>
      </c>
      <c r="T120" s="136">
        <f>IF(ISNA(VLOOKUP(B120,RésultatsV!$AA$10:$AD$248,2,0)),"0",VLOOKUP(B120,RésultatsV!$AA$10:$AD$248,2,0))</f>
        <v>0</v>
      </c>
      <c r="U120" s="110">
        <f t="shared" si="28"/>
        <v>0</v>
      </c>
      <c r="V120" s="103">
        <f t="shared" si="29"/>
        <v>0</v>
      </c>
      <c r="W120" s="106">
        <f t="shared" si="23"/>
        <v>0</v>
      </c>
      <c r="X120" s="61">
        <f t="shared" si="26"/>
        <v>0</v>
      </c>
      <c r="Y120" s="52">
        <f t="shared" si="27"/>
        <v>0</v>
      </c>
      <c r="Z120" s="104">
        <f t="shared" si="24"/>
        <v>23.000159199999999</v>
      </c>
      <c r="AA120" s="115">
        <f>IF(B120="","",SMALL(Z$6:Z$185,ROWS(AD$6:AD120)))</f>
        <v>23.000159139999997</v>
      </c>
      <c r="AB120" s="270"/>
      <c r="AC120" s="4">
        <f>IF(OR(B120="",U120=""),"",INDEX($B$6:$B$185,MATCH(AA120,$Z$6:Z$185,0)))</f>
        <v>0</v>
      </c>
      <c r="AD120" s="4">
        <f t="shared" si="30"/>
        <v>0</v>
      </c>
      <c r="AE120" s="4">
        <f t="shared" si="31"/>
        <v>0</v>
      </c>
      <c r="AF120" s="113">
        <f t="shared" si="25"/>
        <v>0</v>
      </c>
      <c r="AG120" s="271">
        <f>IF(AA120="","",IF(AND(AD119=AD120,AE119=AE120,AF119=AF120),AG119,$AG$6+114))</f>
        <v>23</v>
      </c>
      <c r="AH120" s="34"/>
      <c r="AI120" s="92"/>
    </row>
    <row r="121" spans="1:36" s="23" customFormat="1" ht="18" customHeight="1">
      <c r="A121" s="282">
        <v>116</v>
      </c>
      <c r="B121" s="283">
        <f>+'Joueurs et TirageV'!E62</f>
        <v>0</v>
      </c>
      <c r="C121" s="136" t="str">
        <f>IF(ISNA(VLOOKUP(B121,RésultatsV!$B$10:$E$248,3,0)),"0",VLOOKUP(B121,RésultatsV!$B$10:$E$248,3,0))</f>
        <v>0</v>
      </c>
      <c r="D121" s="136">
        <f>IF(ISNA(VLOOKUP(B121,RésultatsV!$B$10:$E$248,4,0)),"0",VLOOKUP(B121,RésultatsV!$B$10:$E$248,4,0))</f>
        <v>0</v>
      </c>
      <c r="E121" s="136">
        <f>IF(ISNA(VLOOKUP(B121,RésultatsV!$B$10:$E$248,2,0)),"0",VLOOKUP(B121,RésultatsV!$B$10:$E$248,2,0))</f>
        <v>0</v>
      </c>
      <c r="F121" s="136">
        <f>IF(ISNA(VLOOKUP(B121,RésultatsV!$G$10:$J$248,3,0)),"0",VLOOKUP(B121,RésultatsV!$G$10:$J$248,3,0))</f>
        <v>0</v>
      </c>
      <c r="G121" s="136">
        <f>IF(ISNA(VLOOKUP(B121,RésultatsV!$G$10:$J$248,4,0)),"0",VLOOKUP(B121,RésultatsV!$G$10:$J$248,4,0))</f>
        <v>0</v>
      </c>
      <c r="H121" s="136">
        <f>IF(ISNA(VLOOKUP(B121,RésultatsV!$G$10:$J$248,2,0)),"0",VLOOKUP(B121,RésultatsV!$G$10:$J$248,2,0))</f>
        <v>0</v>
      </c>
      <c r="I121" s="136">
        <f>IF(ISNA(VLOOKUP(B121,RésultatsV!$L$10:$O$248,3,0)),"0",VLOOKUP(B121,RésultatsV!$L$10:$O$248,3,0))</f>
        <v>0</v>
      </c>
      <c r="J121" s="136">
        <f>IF(ISNA(VLOOKUP(B121,RésultatsV!$L$10:$O$248,4,0)),"0",VLOOKUP(B121,RésultatsV!$L$10:$O$248,4,0))</f>
        <v>0</v>
      </c>
      <c r="K121" s="136">
        <f>IF(ISNA(VLOOKUP(B121,RésultatsV!$L$10:$O$248,2,0)),"0",VLOOKUP(B121,RésultatsV!$L$10:$O$248,2,0))</f>
        <v>0</v>
      </c>
      <c r="L121" s="136">
        <f>IF(ISNA(VLOOKUP(B121,RésultatsV!$Q$10:$T$248,3,0)),"0",VLOOKUP(B121,RésultatsV!$Q$10:$T$248,3,0))</f>
        <v>0</v>
      </c>
      <c r="M121" s="136">
        <f>IF(ISNA(VLOOKUP(B121,RésultatsV!$Q$10:$T$248,4,0)),"0",VLOOKUP(B121,RésultatsV!$Q$10:$T$248,4,0))</f>
        <v>0</v>
      </c>
      <c r="N121" s="136">
        <f>IF(ISNA(VLOOKUP(B121,RésultatsV!$Q$10:$T$248,2,0)),"0",VLOOKUP(B121,RésultatsV!$Q$10:$T$248,2,0))</f>
        <v>0</v>
      </c>
      <c r="O121" s="136">
        <f>IF(ISNA(VLOOKUP(B121,RésultatsV!$V$10:$Y$248,3,0)),"0",VLOOKUP(B121,RésultatsV!$V$10:$Y$248,3,0))</f>
        <v>0</v>
      </c>
      <c r="P121" s="136">
        <f>IF(ISNA(VLOOKUP(B121,RésultatsV!$V$10:$Y$248,4,0)),"0",VLOOKUP(B121,RésultatsV!$V$10:$Y$248,4,0))</f>
        <v>0</v>
      </c>
      <c r="Q121" s="136">
        <f>IF(ISNA(VLOOKUP(E121,RésultatsV!$V$10:$Y$248,2,0)),"0",VLOOKUP(E121,RésultatsV!$V$10:$Y$248,2,0))</f>
        <v>0</v>
      </c>
      <c r="R121" s="136">
        <f>IF(ISNA(VLOOKUP(B121,RésultatsV!$AA$10:$AD$248,3,0)),"0",VLOOKUP(B121,RésultatsV!$AA$10:$AD$248,3,0))</f>
        <v>0</v>
      </c>
      <c r="S121" s="136">
        <f>IF(ISNA(VLOOKUP(B121,RésultatsV!$AA$10:$AD$248,4,0)),"0",VLOOKUP(B121,RésultatsV!$AA$10:$AD$248,4,0))</f>
        <v>0</v>
      </c>
      <c r="T121" s="136">
        <f>IF(ISNA(VLOOKUP(B121,RésultatsV!$AA$10:$AD$248,2,0)),"0",VLOOKUP(B121,RésultatsV!$AA$10:$AD$248,2,0))</f>
        <v>0</v>
      </c>
      <c r="U121" s="110">
        <f t="shared" si="28"/>
        <v>0</v>
      </c>
      <c r="V121" s="103">
        <f t="shared" si="29"/>
        <v>0</v>
      </c>
      <c r="W121" s="106">
        <f t="shared" si="23"/>
        <v>0</v>
      </c>
      <c r="X121" s="61">
        <f t="shared" si="26"/>
        <v>0</v>
      </c>
      <c r="Y121" s="52">
        <f t="shared" si="27"/>
        <v>0</v>
      </c>
      <c r="Z121" s="104">
        <f t="shared" si="24"/>
        <v>23.00015921</v>
      </c>
      <c r="AA121" s="115">
        <f>IF(B121="","",SMALL(Z$6:Z$185,ROWS(AD$6:AD121)))</f>
        <v>23.000159149999998</v>
      </c>
      <c r="AB121" s="270"/>
      <c r="AC121" s="4">
        <f>IF(OR(B121="",U121=""),"",INDEX($B$6:$B$185,MATCH(AA121,$Z$6:Z$185,0)))</f>
        <v>0</v>
      </c>
      <c r="AD121" s="4">
        <f t="shared" si="30"/>
        <v>0</v>
      </c>
      <c r="AE121" s="4">
        <f t="shared" si="31"/>
        <v>0</v>
      </c>
      <c r="AF121" s="113">
        <f t="shared" si="25"/>
        <v>0</v>
      </c>
      <c r="AG121" s="271">
        <f>IF(AA121="","",IF(AND(AD120=AD121,AE120=AE121,AF120=AF121),AG120,$AG$6+115))</f>
        <v>23</v>
      </c>
      <c r="AH121" s="34"/>
      <c r="AI121" s="92"/>
    </row>
    <row r="122" spans="1:36" s="23" customFormat="1" ht="18" customHeight="1">
      <c r="A122" s="282">
        <v>117</v>
      </c>
      <c r="B122" s="283">
        <f>+'Joueurs et TirageV'!E63</f>
        <v>0</v>
      </c>
      <c r="C122" s="136" t="str">
        <f>IF(ISNA(VLOOKUP(B122,RésultatsV!$B$10:$E$248,3,0)),"0",VLOOKUP(B122,RésultatsV!$B$10:$E$248,3,0))</f>
        <v>0</v>
      </c>
      <c r="D122" s="136">
        <f>IF(ISNA(VLOOKUP(B122,RésultatsV!$B$10:$E$248,4,0)),"0",VLOOKUP(B122,RésultatsV!$B$10:$E$248,4,0))</f>
        <v>0</v>
      </c>
      <c r="E122" s="136">
        <f>IF(ISNA(VLOOKUP(B122,RésultatsV!$B$10:$E$248,2,0)),"0",VLOOKUP(B122,RésultatsV!$B$10:$E$248,2,0))</f>
        <v>0</v>
      </c>
      <c r="F122" s="136">
        <f>IF(ISNA(VLOOKUP(B122,RésultatsV!$G$10:$J$248,3,0)),"0",VLOOKUP(B122,RésultatsV!$G$10:$J$248,3,0))</f>
        <v>0</v>
      </c>
      <c r="G122" s="136">
        <f>IF(ISNA(VLOOKUP(B122,RésultatsV!$G$10:$J$248,4,0)),"0",VLOOKUP(B122,RésultatsV!$G$10:$J$248,4,0))</f>
        <v>0</v>
      </c>
      <c r="H122" s="136">
        <f>IF(ISNA(VLOOKUP(B122,RésultatsV!$G$10:$J$248,2,0)),"0",VLOOKUP(B122,RésultatsV!$G$10:$J$248,2,0))</f>
        <v>0</v>
      </c>
      <c r="I122" s="136">
        <f>IF(ISNA(VLOOKUP(B122,RésultatsV!$L$10:$O$248,3,0)),"0",VLOOKUP(B122,RésultatsV!$L$10:$O$248,3,0))</f>
        <v>0</v>
      </c>
      <c r="J122" s="136">
        <f>IF(ISNA(VLOOKUP(B122,RésultatsV!$L$10:$O$248,4,0)),"0",VLOOKUP(B122,RésultatsV!$L$10:$O$248,4,0))</f>
        <v>0</v>
      </c>
      <c r="K122" s="136">
        <f>IF(ISNA(VLOOKUP(B122,RésultatsV!$L$10:$O$248,2,0)),"0",VLOOKUP(B122,RésultatsV!$L$10:$O$248,2,0))</f>
        <v>0</v>
      </c>
      <c r="L122" s="136">
        <f>IF(ISNA(VLOOKUP(B122,RésultatsV!$Q$10:$T$248,3,0)),"0",VLOOKUP(B122,RésultatsV!$Q$10:$T$248,3,0))</f>
        <v>0</v>
      </c>
      <c r="M122" s="136">
        <f>IF(ISNA(VLOOKUP(B122,RésultatsV!$Q$10:$T$248,4,0)),"0",VLOOKUP(B122,RésultatsV!$Q$10:$T$248,4,0))</f>
        <v>0</v>
      </c>
      <c r="N122" s="136">
        <f>IF(ISNA(VLOOKUP(B122,RésultatsV!$Q$10:$T$248,2,0)),"0",VLOOKUP(B122,RésultatsV!$Q$10:$T$248,2,0))</f>
        <v>0</v>
      </c>
      <c r="O122" s="136">
        <f>IF(ISNA(VLOOKUP(B122,RésultatsV!$V$10:$Y$248,3,0)),"0",VLOOKUP(B122,RésultatsV!$V$10:$Y$248,3,0))</f>
        <v>0</v>
      </c>
      <c r="P122" s="136">
        <f>IF(ISNA(VLOOKUP(B122,RésultatsV!$V$10:$Y$248,4,0)),"0",VLOOKUP(B122,RésultatsV!$V$10:$Y$248,4,0))</f>
        <v>0</v>
      </c>
      <c r="Q122" s="136">
        <f>IF(ISNA(VLOOKUP(E122,RésultatsV!$V$10:$Y$248,2,0)),"0",VLOOKUP(E122,RésultatsV!$V$10:$Y$248,2,0))</f>
        <v>0</v>
      </c>
      <c r="R122" s="136">
        <f>IF(ISNA(VLOOKUP(B122,RésultatsV!$AA$10:$AD$248,3,0)),"0",VLOOKUP(B122,RésultatsV!$AA$10:$AD$248,3,0))</f>
        <v>0</v>
      </c>
      <c r="S122" s="136">
        <f>IF(ISNA(VLOOKUP(B122,RésultatsV!$AA$10:$AD$248,4,0)),"0",VLOOKUP(B122,RésultatsV!$AA$10:$AD$248,4,0))</f>
        <v>0</v>
      </c>
      <c r="T122" s="136">
        <f>IF(ISNA(VLOOKUP(B122,RésultatsV!$AA$10:$AD$248,2,0)),"0",VLOOKUP(B122,RésultatsV!$AA$10:$AD$248,2,0))</f>
        <v>0</v>
      </c>
      <c r="U122" s="110">
        <f t="shared" si="28"/>
        <v>0</v>
      </c>
      <c r="V122" s="103">
        <f t="shared" si="29"/>
        <v>0</v>
      </c>
      <c r="W122" s="106">
        <f t="shared" si="23"/>
        <v>0</v>
      </c>
      <c r="X122" s="61">
        <f t="shared" si="26"/>
        <v>0</v>
      </c>
      <c r="Y122" s="52">
        <f t="shared" si="27"/>
        <v>0</v>
      </c>
      <c r="Z122" s="104">
        <f t="shared" si="24"/>
        <v>23.00015922</v>
      </c>
      <c r="AA122" s="115">
        <f>IF(B122="","",SMALL(Z$6:Z$185,ROWS(AD$6:AD122)))</f>
        <v>23.000159159999999</v>
      </c>
      <c r="AB122" s="270"/>
      <c r="AC122" s="4">
        <f>IF(OR(B122="",U122=""),"",INDEX($B$6:$B$185,MATCH(AA122,$Z$6:Z$185,0)))</f>
        <v>0</v>
      </c>
      <c r="AD122" s="4">
        <f t="shared" si="30"/>
        <v>0</v>
      </c>
      <c r="AE122" s="4">
        <f t="shared" si="31"/>
        <v>0</v>
      </c>
      <c r="AF122" s="113">
        <f t="shared" si="25"/>
        <v>0</v>
      </c>
      <c r="AG122" s="271">
        <f>IF(AA122="","",IF(AND(AD121=AD122,AE121=AE122,AF121=AF122),AG121,$AG$6+116))</f>
        <v>23</v>
      </c>
      <c r="AH122" s="34"/>
      <c r="AI122" s="92"/>
    </row>
    <row r="123" spans="1:36" s="23" customFormat="1" ht="18" customHeight="1">
      <c r="A123" s="282">
        <v>118</v>
      </c>
      <c r="B123" s="283">
        <f>+'Joueurs et TirageV'!E64</f>
        <v>0</v>
      </c>
      <c r="C123" s="136" t="str">
        <f>IF(ISNA(VLOOKUP(B123,RésultatsV!$B$10:$E$248,3,0)),"0",VLOOKUP(B123,RésultatsV!$B$10:$E$248,3,0))</f>
        <v>0</v>
      </c>
      <c r="D123" s="136">
        <f>IF(ISNA(VLOOKUP(B123,RésultatsV!$B$10:$E$248,4,0)),"0",VLOOKUP(B123,RésultatsV!$B$10:$E$248,4,0))</f>
        <v>0</v>
      </c>
      <c r="E123" s="136">
        <f>IF(ISNA(VLOOKUP(B123,RésultatsV!$B$10:$E$248,2,0)),"0",VLOOKUP(B123,RésultatsV!$B$10:$E$248,2,0))</f>
        <v>0</v>
      </c>
      <c r="F123" s="136">
        <f>IF(ISNA(VLOOKUP(B123,RésultatsV!$G$10:$J$248,3,0)),"0",VLOOKUP(B123,RésultatsV!$G$10:$J$248,3,0))</f>
        <v>0</v>
      </c>
      <c r="G123" s="136">
        <f>IF(ISNA(VLOOKUP(B123,RésultatsV!$G$10:$J$248,4,0)),"0",VLOOKUP(B123,RésultatsV!$G$10:$J$248,4,0))</f>
        <v>0</v>
      </c>
      <c r="H123" s="136">
        <f>IF(ISNA(VLOOKUP(B123,RésultatsV!$G$10:$J$248,2,0)),"0",VLOOKUP(B123,RésultatsV!$G$10:$J$248,2,0))</f>
        <v>0</v>
      </c>
      <c r="I123" s="136">
        <f>IF(ISNA(VLOOKUP(B123,RésultatsV!$L$10:$O$248,3,0)),"0",VLOOKUP(B123,RésultatsV!$L$10:$O$248,3,0))</f>
        <v>0</v>
      </c>
      <c r="J123" s="136">
        <f>IF(ISNA(VLOOKUP(B123,RésultatsV!$L$10:$O$248,4,0)),"0",VLOOKUP(B123,RésultatsV!$L$10:$O$248,4,0))</f>
        <v>0</v>
      </c>
      <c r="K123" s="136">
        <f>IF(ISNA(VLOOKUP(B123,RésultatsV!$L$10:$O$248,2,0)),"0",VLOOKUP(B123,RésultatsV!$L$10:$O$248,2,0))</f>
        <v>0</v>
      </c>
      <c r="L123" s="136">
        <f>IF(ISNA(VLOOKUP(B123,RésultatsV!$Q$10:$T$248,3,0)),"0",VLOOKUP(B123,RésultatsV!$Q$10:$T$248,3,0))</f>
        <v>0</v>
      </c>
      <c r="M123" s="136">
        <f>IF(ISNA(VLOOKUP(B123,RésultatsV!$Q$10:$T$248,4,0)),"0",VLOOKUP(B123,RésultatsV!$Q$10:$T$248,4,0))</f>
        <v>0</v>
      </c>
      <c r="N123" s="136">
        <f>IF(ISNA(VLOOKUP(B123,RésultatsV!$Q$10:$T$248,2,0)),"0",VLOOKUP(B123,RésultatsV!$Q$10:$T$248,2,0))</f>
        <v>0</v>
      </c>
      <c r="O123" s="136">
        <f>IF(ISNA(VLOOKUP(B123,RésultatsV!$V$10:$Y$248,3,0)),"0",VLOOKUP(B123,RésultatsV!$V$10:$Y$248,3,0))</f>
        <v>0</v>
      </c>
      <c r="P123" s="136">
        <f>IF(ISNA(VLOOKUP(B123,RésultatsV!$V$10:$Y$248,4,0)),"0",VLOOKUP(B123,RésultatsV!$V$10:$Y$248,4,0))</f>
        <v>0</v>
      </c>
      <c r="Q123" s="136">
        <f>IF(ISNA(VLOOKUP(E123,RésultatsV!$V$10:$Y$248,2,0)),"0",VLOOKUP(E123,RésultatsV!$V$10:$Y$248,2,0))</f>
        <v>0</v>
      </c>
      <c r="R123" s="136">
        <f>IF(ISNA(VLOOKUP(B123,RésultatsV!$AA$10:$AD$248,3,0)),"0",VLOOKUP(B123,RésultatsV!$AA$10:$AD$248,3,0))</f>
        <v>0</v>
      </c>
      <c r="S123" s="136">
        <f>IF(ISNA(VLOOKUP(B123,RésultatsV!$AA$10:$AD$248,4,0)),"0",VLOOKUP(B123,RésultatsV!$AA$10:$AD$248,4,0))</f>
        <v>0</v>
      </c>
      <c r="T123" s="136">
        <f>IF(ISNA(VLOOKUP(B123,RésultatsV!$AA$10:$AD$248,2,0)),"0",VLOOKUP(B123,RésultatsV!$AA$10:$AD$248,2,0))</f>
        <v>0</v>
      </c>
      <c r="U123" s="110">
        <f t="shared" si="28"/>
        <v>0</v>
      </c>
      <c r="V123" s="103">
        <f t="shared" si="29"/>
        <v>0</v>
      </c>
      <c r="W123" s="106">
        <f t="shared" si="23"/>
        <v>0</v>
      </c>
      <c r="X123" s="61">
        <f t="shared" si="26"/>
        <v>0</v>
      </c>
      <c r="Y123" s="52">
        <f t="shared" si="27"/>
        <v>0</v>
      </c>
      <c r="Z123" s="104">
        <f t="shared" si="24"/>
        <v>23.000159229999998</v>
      </c>
      <c r="AA123" s="115">
        <f>IF(B123="","",SMALL(Z$6:Z$185,ROWS(AD$6:AD123)))</f>
        <v>23.00015917</v>
      </c>
      <c r="AB123" s="270"/>
      <c r="AC123" s="4">
        <f>IF(OR(B123="",U123=""),"",INDEX($B$6:$B$185,MATCH(AA123,$Z$6:Z$185,0)))</f>
        <v>0</v>
      </c>
      <c r="AD123" s="4">
        <f t="shared" si="30"/>
        <v>0</v>
      </c>
      <c r="AE123" s="4">
        <f t="shared" si="31"/>
        <v>0</v>
      </c>
      <c r="AF123" s="113">
        <f t="shared" si="25"/>
        <v>0</v>
      </c>
      <c r="AG123" s="271">
        <f>IF(AA123="","",IF(AND(AD122=AD123,AE122=AE123,AF122=AF123),AG122,$AG$6+117))</f>
        <v>23</v>
      </c>
      <c r="AH123" s="34"/>
      <c r="AI123" s="92"/>
    </row>
    <row r="124" spans="1:36" s="23" customFormat="1" ht="18" customHeight="1">
      <c r="A124" s="282">
        <v>119</v>
      </c>
      <c r="B124" s="283">
        <f>+'Joueurs et TirageV'!E65</f>
        <v>0</v>
      </c>
      <c r="C124" s="136" t="str">
        <f>IF(ISNA(VLOOKUP(B124,RésultatsV!$B$10:$E$248,3,0)),"0",VLOOKUP(B124,RésultatsV!$B$10:$E$248,3,0))</f>
        <v>0</v>
      </c>
      <c r="D124" s="136">
        <f>IF(ISNA(VLOOKUP(B124,RésultatsV!$B$10:$E$248,4,0)),"0",VLOOKUP(B124,RésultatsV!$B$10:$E$248,4,0))</f>
        <v>0</v>
      </c>
      <c r="E124" s="136">
        <f>IF(ISNA(VLOOKUP(B124,RésultatsV!$B$10:$E$248,2,0)),"0",VLOOKUP(B124,RésultatsV!$B$10:$E$248,2,0))</f>
        <v>0</v>
      </c>
      <c r="F124" s="136">
        <f>IF(ISNA(VLOOKUP(B124,RésultatsV!$G$10:$J$248,3,0)),"0",VLOOKUP(B124,RésultatsV!$G$10:$J$248,3,0))</f>
        <v>0</v>
      </c>
      <c r="G124" s="136">
        <f>IF(ISNA(VLOOKUP(B124,RésultatsV!$G$10:$J$248,4,0)),"0",VLOOKUP(B124,RésultatsV!$G$10:$J$248,4,0))</f>
        <v>0</v>
      </c>
      <c r="H124" s="136">
        <f>IF(ISNA(VLOOKUP(B124,RésultatsV!$G$10:$J$248,2,0)),"0",VLOOKUP(B124,RésultatsV!$G$10:$J$248,2,0))</f>
        <v>0</v>
      </c>
      <c r="I124" s="136">
        <f>IF(ISNA(VLOOKUP(B124,RésultatsV!$L$10:$O$248,3,0)),"0",VLOOKUP(B124,RésultatsV!$L$10:$O$248,3,0))</f>
        <v>0</v>
      </c>
      <c r="J124" s="136">
        <f>IF(ISNA(VLOOKUP(B124,RésultatsV!$L$10:$O$248,4,0)),"0",VLOOKUP(B124,RésultatsV!$L$10:$O$248,4,0))</f>
        <v>0</v>
      </c>
      <c r="K124" s="136">
        <f>IF(ISNA(VLOOKUP(B124,RésultatsV!$L$10:$O$248,2,0)),"0",VLOOKUP(B124,RésultatsV!$L$10:$O$248,2,0))</f>
        <v>0</v>
      </c>
      <c r="L124" s="136">
        <f>IF(ISNA(VLOOKUP(B124,RésultatsV!$Q$10:$T$248,3,0)),"0",VLOOKUP(B124,RésultatsV!$Q$10:$T$248,3,0))</f>
        <v>0</v>
      </c>
      <c r="M124" s="136">
        <f>IF(ISNA(VLOOKUP(B124,RésultatsV!$Q$10:$T$248,4,0)),"0",VLOOKUP(B124,RésultatsV!$Q$10:$T$248,4,0))</f>
        <v>0</v>
      </c>
      <c r="N124" s="136">
        <f>IF(ISNA(VLOOKUP(B124,RésultatsV!$Q$10:$T$248,2,0)),"0",VLOOKUP(B124,RésultatsV!$Q$10:$T$248,2,0))</f>
        <v>0</v>
      </c>
      <c r="O124" s="136">
        <f>IF(ISNA(VLOOKUP(B124,RésultatsV!$V$10:$Y$248,3,0)),"0",VLOOKUP(B124,RésultatsV!$V$10:$Y$248,3,0))</f>
        <v>0</v>
      </c>
      <c r="P124" s="136">
        <f>IF(ISNA(VLOOKUP(B124,RésultatsV!$V$10:$Y$248,4,0)),"0",VLOOKUP(B124,RésultatsV!$V$10:$Y$248,4,0))</f>
        <v>0</v>
      </c>
      <c r="Q124" s="136">
        <f>IF(ISNA(VLOOKUP(E124,RésultatsV!$V$10:$Y$248,2,0)),"0",VLOOKUP(E124,RésultatsV!$V$10:$Y$248,2,0))</f>
        <v>0</v>
      </c>
      <c r="R124" s="136">
        <f>IF(ISNA(VLOOKUP(B124,RésultatsV!$AA$10:$AD$248,3,0)),"0",VLOOKUP(B124,RésultatsV!$AA$10:$AD$248,3,0))</f>
        <v>0</v>
      </c>
      <c r="S124" s="136">
        <f>IF(ISNA(VLOOKUP(B124,RésultatsV!$AA$10:$AD$248,4,0)),"0",VLOOKUP(B124,RésultatsV!$AA$10:$AD$248,4,0))</f>
        <v>0</v>
      </c>
      <c r="T124" s="136">
        <f>IF(ISNA(VLOOKUP(B124,RésultatsV!$AA$10:$AD$248,2,0)),"0",VLOOKUP(B124,RésultatsV!$AA$10:$AD$248,2,0))</f>
        <v>0</v>
      </c>
      <c r="U124" s="110">
        <f t="shared" si="28"/>
        <v>0</v>
      </c>
      <c r="V124" s="103">
        <f t="shared" si="29"/>
        <v>0</v>
      </c>
      <c r="W124" s="106">
        <f t="shared" si="23"/>
        <v>0</v>
      </c>
      <c r="X124" s="61">
        <f t="shared" si="26"/>
        <v>0</v>
      </c>
      <c r="Y124" s="52">
        <f t="shared" si="27"/>
        <v>0</v>
      </c>
      <c r="Z124" s="104">
        <f t="shared" si="24"/>
        <v>23.000159239999999</v>
      </c>
      <c r="AA124" s="115">
        <f>IF(B124="","",SMALL(Z$6:Z$185,ROWS(AD$6:AD124)))</f>
        <v>23.000159180000001</v>
      </c>
      <c r="AB124" s="270"/>
      <c r="AC124" s="4">
        <f>IF(OR(B124="",U124=""),"",INDEX($B$6:$B$185,MATCH(AA124,$Z$6:Z$185,0)))</f>
        <v>0</v>
      </c>
      <c r="AD124" s="4">
        <f t="shared" si="30"/>
        <v>0</v>
      </c>
      <c r="AE124" s="4">
        <f t="shared" si="31"/>
        <v>0</v>
      </c>
      <c r="AF124" s="113">
        <f t="shared" si="25"/>
        <v>0</v>
      </c>
      <c r="AG124" s="271">
        <f>IF(AA124="","",IF(AND(AD123=AD124,AE123=AE124,AF123=AF124),AG123,$AG$6+118))</f>
        <v>23</v>
      </c>
      <c r="AH124" s="34"/>
      <c r="AI124" s="92"/>
    </row>
    <row r="125" spans="1:36" s="23" customFormat="1" ht="18" customHeight="1" thickBot="1">
      <c r="A125" s="282">
        <v>120</v>
      </c>
      <c r="B125" s="285">
        <f>+'Joueurs et TirageV'!E66</f>
        <v>0</v>
      </c>
      <c r="C125" s="136" t="str">
        <f>IF(ISNA(VLOOKUP(B125,RésultatsV!$B$10:$E$248,3,0)),"0",VLOOKUP(B125,RésultatsV!$B$10:$E$248,3,0))</f>
        <v>0</v>
      </c>
      <c r="D125" s="136">
        <f>IF(ISNA(VLOOKUP(B125,RésultatsV!$B$10:$E$248,4,0)),"0",VLOOKUP(B125,RésultatsV!$B$10:$E$248,4,0))</f>
        <v>0</v>
      </c>
      <c r="E125" s="136">
        <f>IF(ISNA(VLOOKUP(B125,RésultatsV!$B$10:$E$248,2,0)),"0",VLOOKUP(B125,RésultatsV!$B$10:$E$248,2,0))</f>
        <v>0</v>
      </c>
      <c r="F125" s="136">
        <f>IF(ISNA(VLOOKUP(B125,RésultatsV!$G$10:$J$248,3,0)),"0",VLOOKUP(B125,RésultatsV!$G$10:$J$248,3,0))</f>
        <v>0</v>
      </c>
      <c r="G125" s="136">
        <f>IF(ISNA(VLOOKUP(B125,RésultatsV!$G$10:$J$248,4,0)),"0",VLOOKUP(B125,RésultatsV!$G$10:$J$248,4,0))</f>
        <v>0</v>
      </c>
      <c r="H125" s="136">
        <f>IF(ISNA(VLOOKUP(B125,RésultatsV!$G$10:$J$248,2,0)),"0",VLOOKUP(B125,RésultatsV!$G$10:$J$248,2,0))</f>
        <v>0</v>
      </c>
      <c r="I125" s="136">
        <f>IF(ISNA(VLOOKUP(B125,RésultatsV!$L$10:$O$248,3,0)),"0",VLOOKUP(B125,RésultatsV!$L$10:$O$248,3,0))</f>
        <v>0</v>
      </c>
      <c r="J125" s="136">
        <f>IF(ISNA(VLOOKUP(B125,RésultatsV!$L$10:$O$248,4,0)),"0",VLOOKUP(B125,RésultatsV!$L$10:$O$248,4,0))</f>
        <v>0</v>
      </c>
      <c r="K125" s="136">
        <f>IF(ISNA(VLOOKUP(B125,RésultatsV!$L$10:$O$248,2,0)),"0",VLOOKUP(B125,RésultatsV!$L$10:$O$248,2,0))</f>
        <v>0</v>
      </c>
      <c r="L125" s="136">
        <f>IF(ISNA(VLOOKUP(B125,RésultatsV!$Q$10:$T$248,3,0)),"0",VLOOKUP(B125,RésultatsV!$Q$10:$T$248,3,0))</f>
        <v>0</v>
      </c>
      <c r="M125" s="136">
        <f>IF(ISNA(VLOOKUP(B125,RésultatsV!$Q$10:$T$248,4,0)),"0",VLOOKUP(B125,RésultatsV!$Q$10:$T$248,4,0))</f>
        <v>0</v>
      </c>
      <c r="N125" s="136">
        <f>IF(ISNA(VLOOKUP(B125,RésultatsV!$Q$10:$T$248,2,0)),"0",VLOOKUP(B125,RésultatsV!$Q$10:$T$248,2,0))</f>
        <v>0</v>
      </c>
      <c r="O125" s="136">
        <f>IF(ISNA(VLOOKUP(B125,RésultatsV!$V$10:$Y$248,3,0)),"0",VLOOKUP(B125,RésultatsV!$V$10:$Y$248,3,0))</f>
        <v>0</v>
      </c>
      <c r="P125" s="136">
        <f>IF(ISNA(VLOOKUP(B125,RésultatsV!$V$10:$Y$248,4,0)),"0",VLOOKUP(B125,RésultatsV!$V$10:$Y$248,4,0))</f>
        <v>0</v>
      </c>
      <c r="Q125" s="136">
        <f>IF(ISNA(VLOOKUP(E125,RésultatsV!$V$10:$Y$248,2,0)),"0",VLOOKUP(E125,RésultatsV!$V$10:$Y$248,2,0))</f>
        <v>0</v>
      </c>
      <c r="R125" s="136">
        <f>IF(ISNA(VLOOKUP(B125,RésultatsV!$AA$10:$AD$248,3,0)),"0",VLOOKUP(B125,RésultatsV!$AA$10:$AD$248,3,0))</f>
        <v>0</v>
      </c>
      <c r="S125" s="136">
        <f>IF(ISNA(VLOOKUP(B125,RésultatsV!$AA$10:$AD$248,4,0)),"0",VLOOKUP(B125,RésultatsV!$AA$10:$AD$248,4,0))</f>
        <v>0</v>
      </c>
      <c r="T125" s="136">
        <f>IF(ISNA(VLOOKUP(B125,RésultatsV!$AA$10:$AD$248,2,0)),"0",VLOOKUP(B125,RésultatsV!$AA$10:$AD$248,2,0))</f>
        <v>0</v>
      </c>
      <c r="U125" s="110">
        <f t="shared" si="28"/>
        <v>0</v>
      </c>
      <c r="V125" s="103">
        <f t="shared" si="29"/>
        <v>0</v>
      </c>
      <c r="W125" s="106">
        <f t="shared" si="23"/>
        <v>0</v>
      </c>
      <c r="X125" s="61">
        <f t="shared" si="26"/>
        <v>0</v>
      </c>
      <c r="Y125" s="52">
        <f t="shared" si="27"/>
        <v>0</v>
      </c>
      <c r="Z125" s="104">
        <f t="shared" si="24"/>
        <v>23.000159249999999</v>
      </c>
      <c r="AA125" s="115">
        <f>IF(B125="","",SMALL(Z$6:Z$185,ROWS(AD$6:AD125)))</f>
        <v>23.000159189999998</v>
      </c>
      <c r="AB125" s="270"/>
      <c r="AC125" s="4">
        <f>IF(OR(B125="",U125=""),"",INDEX($B$6:$B$185,MATCH(AA125,$Z$6:Z$185,0)))</f>
        <v>0</v>
      </c>
      <c r="AD125" s="4">
        <f t="shared" si="30"/>
        <v>0</v>
      </c>
      <c r="AE125" s="4">
        <f t="shared" si="31"/>
        <v>0</v>
      </c>
      <c r="AF125" s="113">
        <f t="shared" si="25"/>
        <v>0</v>
      </c>
      <c r="AG125" s="271">
        <f>IF(AA125="","",IF(AND(AD124=AD125,AE124=AE125,AF124=AF125),AG124,$AG$6+119))</f>
        <v>23</v>
      </c>
      <c r="AH125" s="34"/>
      <c r="AI125" s="92"/>
    </row>
    <row r="126" spans="1:36" s="23" customFormat="1" ht="18" customHeight="1">
      <c r="A126" s="282">
        <v>121</v>
      </c>
      <c r="B126" s="287" t="str">
        <f>+'Joueurs et TirageV'!G7</f>
        <v>C1</v>
      </c>
      <c r="C126" s="136">
        <f>IF(ISNA(VLOOKUP(B126,RésultatsV!$B$10:$E$248,3,0)),"0",VLOOKUP(B126,RésultatsV!$B$10:$E$248,3,0))</f>
        <v>1</v>
      </c>
      <c r="D126" s="136">
        <f>IF(ISNA(VLOOKUP(B126,RésultatsV!$B$10:$E$248,4,0)),"0",VLOOKUP(B126,RésultatsV!$B$10:$E$248,4,0))</f>
        <v>-2</v>
      </c>
      <c r="E126" s="136">
        <f>IF(ISNA(VLOOKUP(B126,RésultatsV!$B$10:$E$248,2,0)),"0",VLOOKUP(B126,RésultatsV!$B$10:$E$248,2,0))</f>
        <v>11</v>
      </c>
      <c r="F126" s="136">
        <f>IF(ISNA(VLOOKUP(B126,RésultatsV!$G$10:$J$248,3,0)),"0",VLOOKUP(B126,RésultatsV!$G$10:$J$248,3,0))</f>
        <v>3</v>
      </c>
      <c r="G126" s="136">
        <f>IF(ISNA(VLOOKUP(B126,RésultatsV!$G$10:$J$248,4,0)),"0",VLOOKUP(B126,RésultatsV!$G$10:$J$248,4,0))</f>
        <v>5</v>
      </c>
      <c r="H126" s="136">
        <f>IF(ISNA(VLOOKUP(B126,RésultatsV!$G$10:$J$248,2,0)),"0",VLOOKUP(B126,RésultatsV!$G$10:$J$248,2,0))</f>
        <v>6</v>
      </c>
      <c r="I126" s="136" t="str">
        <f>IF(ISNA(VLOOKUP(B126,RésultatsV!$L$10:$O$248,3,0)),"0",VLOOKUP(B126,RésultatsV!$L$10:$O$248,3,0))</f>
        <v>0</v>
      </c>
      <c r="J126" s="136" t="str">
        <f>IF(ISNA(VLOOKUP(B126,RésultatsV!$L$10:$O$248,4,0)),"0",VLOOKUP(B126,RésultatsV!$L$10:$O$248,4,0))</f>
        <v>0</v>
      </c>
      <c r="K126" s="136" t="str">
        <f>IF(ISNA(VLOOKUP(B126,RésultatsV!$L$10:$O$248,2,0)),"0",VLOOKUP(B126,RésultatsV!$L$10:$O$248,2,0))</f>
        <v>0</v>
      </c>
      <c r="L126" s="136" t="str">
        <f>IF(ISNA(VLOOKUP(B126,RésultatsV!$Q$10:$T$248,3,0)),"0",VLOOKUP(B126,RésultatsV!$Q$10:$T$248,3,0))</f>
        <v>0</v>
      </c>
      <c r="M126" s="136" t="str">
        <f>IF(ISNA(VLOOKUP(B126,RésultatsV!$Q$10:$T$248,4,0)),"0",VLOOKUP(B126,RésultatsV!$Q$10:$T$248,4,0))</f>
        <v>0</v>
      </c>
      <c r="N126" s="136" t="str">
        <f>IF(ISNA(VLOOKUP(B126,RésultatsV!$Q$10:$T$248,2,0)),"0",VLOOKUP(B126,RésultatsV!$Q$10:$T$248,2,0))</f>
        <v>0</v>
      </c>
      <c r="O126" s="136" t="str">
        <f>IF(ISNA(VLOOKUP(B126,RésultatsV!$V$10:$Y$248,3,0)),"0",VLOOKUP(B126,RésultatsV!$V$10:$Y$248,3,0))</f>
        <v>0</v>
      </c>
      <c r="P126" s="136" t="str">
        <f>IF(ISNA(VLOOKUP(B126,RésultatsV!$V$10:$Y$248,4,0)),"0",VLOOKUP(B126,RésultatsV!$V$10:$Y$248,4,0))</f>
        <v>0</v>
      </c>
      <c r="Q126" s="136" t="str">
        <f>IF(ISNA(VLOOKUP(E126,RésultatsV!$V$10:$Y$248,2,0)),"0",VLOOKUP(E126,RésultatsV!$V$10:$Y$248,2,0))</f>
        <v>0</v>
      </c>
      <c r="R126" s="136" t="str">
        <f>IF(ISNA(VLOOKUP(B126,RésultatsV!$AA$10:$AD$248,3,0)),"0",VLOOKUP(B126,RésultatsV!$AA$10:$AD$248,3,0))</f>
        <v>0</v>
      </c>
      <c r="S126" s="136" t="str">
        <f>IF(ISNA(VLOOKUP(B126,RésultatsV!$AA$10:$AD$248,4,0)),"0",VLOOKUP(B126,RésultatsV!$AA$10:$AD$248,4,0))</f>
        <v>0</v>
      </c>
      <c r="T126" s="136" t="str">
        <f>IF(ISNA(VLOOKUP(B126,RésultatsV!$AA$10:$AD$248,2,0)),"0",VLOOKUP(B126,RésultatsV!$AA$10:$AD$248,2,0))</f>
        <v>0</v>
      </c>
      <c r="U126" s="110">
        <f t="shared" si="28"/>
        <v>4</v>
      </c>
      <c r="V126" s="103">
        <f t="shared" si="29"/>
        <v>3</v>
      </c>
      <c r="W126" s="106">
        <f t="shared" si="23"/>
        <v>17</v>
      </c>
      <c r="X126" s="61">
        <f t="shared" si="26"/>
        <v>0</v>
      </c>
      <c r="Y126" s="52">
        <f t="shared" si="6"/>
        <v>3</v>
      </c>
      <c r="Z126" s="104">
        <f t="shared" si="24"/>
        <v>6.9953012600000006</v>
      </c>
      <c r="AA126" s="115">
        <f>IF(B126="","",SMALL(Z$6:Z$185,ROWS(AD$6:AD126)))</f>
        <v>23.000159199999999</v>
      </c>
      <c r="AB126" s="270"/>
      <c r="AC126" s="4">
        <f>IF(OR(B126="",U126=""),"",INDEX($B$6:$B$185,MATCH(AA126,$Z$6:Z$185,0)))</f>
        <v>0</v>
      </c>
      <c r="AD126" s="4">
        <f t="shared" si="30"/>
        <v>0</v>
      </c>
      <c r="AE126" s="4">
        <f t="shared" si="31"/>
        <v>0</v>
      </c>
      <c r="AF126" s="113">
        <f t="shared" si="25"/>
        <v>0</v>
      </c>
      <c r="AG126" s="271">
        <f>IF(AA126="","",IF(AND(AD125=AD126,AE125=AE126,AF125=AF126),AG125,$AG$6+120))</f>
        <v>23</v>
      </c>
      <c r="AH126" s="254"/>
      <c r="AI126" s="92"/>
      <c r="AJ126" s="23">
        <v>120</v>
      </c>
    </row>
    <row r="127" spans="1:36" s="23" customFormat="1" ht="18" customHeight="1">
      <c r="A127" s="282">
        <v>122</v>
      </c>
      <c r="B127" s="288" t="str">
        <f>+'Joueurs et TirageV'!G8</f>
        <v>C2</v>
      </c>
      <c r="C127" s="136">
        <f>IF(ISNA(VLOOKUP(B127,RésultatsV!$B$10:$E$248,3,0)),"0",VLOOKUP(B127,RésultatsV!$B$10:$E$248,3,0))</f>
        <v>1</v>
      </c>
      <c r="D127" s="136">
        <f>IF(ISNA(VLOOKUP(B127,RésultatsV!$B$10:$E$248,4,0)),"0",VLOOKUP(B127,RésultatsV!$B$10:$E$248,4,0))</f>
        <v>-7</v>
      </c>
      <c r="E127" s="136">
        <f>IF(ISNA(VLOOKUP(B127,RésultatsV!$B$10:$E$248,2,0)),"0",VLOOKUP(B127,RésultatsV!$B$10:$E$248,2,0))</f>
        <v>2</v>
      </c>
      <c r="F127" s="136">
        <f>IF(ISNA(VLOOKUP(B127,RésultatsV!$G$10:$J$248,3,0)),"0",VLOOKUP(B127,RésultatsV!$G$10:$J$248,3,0))</f>
        <v>3</v>
      </c>
      <c r="G127" s="136">
        <f>IF(ISNA(VLOOKUP(B127,RésultatsV!$G$10:$J$248,4,0)),"0",VLOOKUP(B127,RésultatsV!$G$10:$J$248,4,0))</f>
        <v>4</v>
      </c>
      <c r="H127" s="136">
        <f>IF(ISNA(VLOOKUP(B127,RésultatsV!$G$10:$J$248,2,0)),"0",VLOOKUP(B127,RésultatsV!$G$10:$J$248,2,0))</f>
        <v>6</v>
      </c>
      <c r="I127" s="136" t="str">
        <f>IF(ISNA(VLOOKUP(B127,RésultatsV!$L$10:$O$248,3,0)),"0",VLOOKUP(B127,RésultatsV!$L$10:$O$248,3,0))</f>
        <v>0</v>
      </c>
      <c r="J127" s="136" t="str">
        <f>IF(ISNA(VLOOKUP(B127,RésultatsV!$L$10:$O$248,4,0)),"0",VLOOKUP(B127,RésultatsV!$L$10:$O$248,4,0))</f>
        <v>0</v>
      </c>
      <c r="K127" s="136" t="str">
        <f>IF(ISNA(VLOOKUP(B127,RésultatsV!$L$10:$O$248,2,0)),"0",VLOOKUP(B127,RésultatsV!$L$10:$O$248,2,0))</f>
        <v>0</v>
      </c>
      <c r="L127" s="136" t="str">
        <f>IF(ISNA(VLOOKUP(B127,RésultatsV!$Q$10:$T$248,3,0)),"0",VLOOKUP(B127,RésultatsV!$Q$10:$T$248,3,0))</f>
        <v>0</v>
      </c>
      <c r="M127" s="136" t="str">
        <f>IF(ISNA(VLOOKUP(B127,RésultatsV!$Q$10:$T$248,4,0)),"0",VLOOKUP(B127,RésultatsV!$Q$10:$T$248,4,0))</f>
        <v>0</v>
      </c>
      <c r="N127" s="136" t="str">
        <f>IF(ISNA(VLOOKUP(B127,RésultatsV!$Q$10:$T$248,2,0)),"0",VLOOKUP(B127,RésultatsV!$Q$10:$T$248,2,0))</f>
        <v>0</v>
      </c>
      <c r="O127" s="136" t="str">
        <f>IF(ISNA(VLOOKUP(B127,RésultatsV!$V$10:$Y$248,3,0)),"0",VLOOKUP(B127,RésultatsV!$V$10:$Y$248,3,0))</f>
        <v>0</v>
      </c>
      <c r="P127" s="136" t="str">
        <f>IF(ISNA(VLOOKUP(B127,RésultatsV!$V$10:$Y$248,4,0)),"0",VLOOKUP(B127,RésultatsV!$V$10:$Y$248,4,0))</f>
        <v>0</v>
      </c>
      <c r="Q127" s="136" t="str">
        <f>IF(ISNA(VLOOKUP(E127,RésultatsV!$V$10:$Y$248,2,0)),"0",VLOOKUP(E127,RésultatsV!$V$10:$Y$248,2,0))</f>
        <v>0</v>
      </c>
      <c r="R127" s="136" t="str">
        <f>IF(ISNA(VLOOKUP(B127,RésultatsV!$AA$10:$AD$248,3,0)),"0",VLOOKUP(B127,RésultatsV!$AA$10:$AD$248,3,0))</f>
        <v>0</v>
      </c>
      <c r="S127" s="136" t="str">
        <f>IF(ISNA(VLOOKUP(B127,RésultatsV!$AA$10:$AD$248,4,0)),"0",VLOOKUP(B127,RésultatsV!$AA$10:$AD$248,4,0))</f>
        <v>0</v>
      </c>
      <c r="T127" s="136" t="str">
        <f>IF(ISNA(VLOOKUP(B127,RésultatsV!$AA$10:$AD$248,2,0)),"0",VLOOKUP(B127,RésultatsV!$AA$10:$AD$248,2,0))</f>
        <v>0</v>
      </c>
      <c r="U127" s="110">
        <f t="shared" si="28"/>
        <v>4</v>
      </c>
      <c r="V127" s="103">
        <f t="shared" si="29"/>
        <v>-3</v>
      </c>
      <c r="W127" s="106">
        <f t="shared" si="23"/>
        <v>8</v>
      </c>
      <c r="X127" s="61">
        <f t="shared" si="26"/>
        <v>-3</v>
      </c>
      <c r="Y127" s="52">
        <f t="shared" si="6"/>
        <v>0</v>
      </c>
      <c r="Z127" s="104">
        <f t="shared" si="24"/>
        <v>7.0022012700000005</v>
      </c>
      <c r="AA127" s="115">
        <f>IF(B127="","",SMALL(Z$6:Z$185,ROWS(AD$6:AD127)))</f>
        <v>23.00015921</v>
      </c>
      <c r="AB127" s="270"/>
      <c r="AC127" s="4">
        <f>IF(OR(B127="",U127=""),"",INDEX($B$6:$B$185,MATCH(AA127,$Z$6:Z$185,0)))</f>
        <v>0</v>
      </c>
      <c r="AD127" s="4">
        <f t="shared" si="30"/>
        <v>0</v>
      </c>
      <c r="AE127" s="4">
        <f t="shared" si="31"/>
        <v>0</v>
      </c>
      <c r="AF127" s="113">
        <f t="shared" si="25"/>
        <v>0</v>
      </c>
      <c r="AG127" s="271">
        <f>IF(AA127="","",IF(AND(AD126=AD127,AE126=AE127,AF126=AF127),AG126,$AG$6+121))</f>
        <v>23</v>
      </c>
      <c r="AH127" s="34"/>
      <c r="AI127" s="92"/>
    </row>
    <row r="128" spans="1:36" s="23" customFormat="1" ht="18" customHeight="1">
      <c r="A128" s="282">
        <v>123</v>
      </c>
      <c r="B128" s="288" t="str">
        <f>+'Joueurs et TirageV'!G9</f>
        <v>C3</v>
      </c>
      <c r="C128" s="136">
        <f>IF(ISNA(VLOOKUP(B128,RésultatsV!$B$10:$E$248,3,0)),"0",VLOOKUP(B128,RésultatsV!$B$10:$E$248,3,0))</f>
        <v>3</v>
      </c>
      <c r="D128" s="136">
        <f>IF(ISNA(VLOOKUP(B128,RésultatsV!$B$10:$E$248,4,0)),"0",VLOOKUP(B128,RésultatsV!$B$10:$E$248,4,0))</f>
        <v>7</v>
      </c>
      <c r="E128" s="136">
        <f>IF(ISNA(VLOOKUP(B128,RésultatsV!$B$10:$E$248,2,0)),"0",VLOOKUP(B128,RésultatsV!$B$10:$E$248,2,0))</f>
        <v>9</v>
      </c>
      <c r="F128" s="136">
        <f>IF(ISNA(VLOOKUP(B128,RésultatsV!$G$10:$J$248,3,0)),"0",VLOOKUP(B128,RésultatsV!$G$10:$J$248,3,0))</f>
        <v>3</v>
      </c>
      <c r="G128" s="136">
        <f>IF(ISNA(VLOOKUP(B128,RésultatsV!$G$10:$J$248,4,0)),"0",VLOOKUP(B128,RésultatsV!$G$10:$J$248,4,0))</f>
        <v>5</v>
      </c>
      <c r="H128" s="136">
        <f>IF(ISNA(VLOOKUP(B128,RésultatsV!$G$10:$J$248,2,0)),"0",VLOOKUP(B128,RésultatsV!$G$10:$J$248,2,0))</f>
        <v>6</v>
      </c>
      <c r="I128" s="136" t="str">
        <f>IF(ISNA(VLOOKUP(B128,RésultatsV!$L$10:$O$248,3,0)),"0",VLOOKUP(B128,RésultatsV!$L$10:$O$248,3,0))</f>
        <v>0</v>
      </c>
      <c r="J128" s="136" t="str">
        <f>IF(ISNA(VLOOKUP(B128,RésultatsV!$L$10:$O$248,4,0)),"0",VLOOKUP(B128,RésultatsV!$L$10:$O$248,4,0))</f>
        <v>0</v>
      </c>
      <c r="K128" s="136" t="str">
        <f>IF(ISNA(VLOOKUP(B128,RésultatsV!$L$10:$O$248,2,0)),"0",VLOOKUP(B128,RésultatsV!$L$10:$O$248,2,0))</f>
        <v>0</v>
      </c>
      <c r="L128" s="136" t="str">
        <f>IF(ISNA(VLOOKUP(B128,RésultatsV!$Q$10:$T$248,3,0)),"0",VLOOKUP(B128,RésultatsV!$Q$10:$T$248,3,0))</f>
        <v>0</v>
      </c>
      <c r="M128" s="136" t="str">
        <f>IF(ISNA(VLOOKUP(B128,RésultatsV!$Q$10:$T$248,4,0)),"0",VLOOKUP(B128,RésultatsV!$Q$10:$T$248,4,0))</f>
        <v>0</v>
      </c>
      <c r="N128" s="136" t="str">
        <f>IF(ISNA(VLOOKUP(B128,RésultatsV!$Q$10:$T$248,2,0)),"0",VLOOKUP(B128,RésultatsV!$Q$10:$T$248,2,0))</f>
        <v>0</v>
      </c>
      <c r="O128" s="136" t="str">
        <f>IF(ISNA(VLOOKUP(B128,RésultatsV!$V$10:$Y$248,3,0)),"0",VLOOKUP(B128,RésultatsV!$V$10:$Y$248,3,0))</f>
        <v>0</v>
      </c>
      <c r="P128" s="136" t="str">
        <f>IF(ISNA(VLOOKUP(B128,RésultatsV!$V$10:$Y$248,4,0)),"0",VLOOKUP(B128,RésultatsV!$V$10:$Y$248,4,0))</f>
        <v>0</v>
      </c>
      <c r="Q128" s="136" t="str">
        <f>IF(ISNA(VLOOKUP(E128,RésultatsV!$V$10:$Y$248,2,0)),"0",VLOOKUP(E128,RésultatsV!$V$10:$Y$248,2,0))</f>
        <v>0</v>
      </c>
      <c r="R128" s="136" t="str">
        <f>IF(ISNA(VLOOKUP(B128,RésultatsV!$AA$10:$AD$248,3,0)),"0",VLOOKUP(B128,RésultatsV!$AA$10:$AD$248,3,0))</f>
        <v>0</v>
      </c>
      <c r="S128" s="136" t="str">
        <f>IF(ISNA(VLOOKUP(B128,RésultatsV!$AA$10:$AD$248,4,0)),"0",VLOOKUP(B128,RésultatsV!$AA$10:$AD$248,4,0))</f>
        <v>0</v>
      </c>
      <c r="T128" s="136" t="str">
        <f>IF(ISNA(VLOOKUP(B128,RésultatsV!$AA$10:$AD$248,2,0)),"0",VLOOKUP(B128,RésultatsV!$AA$10:$AD$248,2,0))</f>
        <v>0</v>
      </c>
      <c r="U128" s="110">
        <f t="shared" si="28"/>
        <v>6</v>
      </c>
      <c r="V128" s="103">
        <f t="shared" si="29"/>
        <v>12</v>
      </c>
      <c r="W128" s="106">
        <f t="shared" si="23"/>
        <v>15</v>
      </c>
      <c r="X128" s="61">
        <f t="shared" si="26"/>
        <v>0</v>
      </c>
      <c r="Y128" s="52">
        <f t="shared" si="6"/>
        <v>12</v>
      </c>
      <c r="Z128" s="104">
        <f t="shared" si="24"/>
        <v>0.98650128000000004</v>
      </c>
      <c r="AA128" s="115">
        <f>IF(B128="","",SMALL(Z$6:Z$185,ROWS(AD$6:AD128)))</f>
        <v>23.00015922</v>
      </c>
      <c r="AB128" s="270"/>
      <c r="AC128" s="4">
        <f>IF(OR(B128="",U128=""),"",INDEX($B$6:$B$185,MATCH(AA128,$Z$6:Z$185,0)))</f>
        <v>0</v>
      </c>
      <c r="AD128" s="4">
        <f t="shared" si="30"/>
        <v>0</v>
      </c>
      <c r="AE128" s="4">
        <f t="shared" si="31"/>
        <v>0</v>
      </c>
      <c r="AF128" s="113">
        <f t="shared" si="25"/>
        <v>0</v>
      </c>
      <c r="AG128" s="271">
        <f>IF(AA128="","",IF(AND(AD127=AD128,AE127=AE128,AF127=AF128),AG127,$AG$6+122))</f>
        <v>23</v>
      </c>
      <c r="AH128" s="34"/>
      <c r="AI128" s="92"/>
    </row>
    <row r="129" spans="1:36" s="23" customFormat="1" ht="18" customHeight="1">
      <c r="A129" s="282">
        <v>124</v>
      </c>
      <c r="B129" s="288" t="str">
        <f>+'Joueurs et TirageV'!G10</f>
        <v>C4</v>
      </c>
      <c r="C129" s="136">
        <f>IF(ISNA(VLOOKUP(B129,RésultatsV!$B$10:$E$248,3,0)),"0",VLOOKUP(B129,RésultatsV!$B$10:$E$248,3,0))</f>
        <v>3</v>
      </c>
      <c r="D129" s="136">
        <f>IF(ISNA(VLOOKUP(B129,RésultatsV!$B$10:$E$248,4,0)),"0",VLOOKUP(B129,RésultatsV!$B$10:$E$248,4,0))</f>
        <v>7</v>
      </c>
      <c r="E129" s="136">
        <f>IF(ISNA(VLOOKUP(B129,RésultatsV!$B$10:$E$248,2,0)),"0",VLOOKUP(B129,RésultatsV!$B$10:$E$248,2,0))</f>
        <v>9</v>
      </c>
      <c r="F129" s="136">
        <f>IF(ISNA(VLOOKUP(B129,RésultatsV!$G$10:$J$248,3,0)),"0",VLOOKUP(B129,RésultatsV!$G$10:$J$248,3,0))</f>
        <v>1</v>
      </c>
      <c r="G129" s="136">
        <f>IF(ISNA(VLOOKUP(B129,RésultatsV!$G$10:$J$248,4,0)),"0",VLOOKUP(B129,RésultatsV!$G$10:$J$248,4,0))</f>
        <v>-5</v>
      </c>
      <c r="H129" s="136">
        <f>IF(ISNA(VLOOKUP(B129,RésultatsV!$G$10:$J$248,2,0)),"0",VLOOKUP(B129,RésultatsV!$G$10:$J$248,2,0))</f>
        <v>1</v>
      </c>
      <c r="I129" s="136" t="str">
        <f>IF(ISNA(VLOOKUP(B129,RésultatsV!$L$10:$O$248,3,0)),"0",VLOOKUP(B129,RésultatsV!$L$10:$O$248,3,0))</f>
        <v>0</v>
      </c>
      <c r="J129" s="136" t="str">
        <f>IF(ISNA(VLOOKUP(B129,RésultatsV!$L$10:$O$248,4,0)),"0",VLOOKUP(B129,RésultatsV!$L$10:$O$248,4,0))</f>
        <v>0</v>
      </c>
      <c r="K129" s="136" t="str">
        <f>IF(ISNA(VLOOKUP(B129,RésultatsV!$L$10:$O$248,2,0)),"0",VLOOKUP(B129,RésultatsV!$L$10:$O$248,2,0))</f>
        <v>0</v>
      </c>
      <c r="L129" s="136" t="str">
        <f>IF(ISNA(VLOOKUP(B129,RésultatsV!$Q$10:$T$248,3,0)),"0",VLOOKUP(B129,RésultatsV!$Q$10:$T$248,3,0))</f>
        <v>0</v>
      </c>
      <c r="M129" s="136" t="str">
        <f>IF(ISNA(VLOOKUP(B129,RésultatsV!$Q$10:$T$248,4,0)),"0",VLOOKUP(B129,RésultatsV!$Q$10:$T$248,4,0))</f>
        <v>0</v>
      </c>
      <c r="N129" s="136" t="str">
        <f>IF(ISNA(VLOOKUP(B129,RésultatsV!$Q$10:$T$248,2,0)),"0",VLOOKUP(B129,RésultatsV!$Q$10:$T$248,2,0))</f>
        <v>0</v>
      </c>
      <c r="O129" s="136" t="str">
        <f>IF(ISNA(VLOOKUP(B129,RésultatsV!$V$10:$Y$248,3,0)),"0",VLOOKUP(B129,RésultatsV!$V$10:$Y$248,3,0))</f>
        <v>0</v>
      </c>
      <c r="P129" s="136" t="str">
        <f>IF(ISNA(VLOOKUP(B129,RésultatsV!$V$10:$Y$248,4,0)),"0",VLOOKUP(B129,RésultatsV!$V$10:$Y$248,4,0))</f>
        <v>0</v>
      </c>
      <c r="Q129" s="136" t="str">
        <f>IF(ISNA(VLOOKUP(E129,RésultatsV!$V$10:$Y$248,2,0)),"0",VLOOKUP(E129,RésultatsV!$V$10:$Y$248,2,0))</f>
        <v>0</v>
      </c>
      <c r="R129" s="136" t="str">
        <f>IF(ISNA(VLOOKUP(B129,RésultatsV!$AA$10:$AD$248,3,0)),"0",VLOOKUP(B129,RésultatsV!$AA$10:$AD$248,3,0))</f>
        <v>0</v>
      </c>
      <c r="S129" s="136" t="str">
        <f>IF(ISNA(VLOOKUP(B129,RésultatsV!$AA$10:$AD$248,4,0)),"0",VLOOKUP(B129,RésultatsV!$AA$10:$AD$248,4,0))</f>
        <v>0</v>
      </c>
      <c r="T129" s="136" t="str">
        <f>IF(ISNA(VLOOKUP(B129,RésultatsV!$AA$10:$AD$248,2,0)),"0",VLOOKUP(B129,RésultatsV!$AA$10:$AD$248,2,0))</f>
        <v>0</v>
      </c>
      <c r="U129" s="110">
        <f t="shared" si="28"/>
        <v>4</v>
      </c>
      <c r="V129" s="103">
        <f t="shared" si="29"/>
        <v>2</v>
      </c>
      <c r="W129" s="106">
        <f t="shared" si="23"/>
        <v>10</v>
      </c>
      <c r="X129" s="61">
        <f t="shared" si="26"/>
        <v>0</v>
      </c>
      <c r="Y129" s="52">
        <f t="shared" si="6"/>
        <v>2</v>
      </c>
      <c r="Z129" s="104">
        <f t="shared" si="24"/>
        <v>6.99700129</v>
      </c>
      <c r="AA129" s="115">
        <f>IF(B129="","",SMALL(Z$6:Z$185,ROWS(AD$6:AD129)))</f>
        <v>23.000159229999998</v>
      </c>
      <c r="AB129" s="270"/>
      <c r="AC129" s="4">
        <f>IF(OR(B129="",U129=""),"",INDEX($B$6:$B$185,MATCH(AA129,$Z$6:Z$185,0)))</f>
        <v>0</v>
      </c>
      <c r="AD129" s="4">
        <f t="shared" si="30"/>
        <v>0</v>
      </c>
      <c r="AE129" s="4">
        <f t="shared" si="31"/>
        <v>0</v>
      </c>
      <c r="AF129" s="113">
        <f t="shared" si="25"/>
        <v>0</v>
      </c>
      <c r="AG129" s="271">
        <f>IF(AA129="","",IF(AND(AD128=AD129,AE128=AE129,AF128=AF129),AG128,$AG$6+123))</f>
        <v>23</v>
      </c>
      <c r="AH129" s="34"/>
      <c r="AI129" s="92"/>
    </row>
    <row r="130" spans="1:36" s="23" customFormat="1" ht="18" customHeight="1">
      <c r="A130" s="282">
        <v>125</v>
      </c>
      <c r="B130" s="288" t="str">
        <f>+'Joueurs et TirageV'!G11</f>
        <v>C5</v>
      </c>
      <c r="C130" s="136">
        <f>IF(ISNA(VLOOKUP(B130,RésultatsV!$B$10:$E$248,3,0)),"0",VLOOKUP(B130,RésultatsV!$B$10:$E$248,3,0))</f>
        <v>1</v>
      </c>
      <c r="D130" s="136">
        <f>IF(ISNA(VLOOKUP(B130,RésultatsV!$B$10:$E$248,4,0)),"0",VLOOKUP(B130,RésultatsV!$B$10:$E$248,4,0))</f>
        <v>-7</v>
      </c>
      <c r="E130" s="136">
        <f>IF(ISNA(VLOOKUP(B130,RésultatsV!$B$10:$E$248,2,0)),"0",VLOOKUP(B130,RésultatsV!$B$10:$E$248,2,0))</f>
        <v>2</v>
      </c>
      <c r="F130" s="136">
        <f>IF(ISNA(VLOOKUP(B130,RésultatsV!$G$10:$J$248,3,0)),"0",VLOOKUP(B130,RésultatsV!$G$10:$J$248,3,0))</f>
        <v>1</v>
      </c>
      <c r="G130" s="136">
        <f>IF(ISNA(VLOOKUP(B130,RésultatsV!$G$10:$J$248,4,0)),"0",VLOOKUP(B130,RésultatsV!$G$10:$J$248,4,0))</f>
        <v>-5</v>
      </c>
      <c r="H130" s="136">
        <f>IF(ISNA(VLOOKUP(B130,RésultatsV!$G$10:$J$248,2,0)),"0",VLOOKUP(B130,RésultatsV!$G$10:$J$248,2,0))</f>
        <v>1</v>
      </c>
      <c r="I130" s="136" t="str">
        <f>IF(ISNA(VLOOKUP(B130,RésultatsV!$L$10:$O$248,3,0)),"0",VLOOKUP(B130,RésultatsV!$L$10:$O$248,3,0))</f>
        <v>0</v>
      </c>
      <c r="J130" s="136" t="str">
        <f>IF(ISNA(VLOOKUP(B130,RésultatsV!$L$10:$O$248,4,0)),"0",VLOOKUP(B130,RésultatsV!$L$10:$O$248,4,0))</f>
        <v>0</v>
      </c>
      <c r="K130" s="136" t="str">
        <f>IF(ISNA(VLOOKUP(B130,RésultatsV!$L$10:$O$248,2,0)),"0",VLOOKUP(B130,RésultatsV!$L$10:$O$248,2,0))</f>
        <v>0</v>
      </c>
      <c r="L130" s="136" t="str">
        <f>IF(ISNA(VLOOKUP(B130,RésultatsV!$Q$10:$T$248,3,0)),"0",VLOOKUP(B130,RésultatsV!$Q$10:$T$248,3,0))</f>
        <v>0</v>
      </c>
      <c r="M130" s="136" t="str">
        <f>IF(ISNA(VLOOKUP(B130,RésultatsV!$Q$10:$T$248,4,0)),"0",VLOOKUP(B130,RésultatsV!$Q$10:$T$248,4,0))</f>
        <v>0</v>
      </c>
      <c r="N130" s="136" t="str">
        <f>IF(ISNA(VLOOKUP(B130,RésultatsV!$Q$10:$T$248,2,0)),"0",VLOOKUP(B130,RésultatsV!$Q$10:$T$248,2,0))</f>
        <v>0</v>
      </c>
      <c r="O130" s="136" t="str">
        <f>IF(ISNA(VLOOKUP(B130,RésultatsV!$V$10:$Y$248,3,0)),"0",VLOOKUP(B130,RésultatsV!$V$10:$Y$248,3,0))</f>
        <v>0</v>
      </c>
      <c r="P130" s="136" t="str">
        <f>IF(ISNA(VLOOKUP(B130,RésultatsV!$V$10:$Y$248,4,0)),"0",VLOOKUP(B130,RésultatsV!$V$10:$Y$248,4,0))</f>
        <v>0</v>
      </c>
      <c r="Q130" s="136" t="str">
        <f>IF(ISNA(VLOOKUP(E130,RésultatsV!$V$10:$Y$248,2,0)),"0",VLOOKUP(E130,RésultatsV!$V$10:$Y$248,2,0))</f>
        <v>0</v>
      </c>
      <c r="R130" s="136" t="str">
        <f>IF(ISNA(VLOOKUP(B130,RésultatsV!$AA$10:$AD$248,3,0)),"0",VLOOKUP(B130,RésultatsV!$AA$10:$AD$248,3,0))</f>
        <v>0</v>
      </c>
      <c r="S130" s="136" t="str">
        <f>IF(ISNA(VLOOKUP(B130,RésultatsV!$AA$10:$AD$248,4,0)),"0",VLOOKUP(B130,RésultatsV!$AA$10:$AD$248,4,0))</f>
        <v>0</v>
      </c>
      <c r="T130" s="136" t="str">
        <f>IF(ISNA(VLOOKUP(B130,RésultatsV!$AA$10:$AD$248,2,0)),"0",VLOOKUP(B130,RésultatsV!$AA$10:$AD$248,2,0))</f>
        <v>0</v>
      </c>
      <c r="U130" s="110">
        <f t="shared" si="28"/>
        <v>2</v>
      </c>
      <c r="V130" s="103">
        <f t="shared" si="29"/>
        <v>-12</v>
      </c>
      <c r="W130" s="106">
        <f t="shared" si="23"/>
        <v>3</v>
      </c>
      <c r="X130" s="61">
        <f t="shared" si="26"/>
        <v>-12</v>
      </c>
      <c r="Y130" s="52">
        <f t="shared" si="6"/>
        <v>0</v>
      </c>
      <c r="Z130" s="104">
        <f t="shared" si="24"/>
        <v>17.011701300000002</v>
      </c>
      <c r="AA130" s="115">
        <f>IF(B130="","",SMALL(Z$6:Z$185,ROWS(AD$6:AD130)))</f>
        <v>23.000159239999999</v>
      </c>
      <c r="AB130" s="270"/>
      <c r="AC130" s="4">
        <f>IF(OR(B130="",U130=""),"",INDEX($B$6:$B$185,MATCH(AA130,$Z$6:Z$185,0)))</f>
        <v>0</v>
      </c>
      <c r="AD130" s="4">
        <f t="shared" si="30"/>
        <v>0</v>
      </c>
      <c r="AE130" s="4">
        <f t="shared" si="31"/>
        <v>0</v>
      </c>
      <c r="AF130" s="113">
        <f t="shared" si="25"/>
        <v>0</v>
      </c>
      <c r="AG130" s="271">
        <f>IF(AA130="","",IF(AND(AD129=AD130,AE129=AE130,AF129=AF130),AG129,$AG$6+124))</f>
        <v>23</v>
      </c>
      <c r="AH130" s="34"/>
      <c r="AI130" s="92"/>
    </row>
    <row r="131" spans="1:36" s="23" customFormat="1" ht="18" customHeight="1">
      <c r="A131" s="282">
        <v>126</v>
      </c>
      <c r="B131" s="288" t="str">
        <f>+'Joueurs et TirageV'!G12</f>
        <v>C6</v>
      </c>
      <c r="C131" s="136">
        <f>IF(ISNA(VLOOKUP(B131,RésultatsV!$B$10:$E$248,3,0)),"0",VLOOKUP(B131,RésultatsV!$B$10:$E$248,3,0))</f>
        <v>3</v>
      </c>
      <c r="D131" s="136">
        <f>IF(ISNA(VLOOKUP(B131,RésultatsV!$B$10:$E$248,4,0)),"0",VLOOKUP(B131,RésultatsV!$B$10:$E$248,4,0))</f>
        <v>2</v>
      </c>
      <c r="E131" s="136">
        <f>IF(ISNA(VLOOKUP(B131,RésultatsV!$B$10:$E$248,2,0)),"0",VLOOKUP(B131,RésultatsV!$B$10:$E$248,2,0))</f>
        <v>13</v>
      </c>
      <c r="F131" s="136">
        <f>IF(ISNA(VLOOKUP(B131,RésultatsV!$G$10:$J$248,3,0)),"0",VLOOKUP(B131,RésultatsV!$G$10:$J$248,3,0))</f>
        <v>1</v>
      </c>
      <c r="G131" s="136">
        <f>IF(ISNA(VLOOKUP(B131,RésultatsV!$G$10:$J$248,4,0)),"0",VLOOKUP(B131,RésultatsV!$G$10:$J$248,4,0))</f>
        <v>-4</v>
      </c>
      <c r="H131" s="136">
        <f>IF(ISNA(VLOOKUP(B131,RésultatsV!$G$10:$J$248,2,0)),"0",VLOOKUP(B131,RésultatsV!$G$10:$J$248,2,0))</f>
        <v>2</v>
      </c>
      <c r="I131" s="136" t="str">
        <f>IF(ISNA(VLOOKUP(B131,RésultatsV!$L$10:$O$248,3,0)),"0",VLOOKUP(B131,RésultatsV!$L$10:$O$248,3,0))</f>
        <v>0</v>
      </c>
      <c r="J131" s="136" t="str">
        <f>IF(ISNA(VLOOKUP(B131,RésultatsV!$L$10:$O$248,4,0)),"0",VLOOKUP(B131,RésultatsV!$L$10:$O$248,4,0))</f>
        <v>0</v>
      </c>
      <c r="K131" s="136" t="str">
        <f>IF(ISNA(VLOOKUP(B131,RésultatsV!$L$10:$O$248,2,0)),"0",VLOOKUP(B131,RésultatsV!$L$10:$O$248,2,0))</f>
        <v>0</v>
      </c>
      <c r="L131" s="136" t="str">
        <f>IF(ISNA(VLOOKUP(B131,RésultatsV!$Q$10:$T$248,3,0)),"0",VLOOKUP(B131,RésultatsV!$Q$10:$T$248,3,0))</f>
        <v>0</v>
      </c>
      <c r="M131" s="136" t="str">
        <f>IF(ISNA(VLOOKUP(B131,RésultatsV!$Q$10:$T$248,4,0)),"0",VLOOKUP(B131,RésultatsV!$Q$10:$T$248,4,0))</f>
        <v>0</v>
      </c>
      <c r="N131" s="136" t="str">
        <f>IF(ISNA(VLOOKUP(B131,RésultatsV!$Q$10:$T$248,2,0)),"0",VLOOKUP(B131,RésultatsV!$Q$10:$T$248,2,0))</f>
        <v>0</v>
      </c>
      <c r="O131" s="136" t="str">
        <f>IF(ISNA(VLOOKUP(B131,RésultatsV!$V$10:$Y$248,3,0)),"0",VLOOKUP(B131,RésultatsV!$V$10:$Y$248,3,0))</f>
        <v>0</v>
      </c>
      <c r="P131" s="136" t="str">
        <f>IF(ISNA(VLOOKUP(B131,RésultatsV!$V$10:$Y$248,4,0)),"0",VLOOKUP(B131,RésultatsV!$V$10:$Y$248,4,0))</f>
        <v>0</v>
      </c>
      <c r="Q131" s="136" t="str">
        <f>IF(ISNA(VLOOKUP(E131,RésultatsV!$V$10:$Y$248,2,0)),"0",VLOOKUP(E131,RésultatsV!$V$10:$Y$248,2,0))</f>
        <v>0</v>
      </c>
      <c r="R131" s="136" t="str">
        <f>IF(ISNA(VLOOKUP(B131,RésultatsV!$AA$10:$AD$248,3,0)),"0",VLOOKUP(B131,RésultatsV!$AA$10:$AD$248,3,0))</f>
        <v>0</v>
      </c>
      <c r="S131" s="136" t="str">
        <f>IF(ISNA(VLOOKUP(B131,RésultatsV!$AA$10:$AD$248,4,0)),"0",VLOOKUP(B131,RésultatsV!$AA$10:$AD$248,4,0))</f>
        <v>0</v>
      </c>
      <c r="T131" s="136" t="str">
        <f>IF(ISNA(VLOOKUP(B131,RésultatsV!$AA$10:$AD$248,2,0)),"0",VLOOKUP(B131,RésultatsV!$AA$10:$AD$248,2,0))</f>
        <v>0</v>
      </c>
      <c r="U131" s="110">
        <f t="shared" si="28"/>
        <v>4</v>
      </c>
      <c r="V131" s="103">
        <f t="shared" si="29"/>
        <v>-2</v>
      </c>
      <c r="W131" s="106">
        <f t="shared" si="23"/>
        <v>15</v>
      </c>
      <c r="X131" s="61">
        <f t="shared" si="26"/>
        <v>-2</v>
      </c>
      <c r="Y131" s="52">
        <f t="shared" si="6"/>
        <v>0</v>
      </c>
      <c r="Z131" s="104">
        <f t="shared" si="24"/>
        <v>7.0005013099999998</v>
      </c>
      <c r="AA131" s="115">
        <f>IF(B131="","",SMALL(Z$6:Z$185,ROWS(AD$6:AD131)))</f>
        <v>23.000159249999999</v>
      </c>
      <c r="AB131" s="270"/>
      <c r="AC131" s="4">
        <f>IF(OR(B131="",U131=""),"",INDEX($B$6:$B$185,MATCH(AA131,$Z$6:Z$185,0)))</f>
        <v>0</v>
      </c>
      <c r="AD131" s="4">
        <f t="shared" si="30"/>
        <v>0</v>
      </c>
      <c r="AE131" s="4">
        <f t="shared" si="31"/>
        <v>0</v>
      </c>
      <c r="AF131" s="113">
        <f t="shared" si="25"/>
        <v>0</v>
      </c>
      <c r="AG131" s="271">
        <f>IF(AA131="","",IF(AND(AD130=AD131,AE130=AE131,AF130=AF131),AG130,$AG$6+125))</f>
        <v>23</v>
      </c>
      <c r="AH131" s="34"/>
      <c r="AI131" s="92"/>
    </row>
    <row r="132" spans="1:36" s="23" customFormat="1" ht="18" customHeight="1">
      <c r="A132" s="282">
        <v>127</v>
      </c>
      <c r="B132" s="288">
        <f>+'Joueurs et TirageV'!G13</f>
        <v>0</v>
      </c>
      <c r="C132" s="136" t="str">
        <f>IF(ISNA(VLOOKUP(B132,RésultatsV!$B$10:$E$248,3,0)),"0",VLOOKUP(B132,RésultatsV!$B$10:$E$248,3,0))</f>
        <v>0</v>
      </c>
      <c r="D132" s="136">
        <f>IF(ISNA(VLOOKUP(B132,RésultatsV!$B$10:$E$248,4,0)),"0",VLOOKUP(B132,RésultatsV!$B$10:$E$248,4,0))</f>
        <v>0</v>
      </c>
      <c r="E132" s="136">
        <f>IF(ISNA(VLOOKUP(B132,RésultatsV!$B$10:$E$248,2,0)),"0",VLOOKUP(B132,RésultatsV!$B$10:$E$248,2,0))</f>
        <v>0</v>
      </c>
      <c r="F132" s="136">
        <f>IF(ISNA(VLOOKUP(B132,RésultatsV!$G$10:$J$248,3,0)),"0",VLOOKUP(B132,RésultatsV!$G$10:$J$248,3,0))</f>
        <v>0</v>
      </c>
      <c r="G132" s="136">
        <f>IF(ISNA(VLOOKUP(B132,RésultatsV!$G$10:$J$248,4,0)),"0",VLOOKUP(B132,RésultatsV!$G$10:$J$248,4,0))</f>
        <v>0</v>
      </c>
      <c r="H132" s="136">
        <f>IF(ISNA(VLOOKUP(B132,RésultatsV!$G$10:$J$248,2,0)),"0",VLOOKUP(B132,RésultatsV!$G$10:$J$248,2,0))</f>
        <v>0</v>
      </c>
      <c r="I132" s="136">
        <f>IF(ISNA(VLOOKUP(B132,RésultatsV!$L$10:$O$248,3,0)),"0",VLOOKUP(B132,RésultatsV!$L$10:$O$248,3,0))</f>
        <v>0</v>
      </c>
      <c r="J132" s="136">
        <f>IF(ISNA(VLOOKUP(B132,RésultatsV!$L$10:$O$248,4,0)),"0",VLOOKUP(B132,RésultatsV!$L$10:$O$248,4,0))</f>
        <v>0</v>
      </c>
      <c r="K132" s="136">
        <f>IF(ISNA(VLOOKUP(B132,RésultatsV!$L$10:$O$248,2,0)),"0",VLOOKUP(B132,RésultatsV!$L$10:$O$248,2,0))</f>
        <v>0</v>
      </c>
      <c r="L132" s="136">
        <f>IF(ISNA(VLOOKUP(B132,RésultatsV!$Q$10:$T$248,3,0)),"0",VLOOKUP(B132,RésultatsV!$Q$10:$T$248,3,0))</f>
        <v>0</v>
      </c>
      <c r="M132" s="136">
        <f>IF(ISNA(VLOOKUP(B132,RésultatsV!$Q$10:$T$248,4,0)),"0",VLOOKUP(B132,RésultatsV!$Q$10:$T$248,4,0))</f>
        <v>0</v>
      </c>
      <c r="N132" s="136">
        <f>IF(ISNA(VLOOKUP(B132,RésultatsV!$Q$10:$T$248,2,0)),"0",VLOOKUP(B132,RésultatsV!$Q$10:$T$248,2,0))</f>
        <v>0</v>
      </c>
      <c r="O132" s="136">
        <f>IF(ISNA(VLOOKUP(B132,RésultatsV!$V$10:$Y$248,3,0)),"0",VLOOKUP(B132,RésultatsV!$V$10:$Y$248,3,0))</f>
        <v>0</v>
      </c>
      <c r="P132" s="136">
        <f>IF(ISNA(VLOOKUP(B132,RésultatsV!$V$10:$Y$248,4,0)),"0",VLOOKUP(B132,RésultatsV!$V$10:$Y$248,4,0))</f>
        <v>0</v>
      </c>
      <c r="Q132" s="136">
        <f>IF(ISNA(VLOOKUP(E132,RésultatsV!$V$10:$Y$248,2,0)),"0",VLOOKUP(E132,RésultatsV!$V$10:$Y$248,2,0))</f>
        <v>0</v>
      </c>
      <c r="R132" s="136">
        <f>IF(ISNA(VLOOKUP(B132,RésultatsV!$AA$10:$AD$248,3,0)),"0",VLOOKUP(B132,RésultatsV!$AA$10:$AD$248,3,0))</f>
        <v>0</v>
      </c>
      <c r="S132" s="136">
        <f>IF(ISNA(VLOOKUP(B132,RésultatsV!$AA$10:$AD$248,4,0)),"0",VLOOKUP(B132,RésultatsV!$AA$10:$AD$248,4,0))</f>
        <v>0</v>
      </c>
      <c r="T132" s="136">
        <f>IF(ISNA(VLOOKUP(B132,RésultatsV!$AA$10:$AD$248,2,0)),"0",VLOOKUP(B132,RésultatsV!$AA$10:$AD$248,2,0))</f>
        <v>0</v>
      </c>
      <c r="U132" s="110">
        <f t="shared" si="28"/>
        <v>0</v>
      </c>
      <c r="V132" s="103">
        <f t="shared" si="29"/>
        <v>0</v>
      </c>
      <c r="W132" s="106">
        <f t="shared" si="23"/>
        <v>0</v>
      </c>
      <c r="X132" s="61">
        <f t="shared" si="26"/>
        <v>0</v>
      </c>
      <c r="Y132" s="52">
        <f t="shared" si="6"/>
        <v>0</v>
      </c>
      <c r="Z132" s="104">
        <f t="shared" si="24"/>
        <v>23.000159319999998</v>
      </c>
      <c r="AA132" s="115">
        <f>IF(B132="","",SMALL(Z$6:Z$185,ROWS(AD$6:AD132)))</f>
        <v>23.000159319999998</v>
      </c>
      <c r="AB132" s="270"/>
      <c r="AC132" s="4">
        <f>IF(OR(B132="",U132=""),"",INDEX($B$6:$B$185,MATCH(AA132,$Z$6:Z$185,0)))</f>
        <v>0</v>
      </c>
      <c r="AD132" s="4">
        <f t="shared" si="30"/>
        <v>0</v>
      </c>
      <c r="AE132" s="4">
        <f t="shared" si="31"/>
        <v>0</v>
      </c>
      <c r="AF132" s="113">
        <f t="shared" si="25"/>
        <v>0</v>
      </c>
      <c r="AG132" s="271">
        <f>IF(AA132="","",IF(AND(AD131=AD132,AE131=AE132,AF131=AF132),AG131,$AG$6+126))</f>
        <v>23</v>
      </c>
      <c r="AH132" s="34"/>
      <c r="AI132" s="92"/>
    </row>
    <row r="133" spans="1:36" s="23" customFormat="1" ht="18" customHeight="1">
      <c r="A133" s="282">
        <v>128</v>
      </c>
      <c r="B133" s="288">
        <f>+'Joueurs et TirageV'!G14</f>
        <v>0</v>
      </c>
      <c r="C133" s="136" t="str">
        <f>IF(ISNA(VLOOKUP(B133,RésultatsV!$B$10:$E$248,3,0)),"0",VLOOKUP(B133,RésultatsV!$B$10:$E$248,3,0))</f>
        <v>0</v>
      </c>
      <c r="D133" s="136">
        <f>IF(ISNA(VLOOKUP(B133,RésultatsV!$B$10:$E$248,4,0)),"0",VLOOKUP(B133,RésultatsV!$B$10:$E$248,4,0))</f>
        <v>0</v>
      </c>
      <c r="E133" s="136">
        <f>IF(ISNA(VLOOKUP(B133,RésultatsV!$B$10:$E$248,2,0)),"0",VLOOKUP(B133,RésultatsV!$B$10:$E$248,2,0))</f>
        <v>0</v>
      </c>
      <c r="F133" s="136">
        <f>IF(ISNA(VLOOKUP(B133,RésultatsV!$G$10:$J$248,3,0)),"0",VLOOKUP(B133,RésultatsV!$G$10:$J$248,3,0))</f>
        <v>0</v>
      </c>
      <c r="G133" s="136">
        <f>IF(ISNA(VLOOKUP(B133,RésultatsV!$G$10:$J$248,4,0)),"0",VLOOKUP(B133,RésultatsV!$G$10:$J$248,4,0))</f>
        <v>0</v>
      </c>
      <c r="H133" s="136">
        <f>IF(ISNA(VLOOKUP(B133,RésultatsV!$G$10:$J$248,2,0)),"0",VLOOKUP(B133,RésultatsV!$G$10:$J$248,2,0))</f>
        <v>0</v>
      </c>
      <c r="I133" s="136">
        <f>IF(ISNA(VLOOKUP(B133,RésultatsV!$L$10:$O$248,3,0)),"0",VLOOKUP(B133,RésultatsV!$L$10:$O$248,3,0))</f>
        <v>0</v>
      </c>
      <c r="J133" s="136">
        <f>IF(ISNA(VLOOKUP(B133,RésultatsV!$L$10:$O$248,4,0)),"0",VLOOKUP(B133,RésultatsV!$L$10:$O$248,4,0))</f>
        <v>0</v>
      </c>
      <c r="K133" s="136">
        <f>IF(ISNA(VLOOKUP(B133,RésultatsV!$L$10:$O$248,2,0)),"0",VLOOKUP(B133,RésultatsV!$L$10:$O$248,2,0))</f>
        <v>0</v>
      </c>
      <c r="L133" s="136">
        <f>IF(ISNA(VLOOKUP(B133,RésultatsV!$Q$10:$T$248,3,0)),"0",VLOOKUP(B133,RésultatsV!$Q$10:$T$248,3,0))</f>
        <v>0</v>
      </c>
      <c r="M133" s="136">
        <f>IF(ISNA(VLOOKUP(B133,RésultatsV!$Q$10:$T$248,4,0)),"0",VLOOKUP(B133,RésultatsV!$Q$10:$T$248,4,0))</f>
        <v>0</v>
      </c>
      <c r="N133" s="136">
        <f>IF(ISNA(VLOOKUP(B133,RésultatsV!$Q$10:$T$248,2,0)),"0",VLOOKUP(B133,RésultatsV!$Q$10:$T$248,2,0))</f>
        <v>0</v>
      </c>
      <c r="O133" s="136">
        <f>IF(ISNA(VLOOKUP(B133,RésultatsV!$V$10:$Y$248,3,0)),"0",VLOOKUP(B133,RésultatsV!$V$10:$Y$248,3,0))</f>
        <v>0</v>
      </c>
      <c r="P133" s="136">
        <f>IF(ISNA(VLOOKUP(B133,RésultatsV!$V$10:$Y$248,4,0)),"0",VLOOKUP(B133,RésultatsV!$V$10:$Y$248,4,0))</f>
        <v>0</v>
      </c>
      <c r="Q133" s="136">
        <f>IF(ISNA(VLOOKUP(E133,RésultatsV!$V$10:$Y$248,2,0)),"0",VLOOKUP(E133,RésultatsV!$V$10:$Y$248,2,0))</f>
        <v>0</v>
      </c>
      <c r="R133" s="136">
        <f>IF(ISNA(VLOOKUP(B133,RésultatsV!$AA$10:$AD$248,3,0)),"0",VLOOKUP(B133,RésultatsV!$AA$10:$AD$248,3,0))</f>
        <v>0</v>
      </c>
      <c r="S133" s="136">
        <f>IF(ISNA(VLOOKUP(B133,RésultatsV!$AA$10:$AD$248,4,0)),"0",VLOOKUP(B133,RésultatsV!$AA$10:$AD$248,4,0))</f>
        <v>0</v>
      </c>
      <c r="T133" s="136">
        <f>IF(ISNA(VLOOKUP(B133,RésultatsV!$AA$10:$AD$248,2,0)),"0",VLOOKUP(B133,RésultatsV!$AA$10:$AD$248,2,0))</f>
        <v>0</v>
      </c>
      <c r="U133" s="110">
        <f t="shared" si="28"/>
        <v>0</v>
      </c>
      <c r="V133" s="103">
        <f t="shared" si="29"/>
        <v>0</v>
      </c>
      <c r="W133" s="106">
        <f t="shared" si="23"/>
        <v>0</v>
      </c>
      <c r="X133" s="61">
        <f t="shared" si="26"/>
        <v>0</v>
      </c>
      <c r="Y133" s="52">
        <f t="shared" si="6"/>
        <v>0</v>
      </c>
      <c r="Z133" s="104">
        <f t="shared" si="24"/>
        <v>23.000159329999999</v>
      </c>
      <c r="AA133" s="115">
        <f>IF(B133="","",SMALL(Z$6:Z$185,ROWS(AD$6:AD133)))</f>
        <v>23.000159329999999</v>
      </c>
      <c r="AB133" s="270"/>
      <c r="AC133" s="4">
        <f>IF(OR(B133="",U133=""),"",INDEX($B$6:$B$185,MATCH(AA133,$Z$6:Z$185,0)))</f>
        <v>0</v>
      </c>
      <c r="AD133" s="4">
        <f t="shared" si="30"/>
        <v>0</v>
      </c>
      <c r="AE133" s="4">
        <f t="shared" si="31"/>
        <v>0</v>
      </c>
      <c r="AF133" s="113">
        <f t="shared" si="25"/>
        <v>0</v>
      </c>
      <c r="AG133" s="271">
        <f>IF(AA133="","",IF(AND(AD132=AD133,AE132=AE133,AF132=AF133),AG132,$AG$6+127))</f>
        <v>23</v>
      </c>
      <c r="AH133" s="34"/>
      <c r="AI133" s="92"/>
    </row>
    <row r="134" spans="1:36" s="23" customFormat="1" ht="18" customHeight="1">
      <c r="A134" s="282">
        <v>129</v>
      </c>
      <c r="B134" s="288">
        <f>+'Joueurs et TirageV'!G15</f>
        <v>0</v>
      </c>
      <c r="C134" s="136" t="str">
        <f>IF(ISNA(VLOOKUP(B134,RésultatsV!$B$10:$E$248,3,0)),"0",VLOOKUP(B134,RésultatsV!$B$10:$E$248,3,0))</f>
        <v>0</v>
      </c>
      <c r="D134" s="136">
        <f>IF(ISNA(VLOOKUP(B134,RésultatsV!$B$10:$E$248,4,0)),"0",VLOOKUP(B134,RésultatsV!$B$10:$E$248,4,0))</f>
        <v>0</v>
      </c>
      <c r="E134" s="136">
        <f>IF(ISNA(VLOOKUP(B134,RésultatsV!$B$10:$E$248,2,0)),"0",VLOOKUP(B134,RésultatsV!$B$10:$E$248,2,0))</f>
        <v>0</v>
      </c>
      <c r="F134" s="136">
        <f>IF(ISNA(VLOOKUP(B134,RésultatsV!$G$10:$J$248,3,0)),"0",VLOOKUP(B134,RésultatsV!$G$10:$J$248,3,0))</f>
        <v>0</v>
      </c>
      <c r="G134" s="136">
        <f>IF(ISNA(VLOOKUP(B134,RésultatsV!$G$10:$J$248,4,0)),"0",VLOOKUP(B134,RésultatsV!$G$10:$J$248,4,0))</f>
        <v>0</v>
      </c>
      <c r="H134" s="136">
        <f>IF(ISNA(VLOOKUP(B134,RésultatsV!$G$10:$J$248,2,0)),"0",VLOOKUP(B134,RésultatsV!$G$10:$J$248,2,0))</f>
        <v>0</v>
      </c>
      <c r="I134" s="136">
        <f>IF(ISNA(VLOOKUP(B134,RésultatsV!$L$10:$O$248,3,0)),"0",VLOOKUP(B134,RésultatsV!$L$10:$O$248,3,0))</f>
        <v>0</v>
      </c>
      <c r="J134" s="136">
        <f>IF(ISNA(VLOOKUP(B134,RésultatsV!$L$10:$O$248,4,0)),"0",VLOOKUP(B134,RésultatsV!$L$10:$O$248,4,0))</f>
        <v>0</v>
      </c>
      <c r="K134" s="136">
        <f>IF(ISNA(VLOOKUP(B134,RésultatsV!$L$10:$O$248,2,0)),"0",VLOOKUP(B134,RésultatsV!$L$10:$O$248,2,0))</f>
        <v>0</v>
      </c>
      <c r="L134" s="136">
        <f>IF(ISNA(VLOOKUP(B134,RésultatsV!$Q$10:$T$248,3,0)),"0",VLOOKUP(B134,RésultatsV!$Q$10:$T$248,3,0))</f>
        <v>0</v>
      </c>
      <c r="M134" s="136">
        <f>IF(ISNA(VLOOKUP(B134,RésultatsV!$Q$10:$T$248,4,0)),"0",VLOOKUP(B134,RésultatsV!$Q$10:$T$248,4,0))</f>
        <v>0</v>
      </c>
      <c r="N134" s="136">
        <f>IF(ISNA(VLOOKUP(B134,RésultatsV!$Q$10:$T$248,2,0)),"0",VLOOKUP(B134,RésultatsV!$Q$10:$T$248,2,0))</f>
        <v>0</v>
      </c>
      <c r="O134" s="136">
        <f>IF(ISNA(VLOOKUP(B134,RésultatsV!$V$10:$Y$248,3,0)),"0",VLOOKUP(B134,RésultatsV!$V$10:$Y$248,3,0))</f>
        <v>0</v>
      </c>
      <c r="P134" s="136">
        <f>IF(ISNA(VLOOKUP(B134,RésultatsV!$V$10:$Y$248,4,0)),"0",VLOOKUP(B134,RésultatsV!$V$10:$Y$248,4,0))</f>
        <v>0</v>
      </c>
      <c r="Q134" s="136">
        <f>IF(ISNA(VLOOKUP(E134,RésultatsV!$V$10:$Y$248,2,0)),"0",VLOOKUP(E134,RésultatsV!$V$10:$Y$248,2,0))</f>
        <v>0</v>
      </c>
      <c r="R134" s="136">
        <f>IF(ISNA(VLOOKUP(B134,RésultatsV!$AA$10:$AD$248,3,0)),"0",VLOOKUP(B134,RésultatsV!$AA$10:$AD$248,3,0))</f>
        <v>0</v>
      </c>
      <c r="S134" s="136">
        <f>IF(ISNA(VLOOKUP(B134,RésultatsV!$AA$10:$AD$248,4,0)),"0",VLOOKUP(B134,RésultatsV!$AA$10:$AD$248,4,0))</f>
        <v>0</v>
      </c>
      <c r="T134" s="136">
        <f>IF(ISNA(VLOOKUP(B134,RésultatsV!$AA$10:$AD$248,2,0)),"0",VLOOKUP(B134,RésultatsV!$AA$10:$AD$248,2,0))</f>
        <v>0</v>
      </c>
      <c r="U134" s="116">
        <f t="shared" ref="U134:U165" si="32">SUMIFS(C134:R134,$C$5:$R$5,"Pts",C134:R134,"&lt;&gt;#N/A")</f>
        <v>0</v>
      </c>
      <c r="V134" s="117">
        <f t="shared" ref="V134:V165" si="33">SUMIFS(D134:S134,$D$5:$S$5,"GA",D134:S134,"&lt;&gt;#N/A")</f>
        <v>0</v>
      </c>
      <c r="W134" s="118">
        <f t="shared" si="23"/>
        <v>0</v>
      </c>
      <c r="X134" s="61">
        <f t="shared" si="26"/>
        <v>0</v>
      </c>
      <c r="Y134" s="52">
        <f t="shared" si="6"/>
        <v>0</v>
      </c>
      <c r="Z134" s="104">
        <f t="shared" si="24"/>
        <v>23.00015934</v>
      </c>
      <c r="AA134" s="115">
        <f>IF(B134="","",SMALL(Z$6:Z$185,ROWS(AD$6:AD134)))</f>
        <v>23.00015934</v>
      </c>
      <c r="AB134" s="270"/>
      <c r="AC134" s="4">
        <f>IF(OR(B134="",U134=""),"",INDEX($B$6:$B$185,MATCH(AA134,$Z$6:Z$185,0)))</f>
        <v>0</v>
      </c>
      <c r="AD134" s="4">
        <f t="shared" ref="AD134:AD165" si="34">IF(B134="","",INDEX($U$6:$U$185,MATCH(AA134,$Z$6:$Z$185,0)))</f>
        <v>0</v>
      </c>
      <c r="AE134" s="4">
        <f t="shared" ref="AE134:AE165" si="35">IF(B134="","",INDEX($V$6:$V$185,MATCH(AA134,$Z$6:$Z$185,0)))</f>
        <v>0</v>
      </c>
      <c r="AF134" s="113">
        <f t="shared" si="25"/>
        <v>0</v>
      </c>
      <c r="AG134" s="271">
        <f>IF(AA134="","",IF(AND(AD133=AD134,AE133=AE134,AF133=AF134),AG133,$AG$6+128))</f>
        <v>23</v>
      </c>
      <c r="AH134" s="34"/>
      <c r="AI134" s="92"/>
    </row>
    <row r="135" spans="1:36" s="23" customFormat="1" ht="18" customHeight="1">
      <c r="A135" s="282">
        <v>130</v>
      </c>
      <c r="B135" s="288">
        <f>+'Joueurs et TirageV'!G16</f>
        <v>0</v>
      </c>
      <c r="C135" s="136" t="str">
        <f>IF(ISNA(VLOOKUP(B135,RésultatsV!$B$10:$E$248,3,0)),"0",VLOOKUP(B135,RésultatsV!$B$10:$E$248,3,0))</f>
        <v>0</v>
      </c>
      <c r="D135" s="136">
        <f>IF(ISNA(VLOOKUP(B135,RésultatsV!$B$10:$E$248,4,0)),"0",VLOOKUP(B135,RésultatsV!$B$10:$E$248,4,0))</f>
        <v>0</v>
      </c>
      <c r="E135" s="136">
        <f>IF(ISNA(VLOOKUP(B135,RésultatsV!$B$10:$E$248,2,0)),"0",VLOOKUP(B135,RésultatsV!$B$10:$E$248,2,0))</f>
        <v>0</v>
      </c>
      <c r="F135" s="136">
        <f>IF(ISNA(VLOOKUP(B135,RésultatsV!$G$10:$J$248,3,0)),"0",VLOOKUP(B135,RésultatsV!$G$10:$J$248,3,0))</f>
        <v>0</v>
      </c>
      <c r="G135" s="136">
        <f>IF(ISNA(VLOOKUP(B135,RésultatsV!$G$10:$J$248,4,0)),"0",VLOOKUP(B135,RésultatsV!$G$10:$J$248,4,0))</f>
        <v>0</v>
      </c>
      <c r="H135" s="136">
        <f>IF(ISNA(VLOOKUP(B135,RésultatsV!$G$10:$J$248,2,0)),"0",VLOOKUP(B135,RésultatsV!$G$10:$J$248,2,0))</f>
        <v>0</v>
      </c>
      <c r="I135" s="136">
        <f>IF(ISNA(VLOOKUP(B135,RésultatsV!$L$10:$O$248,3,0)),"0",VLOOKUP(B135,RésultatsV!$L$10:$O$248,3,0))</f>
        <v>0</v>
      </c>
      <c r="J135" s="136">
        <f>IF(ISNA(VLOOKUP(B135,RésultatsV!$L$10:$O$248,4,0)),"0",VLOOKUP(B135,RésultatsV!$L$10:$O$248,4,0))</f>
        <v>0</v>
      </c>
      <c r="K135" s="136">
        <f>IF(ISNA(VLOOKUP(B135,RésultatsV!$L$10:$O$248,2,0)),"0",VLOOKUP(B135,RésultatsV!$L$10:$O$248,2,0))</f>
        <v>0</v>
      </c>
      <c r="L135" s="136">
        <f>IF(ISNA(VLOOKUP(B135,RésultatsV!$Q$10:$T$248,3,0)),"0",VLOOKUP(B135,RésultatsV!$Q$10:$T$248,3,0))</f>
        <v>0</v>
      </c>
      <c r="M135" s="136">
        <f>IF(ISNA(VLOOKUP(B135,RésultatsV!$Q$10:$T$248,4,0)),"0",VLOOKUP(B135,RésultatsV!$Q$10:$T$248,4,0))</f>
        <v>0</v>
      </c>
      <c r="N135" s="136">
        <f>IF(ISNA(VLOOKUP(B135,RésultatsV!$Q$10:$T$248,2,0)),"0",VLOOKUP(B135,RésultatsV!$Q$10:$T$248,2,0))</f>
        <v>0</v>
      </c>
      <c r="O135" s="136">
        <f>IF(ISNA(VLOOKUP(B135,RésultatsV!$V$10:$Y$248,3,0)),"0",VLOOKUP(B135,RésultatsV!$V$10:$Y$248,3,0))</f>
        <v>0</v>
      </c>
      <c r="P135" s="136">
        <f>IF(ISNA(VLOOKUP(B135,RésultatsV!$V$10:$Y$248,4,0)),"0",VLOOKUP(B135,RésultatsV!$V$10:$Y$248,4,0))</f>
        <v>0</v>
      </c>
      <c r="Q135" s="136">
        <f>IF(ISNA(VLOOKUP(E135,RésultatsV!$V$10:$Y$248,2,0)),"0",VLOOKUP(E135,RésultatsV!$V$10:$Y$248,2,0))</f>
        <v>0</v>
      </c>
      <c r="R135" s="136">
        <f>IF(ISNA(VLOOKUP(B135,RésultatsV!$AA$10:$AD$248,3,0)),"0",VLOOKUP(B135,RésultatsV!$AA$10:$AD$248,3,0))</f>
        <v>0</v>
      </c>
      <c r="S135" s="136">
        <f>IF(ISNA(VLOOKUP(B135,RésultatsV!$AA$10:$AD$248,4,0)),"0",VLOOKUP(B135,RésultatsV!$AA$10:$AD$248,4,0))</f>
        <v>0</v>
      </c>
      <c r="T135" s="136">
        <f>IF(ISNA(VLOOKUP(B135,RésultatsV!$AA$10:$AD$248,2,0)),"0",VLOOKUP(B135,RésultatsV!$AA$10:$AD$248,2,0))</f>
        <v>0</v>
      </c>
      <c r="U135" s="116">
        <f t="shared" si="32"/>
        <v>0</v>
      </c>
      <c r="V135" s="117">
        <f t="shared" si="33"/>
        <v>0</v>
      </c>
      <c r="W135" s="118">
        <f t="shared" ref="W135:W185" si="36">SUMIFS(E135:T135,$E$5:$T$5,"Score",E135:T135,"&lt;&gt;#N/A")</f>
        <v>0</v>
      </c>
      <c r="X135" s="61">
        <f t="shared" si="26"/>
        <v>0</v>
      </c>
      <c r="Y135" s="52">
        <f t="shared" si="6"/>
        <v>0</v>
      </c>
      <c r="Z135" s="104">
        <f t="shared" ref="Z135:Z185" si="37">IF(OR(B135="",U135="",V135="",W135=""),"",RANK(U135,$U$6:$U$185)+SUM(-V135/1000)-(+W135/10000)+COUNTIF(B$6:B$185,"&lt;="&amp;B135+1)/1000000+ROW()/100000000)</f>
        <v>23.000159350000001</v>
      </c>
      <c r="AA135" s="115">
        <f>IF(B135="","",SMALL(Z$6:Z$185,ROWS(AD$6:AD135)))</f>
        <v>23.000159350000001</v>
      </c>
      <c r="AB135" s="270"/>
      <c r="AC135" s="4">
        <f>IF(OR(B135="",U135=""),"",INDEX($B$6:$B$185,MATCH(AA135,$Z$6:Z$185,0)))</f>
        <v>0</v>
      </c>
      <c r="AD135" s="4">
        <f t="shared" si="34"/>
        <v>0</v>
      </c>
      <c r="AE135" s="4">
        <f t="shared" si="35"/>
        <v>0</v>
      </c>
      <c r="AF135" s="113">
        <f t="shared" ref="AF135:AF185" si="38">IF(B135="","",INDEX($W$6:$W$185,MATCH(AA135,$Z$6:$Z$185,0)))</f>
        <v>0</v>
      </c>
      <c r="AG135" s="271">
        <f>IF(AA135="","",IF(AND(AD134=AD135,AE134=AE135,AF134=AF135),AG134,$AG$6+129))</f>
        <v>23</v>
      </c>
      <c r="AH135" s="34"/>
      <c r="AI135" s="92"/>
    </row>
    <row r="136" spans="1:36" s="23" customFormat="1" ht="18" customHeight="1">
      <c r="A136" s="282">
        <v>131</v>
      </c>
      <c r="B136" s="288">
        <f>+'Joueurs et TirageV'!G17</f>
        <v>0</v>
      </c>
      <c r="C136" s="136" t="str">
        <f>IF(ISNA(VLOOKUP(B136,RésultatsV!$B$10:$E$248,3,0)),"0",VLOOKUP(B136,RésultatsV!$B$10:$E$248,3,0))</f>
        <v>0</v>
      </c>
      <c r="D136" s="136">
        <f>IF(ISNA(VLOOKUP(B136,RésultatsV!$B$10:$E$248,4,0)),"0",VLOOKUP(B136,RésultatsV!$B$10:$E$248,4,0))</f>
        <v>0</v>
      </c>
      <c r="E136" s="136">
        <f>IF(ISNA(VLOOKUP(B136,RésultatsV!$B$10:$E$248,2,0)),"0",VLOOKUP(B136,RésultatsV!$B$10:$E$248,2,0))</f>
        <v>0</v>
      </c>
      <c r="F136" s="136">
        <f>IF(ISNA(VLOOKUP(B136,RésultatsV!$G$10:$J$248,3,0)),"0",VLOOKUP(B136,RésultatsV!$G$10:$J$248,3,0))</f>
        <v>0</v>
      </c>
      <c r="G136" s="136">
        <f>IF(ISNA(VLOOKUP(B136,RésultatsV!$G$10:$J$248,4,0)),"0",VLOOKUP(B136,RésultatsV!$G$10:$J$248,4,0))</f>
        <v>0</v>
      </c>
      <c r="H136" s="136">
        <f>IF(ISNA(VLOOKUP(B136,RésultatsV!$G$10:$J$248,2,0)),"0",VLOOKUP(B136,RésultatsV!$G$10:$J$248,2,0))</f>
        <v>0</v>
      </c>
      <c r="I136" s="136">
        <f>IF(ISNA(VLOOKUP(B136,RésultatsV!$L$10:$O$248,3,0)),"0",VLOOKUP(B136,RésultatsV!$L$10:$O$248,3,0))</f>
        <v>0</v>
      </c>
      <c r="J136" s="136">
        <f>IF(ISNA(VLOOKUP(B136,RésultatsV!$L$10:$O$248,4,0)),"0",VLOOKUP(B136,RésultatsV!$L$10:$O$248,4,0))</f>
        <v>0</v>
      </c>
      <c r="K136" s="136">
        <f>IF(ISNA(VLOOKUP(B136,RésultatsV!$L$10:$O$248,2,0)),"0",VLOOKUP(B136,RésultatsV!$L$10:$O$248,2,0))</f>
        <v>0</v>
      </c>
      <c r="L136" s="136">
        <f>IF(ISNA(VLOOKUP(B136,RésultatsV!$Q$10:$T$248,3,0)),"0",VLOOKUP(B136,RésultatsV!$Q$10:$T$248,3,0))</f>
        <v>0</v>
      </c>
      <c r="M136" s="136">
        <f>IF(ISNA(VLOOKUP(B136,RésultatsV!$Q$10:$T$248,4,0)),"0",VLOOKUP(B136,RésultatsV!$Q$10:$T$248,4,0))</f>
        <v>0</v>
      </c>
      <c r="N136" s="136">
        <f>IF(ISNA(VLOOKUP(B136,RésultatsV!$Q$10:$T$248,2,0)),"0",VLOOKUP(B136,RésultatsV!$Q$10:$T$248,2,0))</f>
        <v>0</v>
      </c>
      <c r="O136" s="136">
        <f>IF(ISNA(VLOOKUP(B136,RésultatsV!$V$10:$Y$248,3,0)),"0",VLOOKUP(B136,RésultatsV!$V$10:$Y$248,3,0))</f>
        <v>0</v>
      </c>
      <c r="P136" s="136">
        <f>IF(ISNA(VLOOKUP(B136,RésultatsV!$V$10:$Y$248,4,0)),"0",VLOOKUP(B136,RésultatsV!$V$10:$Y$248,4,0))</f>
        <v>0</v>
      </c>
      <c r="Q136" s="136">
        <f>IF(ISNA(VLOOKUP(E136,RésultatsV!$V$10:$Y$248,2,0)),"0",VLOOKUP(E136,RésultatsV!$V$10:$Y$248,2,0))</f>
        <v>0</v>
      </c>
      <c r="R136" s="136">
        <f>IF(ISNA(VLOOKUP(B136,RésultatsV!$AA$10:$AD$248,3,0)),"0",VLOOKUP(B136,RésultatsV!$AA$10:$AD$248,3,0))</f>
        <v>0</v>
      </c>
      <c r="S136" s="136">
        <f>IF(ISNA(VLOOKUP(B136,RésultatsV!$AA$10:$AD$248,4,0)),"0",VLOOKUP(B136,RésultatsV!$AA$10:$AD$248,4,0))</f>
        <v>0</v>
      </c>
      <c r="T136" s="136">
        <f>IF(ISNA(VLOOKUP(B136,RésultatsV!$AA$10:$AD$248,2,0)),"0",VLOOKUP(B136,RésultatsV!$AA$10:$AD$248,2,0))</f>
        <v>0</v>
      </c>
      <c r="U136" s="110">
        <f t="shared" si="32"/>
        <v>0</v>
      </c>
      <c r="V136" s="103">
        <f t="shared" si="33"/>
        <v>0</v>
      </c>
      <c r="W136" s="106">
        <f t="shared" si="36"/>
        <v>0</v>
      </c>
      <c r="X136" s="61">
        <f t="shared" si="26"/>
        <v>0</v>
      </c>
      <c r="Y136" s="52">
        <f t="shared" si="6"/>
        <v>0</v>
      </c>
      <c r="Z136" s="104">
        <f t="shared" si="37"/>
        <v>23.000159359999998</v>
      </c>
      <c r="AA136" s="115">
        <f>IF(B136="","",SMALL(Z$6:Z$185,ROWS(AD$6:AD136)))</f>
        <v>23.000159359999998</v>
      </c>
      <c r="AB136" s="270"/>
      <c r="AC136" s="4">
        <f>IF(OR(B136="",U136=""),"",INDEX($B$6:$B$185,MATCH(AA136,$Z$6:Z$185,0)))</f>
        <v>0</v>
      </c>
      <c r="AD136" s="4">
        <f t="shared" si="34"/>
        <v>0</v>
      </c>
      <c r="AE136" s="4">
        <f t="shared" si="35"/>
        <v>0</v>
      </c>
      <c r="AF136" s="113">
        <f t="shared" si="38"/>
        <v>0</v>
      </c>
      <c r="AG136" s="271">
        <f>IF(AA136="","",IF(AND(AD135=AD136,AE135=AE136,AF135=AF136),AG135,$AG$6+130))</f>
        <v>23</v>
      </c>
      <c r="AH136" s="254"/>
      <c r="AI136" s="92"/>
      <c r="AJ136" s="23">
        <v>130</v>
      </c>
    </row>
    <row r="137" spans="1:36" s="23" customFormat="1" ht="18" customHeight="1">
      <c r="A137" s="282">
        <v>132</v>
      </c>
      <c r="B137" s="288">
        <f>+'Joueurs et TirageV'!G18</f>
        <v>0</v>
      </c>
      <c r="C137" s="136" t="str">
        <f>IF(ISNA(VLOOKUP(B137,RésultatsV!$B$10:$E$248,3,0)),"0",VLOOKUP(B137,RésultatsV!$B$10:$E$248,3,0))</f>
        <v>0</v>
      </c>
      <c r="D137" s="136">
        <f>IF(ISNA(VLOOKUP(B137,RésultatsV!$B$10:$E$248,4,0)),"0",VLOOKUP(B137,RésultatsV!$B$10:$E$248,4,0))</f>
        <v>0</v>
      </c>
      <c r="E137" s="136">
        <f>IF(ISNA(VLOOKUP(B137,RésultatsV!$B$10:$E$248,2,0)),"0",VLOOKUP(B137,RésultatsV!$B$10:$E$248,2,0))</f>
        <v>0</v>
      </c>
      <c r="F137" s="136">
        <f>IF(ISNA(VLOOKUP(B137,RésultatsV!$G$10:$J$248,3,0)),"0",VLOOKUP(B137,RésultatsV!$G$10:$J$248,3,0))</f>
        <v>0</v>
      </c>
      <c r="G137" s="136">
        <f>IF(ISNA(VLOOKUP(B137,RésultatsV!$G$10:$J$248,4,0)),"0",VLOOKUP(B137,RésultatsV!$G$10:$J$248,4,0))</f>
        <v>0</v>
      </c>
      <c r="H137" s="136">
        <f>IF(ISNA(VLOOKUP(B137,RésultatsV!$G$10:$J$248,2,0)),"0",VLOOKUP(B137,RésultatsV!$G$10:$J$248,2,0))</f>
        <v>0</v>
      </c>
      <c r="I137" s="136">
        <f>IF(ISNA(VLOOKUP(B137,RésultatsV!$L$10:$O$248,3,0)),"0",VLOOKUP(B137,RésultatsV!$L$10:$O$248,3,0))</f>
        <v>0</v>
      </c>
      <c r="J137" s="136">
        <f>IF(ISNA(VLOOKUP(B137,RésultatsV!$L$10:$O$248,4,0)),"0",VLOOKUP(B137,RésultatsV!$L$10:$O$248,4,0))</f>
        <v>0</v>
      </c>
      <c r="K137" s="136">
        <f>IF(ISNA(VLOOKUP(B137,RésultatsV!$L$10:$O$248,2,0)),"0",VLOOKUP(B137,RésultatsV!$L$10:$O$248,2,0))</f>
        <v>0</v>
      </c>
      <c r="L137" s="136">
        <f>IF(ISNA(VLOOKUP(B137,RésultatsV!$Q$10:$T$248,3,0)),"0",VLOOKUP(B137,RésultatsV!$Q$10:$T$248,3,0))</f>
        <v>0</v>
      </c>
      <c r="M137" s="136">
        <f>IF(ISNA(VLOOKUP(B137,RésultatsV!$Q$10:$T$248,4,0)),"0",VLOOKUP(B137,RésultatsV!$Q$10:$T$248,4,0))</f>
        <v>0</v>
      </c>
      <c r="N137" s="136">
        <f>IF(ISNA(VLOOKUP(B137,RésultatsV!$Q$10:$T$248,2,0)),"0",VLOOKUP(B137,RésultatsV!$Q$10:$T$248,2,0))</f>
        <v>0</v>
      </c>
      <c r="O137" s="136">
        <f>IF(ISNA(VLOOKUP(B137,RésultatsV!$V$10:$Y$248,3,0)),"0",VLOOKUP(B137,RésultatsV!$V$10:$Y$248,3,0))</f>
        <v>0</v>
      </c>
      <c r="P137" s="136">
        <f>IF(ISNA(VLOOKUP(B137,RésultatsV!$V$10:$Y$248,4,0)),"0",VLOOKUP(B137,RésultatsV!$V$10:$Y$248,4,0))</f>
        <v>0</v>
      </c>
      <c r="Q137" s="136">
        <f>IF(ISNA(VLOOKUP(E137,RésultatsV!$V$10:$Y$248,2,0)),"0",VLOOKUP(E137,RésultatsV!$V$10:$Y$248,2,0))</f>
        <v>0</v>
      </c>
      <c r="R137" s="136">
        <f>IF(ISNA(VLOOKUP(B137,RésultatsV!$AA$10:$AD$248,3,0)),"0",VLOOKUP(B137,RésultatsV!$AA$10:$AD$248,3,0))</f>
        <v>0</v>
      </c>
      <c r="S137" s="136">
        <f>IF(ISNA(VLOOKUP(B137,RésultatsV!$AA$10:$AD$248,4,0)),"0",VLOOKUP(B137,RésultatsV!$AA$10:$AD$248,4,0))</f>
        <v>0</v>
      </c>
      <c r="T137" s="136">
        <f>IF(ISNA(VLOOKUP(B137,RésultatsV!$AA$10:$AD$248,2,0)),"0",VLOOKUP(B137,RésultatsV!$AA$10:$AD$248,2,0))</f>
        <v>0</v>
      </c>
      <c r="U137" s="110">
        <f t="shared" si="32"/>
        <v>0</v>
      </c>
      <c r="V137" s="103">
        <f t="shared" si="33"/>
        <v>0</v>
      </c>
      <c r="W137" s="106">
        <f t="shared" si="36"/>
        <v>0</v>
      </c>
      <c r="X137" s="61">
        <f t="shared" ref="X137:X185" si="39">IF(V137="","",IF(V137&lt;0,V137,0))</f>
        <v>0</v>
      </c>
      <c r="Y137" s="85">
        <f t="shared" si="6"/>
        <v>0</v>
      </c>
      <c r="Z137" s="104">
        <f t="shared" si="37"/>
        <v>23.000159369999999</v>
      </c>
      <c r="AA137" s="115">
        <f>IF(B137="","",SMALL(Z$6:Z$185,ROWS(AD$6:AD137)))</f>
        <v>23.000159369999999</v>
      </c>
      <c r="AB137" s="270"/>
      <c r="AC137" s="4">
        <f>IF(OR(B137="",U137=""),"",INDEX($B$6:$B$185,MATCH(AA137,$Z$6:Z$185,0)))</f>
        <v>0</v>
      </c>
      <c r="AD137" s="4">
        <f t="shared" si="34"/>
        <v>0</v>
      </c>
      <c r="AE137" s="4">
        <f t="shared" si="35"/>
        <v>0</v>
      </c>
      <c r="AF137" s="113">
        <f t="shared" si="38"/>
        <v>0</v>
      </c>
      <c r="AG137" s="271">
        <f>IF(AA137="","",IF(AND(AD136=AD137,AE136=AE137,AF136=AF137),AG136,$AG$6+131))</f>
        <v>23</v>
      </c>
      <c r="AH137" s="34"/>
      <c r="AI137" s="92"/>
    </row>
    <row r="138" spans="1:36" s="23" customFormat="1" ht="18" customHeight="1">
      <c r="A138" s="282">
        <v>133</v>
      </c>
      <c r="B138" s="288">
        <f>+'Joueurs et TirageV'!G19</f>
        <v>0</v>
      </c>
      <c r="C138" s="136" t="str">
        <f>IF(ISNA(VLOOKUP(B138,RésultatsV!$B$10:$E$248,3,0)),"0",VLOOKUP(B138,RésultatsV!$B$10:$E$248,3,0))</f>
        <v>0</v>
      </c>
      <c r="D138" s="136">
        <f>IF(ISNA(VLOOKUP(B138,RésultatsV!$B$10:$E$248,4,0)),"0",VLOOKUP(B138,RésultatsV!$B$10:$E$248,4,0))</f>
        <v>0</v>
      </c>
      <c r="E138" s="136">
        <f>IF(ISNA(VLOOKUP(B138,RésultatsV!$B$10:$E$248,2,0)),"0",VLOOKUP(B138,RésultatsV!$B$10:$E$248,2,0))</f>
        <v>0</v>
      </c>
      <c r="F138" s="136">
        <f>IF(ISNA(VLOOKUP(B138,RésultatsV!$G$10:$J$248,3,0)),"0",VLOOKUP(B138,RésultatsV!$G$10:$J$248,3,0))</f>
        <v>0</v>
      </c>
      <c r="G138" s="136">
        <f>IF(ISNA(VLOOKUP(B138,RésultatsV!$G$10:$J$248,4,0)),"0",VLOOKUP(B138,RésultatsV!$G$10:$J$248,4,0))</f>
        <v>0</v>
      </c>
      <c r="H138" s="136">
        <f>IF(ISNA(VLOOKUP(B138,RésultatsV!$G$10:$J$248,2,0)),"0",VLOOKUP(B138,RésultatsV!$G$10:$J$248,2,0))</f>
        <v>0</v>
      </c>
      <c r="I138" s="136">
        <f>IF(ISNA(VLOOKUP(B138,RésultatsV!$L$10:$O$248,3,0)),"0",VLOOKUP(B138,RésultatsV!$L$10:$O$248,3,0))</f>
        <v>0</v>
      </c>
      <c r="J138" s="136">
        <f>IF(ISNA(VLOOKUP(B138,RésultatsV!$L$10:$O$248,4,0)),"0",VLOOKUP(B138,RésultatsV!$L$10:$O$248,4,0))</f>
        <v>0</v>
      </c>
      <c r="K138" s="136">
        <f>IF(ISNA(VLOOKUP(B138,RésultatsV!$L$10:$O$248,2,0)),"0",VLOOKUP(B138,RésultatsV!$L$10:$O$248,2,0))</f>
        <v>0</v>
      </c>
      <c r="L138" s="136">
        <f>IF(ISNA(VLOOKUP(B138,RésultatsV!$Q$10:$T$248,3,0)),"0",VLOOKUP(B138,RésultatsV!$Q$10:$T$248,3,0))</f>
        <v>0</v>
      </c>
      <c r="M138" s="136">
        <f>IF(ISNA(VLOOKUP(B138,RésultatsV!$Q$10:$T$248,4,0)),"0",VLOOKUP(B138,RésultatsV!$Q$10:$T$248,4,0))</f>
        <v>0</v>
      </c>
      <c r="N138" s="136">
        <f>IF(ISNA(VLOOKUP(B138,RésultatsV!$Q$10:$T$248,2,0)),"0",VLOOKUP(B138,RésultatsV!$Q$10:$T$248,2,0))</f>
        <v>0</v>
      </c>
      <c r="O138" s="136">
        <f>IF(ISNA(VLOOKUP(B138,RésultatsV!$V$10:$Y$248,3,0)),"0",VLOOKUP(B138,RésultatsV!$V$10:$Y$248,3,0))</f>
        <v>0</v>
      </c>
      <c r="P138" s="136">
        <f>IF(ISNA(VLOOKUP(B138,RésultatsV!$V$10:$Y$248,4,0)),"0",VLOOKUP(B138,RésultatsV!$V$10:$Y$248,4,0))</f>
        <v>0</v>
      </c>
      <c r="Q138" s="136">
        <f>IF(ISNA(VLOOKUP(E138,RésultatsV!$V$10:$Y$248,2,0)),"0",VLOOKUP(E138,RésultatsV!$V$10:$Y$248,2,0))</f>
        <v>0</v>
      </c>
      <c r="R138" s="136">
        <f>IF(ISNA(VLOOKUP(B138,RésultatsV!$AA$10:$AD$248,3,0)),"0",VLOOKUP(B138,RésultatsV!$AA$10:$AD$248,3,0))</f>
        <v>0</v>
      </c>
      <c r="S138" s="136">
        <f>IF(ISNA(VLOOKUP(B138,RésultatsV!$AA$10:$AD$248,4,0)),"0",VLOOKUP(B138,RésultatsV!$AA$10:$AD$248,4,0))</f>
        <v>0</v>
      </c>
      <c r="T138" s="136">
        <f>IF(ISNA(VLOOKUP(B138,RésultatsV!$AA$10:$AD$248,2,0)),"0",VLOOKUP(B138,RésultatsV!$AA$10:$AD$248,2,0))</f>
        <v>0</v>
      </c>
      <c r="U138" s="110">
        <f t="shared" si="32"/>
        <v>0</v>
      </c>
      <c r="V138" s="103">
        <f t="shared" si="33"/>
        <v>0</v>
      </c>
      <c r="W138" s="106">
        <f t="shared" si="36"/>
        <v>0</v>
      </c>
      <c r="X138" s="61">
        <f t="shared" si="39"/>
        <v>0</v>
      </c>
      <c r="Y138" s="85">
        <f t="shared" si="6"/>
        <v>0</v>
      </c>
      <c r="Z138" s="104">
        <f t="shared" si="37"/>
        <v>23.000159379999999</v>
      </c>
      <c r="AA138" s="115">
        <f>IF(B138="","",SMALL(Z$6:Z$185,ROWS(AD$6:AD138)))</f>
        <v>23.000159379999999</v>
      </c>
      <c r="AB138" s="270"/>
      <c r="AC138" s="4">
        <f>IF(OR(B138="",U138=""),"",INDEX($B$6:$B$185,MATCH(AA138,$Z$6:Z$185,0)))</f>
        <v>0</v>
      </c>
      <c r="AD138" s="4">
        <f t="shared" si="34"/>
        <v>0</v>
      </c>
      <c r="AE138" s="4">
        <f t="shared" si="35"/>
        <v>0</v>
      </c>
      <c r="AF138" s="113">
        <f t="shared" si="38"/>
        <v>0</v>
      </c>
      <c r="AG138" s="271">
        <f>IF(AA138="","",IF(AND(AD137=AD138,AE137=AE138,AF137=AF138),AG137,$AG$6+132))</f>
        <v>23</v>
      </c>
      <c r="AH138" s="34"/>
      <c r="AI138" s="92"/>
    </row>
    <row r="139" spans="1:36" s="23" customFormat="1" ht="18" customHeight="1">
      <c r="A139" s="282">
        <v>134</v>
      </c>
      <c r="B139" s="288">
        <f>+'Joueurs et TirageV'!G20</f>
        <v>0</v>
      </c>
      <c r="C139" s="136" t="str">
        <f>IF(ISNA(VLOOKUP(B139,RésultatsV!$B$10:$E$248,3,0)),"0",VLOOKUP(B139,RésultatsV!$B$10:$E$248,3,0))</f>
        <v>0</v>
      </c>
      <c r="D139" s="136">
        <f>IF(ISNA(VLOOKUP(B139,RésultatsV!$B$10:$E$248,4,0)),"0",VLOOKUP(B139,RésultatsV!$B$10:$E$248,4,0))</f>
        <v>0</v>
      </c>
      <c r="E139" s="136">
        <f>IF(ISNA(VLOOKUP(B139,RésultatsV!$B$10:$E$248,2,0)),"0",VLOOKUP(B139,RésultatsV!$B$10:$E$248,2,0))</f>
        <v>0</v>
      </c>
      <c r="F139" s="136">
        <f>IF(ISNA(VLOOKUP(B139,RésultatsV!$G$10:$J$248,3,0)),"0",VLOOKUP(B139,RésultatsV!$G$10:$J$248,3,0))</f>
        <v>0</v>
      </c>
      <c r="G139" s="136">
        <f>IF(ISNA(VLOOKUP(B139,RésultatsV!$G$10:$J$248,4,0)),"0",VLOOKUP(B139,RésultatsV!$G$10:$J$248,4,0))</f>
        <v>0</v>
      </c>
      <c r="H139" s="136">
        <f>IF(ISNA(VLOOKUP(B139,RésultatsV!$G$10:$J$248,2,0)),"0",VLOOKUP(B139,RésultatsV!$G$10:$J$248,2,0))</f>
        <v>0</v>
      </c>
      <c r="I139" s="136">
        <f>IF(ISNA(VLOOKUP(B139,RésultatsV!$L$10:$O$248,3,0)),"0",VLOOKUP(B139,RésultatsV!$L$10:$O$248,3,0))</f>
        <v>0</v>
      </c>
      <c r="J139" s="136">
        <f>IF(ISNA(VLOOKUP(B139,RésultatsV!$L$10:$O$248,4,0)),"0",VLOOKUP(B139,RésultatsV!$L$10:$O$248,4,0))</f>
        <v>0</v>
      </c>
      <c r="K139" s="136">
        <f>IF(ISNA(VLOOKUP(B139,RésultatsV!$L$10:$O$248,2,0)),"0",VLOOKUP(B139,RésultatsV!$L$10:$O$248,2,0))</f>
        <v>0</v>
      </c>
      <c r="L139" s="136">
        <f>IF(ISNA(VLOOKUP(B139,RésultatsV!$Q$10:$T$248,3,0)),"0",VLOOKUP(B139,RésultatsV!$Q$10:$T$248,3,0))</f>
        <v>0</v>
      </c>
      <c r="M139" s="136">
        <f>IF(ISNA(VLOOKUP(B139,RésultatsV!$Q$10:$T$248,4,0)),"0",VLOOKUP(B139,RésultatsV!$Q$10:$T$248,4,0))</f>
        <v>0</v>
      </c>
      <c r="N139" s="136">
        <f>IF(ISNA(VLOOKUP(B139,RésultatsV!$Q$10:$T$248,2,0)),"0",VLOOKUP(B139,RésultatsV!$Q$10:$T$248,2,0))</f>
        <v>0</v>
      </c>
      <c r="O139" s="136">
        <f>IF(ISNA(VLOOKUP(B139,RésultatsV!$V$10:$Y$248,3,0)),"0",VLOOKUP(B139,RésultatsV!$V$10:$Y$248,3,0))</f>
        <v>0</v>
      </c>
      <c r="P139" s="136">
        <f>IF(ISNA(VLOOKUP(B139,RésultatsV!$V$10:$Y$248,4,0)),"0",VLOOKUP(B139,RésultatsV!$V$10:$Y$248,4,0))</f>
        <v>0</v>
      </c>
      <c r="Q139" s="136">
        <f>IF(ISNA(VLOOKUP(E139,RésultatsV!$V$10:$Y$248,2,0)),"0",VLOOKUP(E139,RésultatsV!$V$10:$Y$248,2,0))</f>
        <v>0</v>
      </c>
      <c r="R139" s="136">
        <f>IF(ISNA(VLOOKUP(B139,RésultatsV!$AA$10:$AD$248,3,0)),"0",VLOOKUP(B139,RésultatsV!$AA$10:$AD$248,3,0))</f>
        <v>0</v>
      </c>
      <c r="S139" s="136">
        <f>IF(ISNA(VLOOKUP(B139,RésultatsV!$AA$10:$AD$248,4,0)),"0",VLOOKUP(B139,RésultatsV!$AA$10:$AD$248,4,0))</f>
        <v>0</v>
      </c>
      <c r="T139" s="136">
        <f>IF(ISNA(VLOOKUP(B139,RésultatsV!$AA$10:$AD$248,2,0)),"0",VLOOKUP(B139,RésultatsV!$AA$10:$AD$248,2,0))</f>
        <v>0</v>
      </c>
      <c r="U139" s="110">
        <f t="shared" si="32"/>
        <v>0</v>
      </c>
      <c r="V139" s="103">
        <f t="shared" si="33"/>
        <v>0</v>
      </c>
      <c r="W139" s="106">
        <f t="shared" si="36"/>
        <v>0</v>
      </c>
      <c r="X139" s="61">
        <f t="shared" si="39"/>
        <v>0</v>
      </c>
      <c r="Y139" s="85">
        <f t="shared" si="6"/>
        <v>0</v>
      </c>
      <c r="Z139" s="104">
        <f t="shared" si="37"/>
        <v>23.00015939</v>
      </c>
      <c r="AA139" s="115">
        <f>IF(B139="","",SMALL(Z$6:Z$185,ROWS(AD$6:AD139)))</f>
        <v>23.00015939</v>
      </c>
      <c r="AB139" s="270"/>
      <c r="AC139" s="4">
        <f>IF(OR(B139="",U139=""),"",INDEX($B$6:$B$185,MATCH(AA139,$Z$6:Z$185,0)))</f>
        <v>0</v>
      </c>
      <c r="AD139" s="4">
        <f t="shared" si="34"/>
        <v>0</v>
      </c>
      <c r="AE139" s="4">
        <f t="shared" si="35"/>
        <v>0</v>
      </c>
      <c r="AF139" s="113">
        <f t="shared" si="38"/>
        <v>0</v>
      </c>
      <c r="AG139" s="271">
        <f>IF(AA139="","",IF(AND(AD138=AD139,AE138=AE139,AF138=AF139),AG138,$AG$6+133))</f>
        <v>23</v>
      </c>
      <c r="AH139" s="34"/>
      <c r="AI139" s="92"/>
    </row>
    <row r="140" spans="1:36" s="23" customFormat="1" ht="18" customHeight="1">
      <c r="A140" s="282">
        <v>135</v>
      </c>
      <c r="B140" s="288">
        <f>+'Joueurs et TirageV'!G21</f>
        <v>0</v>
      </c>
      <c r="C140" s="136" t="str">
        <f>IF(ISNA(VLOOKUP(B140,RésultatsV!$B$10:$E$248,3,0)),"0",VLOOKUP(B140,RésultatsV!$B$10:$E$248,3,0))</f>
        <v>0</v>
      </c>
      <c r="D140" s="136">
        <f>IF(ISNA(VLOOKUP(B140,RésultatsV!$B$10:$E$248,4,0)),"0",VLOOKUP(B140,RésultatsV!$B$10:$E$248,4,0))</f>
        <v>0</v>
      </c>
      <c r="E140" s="136">
        <f>IF(ISNA(VLOOKUP(B140,RésultatsV!$B$10:$E$248,2,0)),"0",VLOOKUP(B140,RésultatsV!$B$10:$E$248,2,0))</f>
        <v>0</v>
      </c>
      <c r="F140" s="136">
        <f>IF(ISNA(VLOOKUP(B140,RésultatsV!$G$10:$J$248,3,0)),"0",VLOOKUP(B140,RésultatsV!$G$10:$J$248,3,0))</f>
        <v>0</v>
      </c>
      <c r="G140" s="136">
        <f>IF(ISNA(VLOOKUP(B140,RésultatsV!$G$10:$J$248,4,0)),"0",VLOOKUP(B140,RésultatsV!$G$10:$J$248,4,0))</f>
        <v>0</v>
      </c>
      <c r="H140" s="136">
        <f>IF(ISNA(VLOOKUP(B140,RésultatsV!$G$10:$J$248,2,0)),"0",VLOOKUP(B140,RésultatsV!$G$10:$J$248,2,0))</f>
        <v>0</v>
      </c>
      <c r="I140" s="136">
        <f>IF(ISNA(VLOOKUP(B140,RésultatsV!$L$10:$O$248,3,0)),"0",VLOOKUP(B140,RésultatsV!$L$10:$O$248,3,0))</f>
        <v>0</v>
      </c>
      <c r="J140" s="136">
        <f>IF(ISNA(VLOOKUP(B140,RésultatsV!$L$10:$O$248,4,0)),"0",VLOOKUP(B140,RésultatsV!$L$10:$O$248,4,0))</f>
        <v>0</v>
      </c>
      <c r="K140" s="136">
        <f>IF(ISNA(VLOOKUP(B140,RésultatsV!$L$10:$O$248,2,0)),"0",VLOOKUP(B140,RésultatsV!$L$10:$O$248,2,0))</f>
        <v>0</v>
      </c>
      <c r="L140" s="136">
        <f>IF(ISNA(VLOOKUP(B140,RésultatsV!$Q$10:$T$248,3,0)),"0",VLOOKUP(B140,RésultatsV!$Q$10:$T$248,3,0))</f>
        <v>0</v>
      </c>
      <c r="M140" s="136">
        <f>IF(ISNA(VLOOKUP(B140,RésultatsV!$Q$10:$T$248,4,0)),"0",VLOOKUP(B140,RésultatsV!$Q$10:$T$248,4,0))</f>
        <v>0</v>
      </c>
      <c r="N140" s="136">
        <f>IF(ISNA(VLOOKUP(B140,RésultatsV!$Q$10:$T$248,2,0)),"0",VLOOKUP(B140,RésultatsV!$Q$10:$T$248,2,0))</f>
        <v>0</v>
      </c>
      <c r="O140" s="136">
        <f>IF(ISNA(VLOOKUP(B140,RésultatsV!$V$10:$Y$248,3,0)),"0",VLOOKUP(B140,RésultatsV!$V$10:$Y$248,3,0))</f>
        <v>0</v>
      </c>
      <c r="P140" s="136">
        <f>IF(ISNA(VLOOKUP(B140,RésultatsV!$V$10:$Y$248,4,0)),"0",VLOOKUP(B140,RésultatsV!$V$10:$Y$248,4,0))</f>
        <v>0</v>
      </c>
      <c r="Q140" s="136">
        <f>IF(ISNA(VLOOKUP(E140,RésultatsV!$V$10:$Y$248,2,0)),"0",VLOOKUP(E140,RésultatsV!$V$10:$Y$248,2,0))</f>
        <v>0</v>
      </c>
      <c r="R140" s="136">
        <f>IF(ISNA(VLOOKUP(B140,RésultatsV!$AA$10:$AD$248,3,0)),"0",VLOOKUP(B140,RésultatsV!$AA$10:$AD$248,3,0))</f>
        <v>0</v>
      </c>
      <c r="S140" s="136">
        <f>IF(ISNA(VLOOKUP(B140,RésultatsV!$AA$10:$AD$248,4,0)),"0",VLOOKUP(B140,RésultatsV!$AA$10:$AD$248,4,0))</f>
        <v>0</v>
      </c>
      <c r="T140" s="136">
        <f>IF(ISNA(VLOOKUP(B140,RésultatsV!$AA$10:$AD$248,2,0)),"0",VLOOKUP(B140,RésultatsV!$AA$10:$AD$248,2,0))</f>
        <v>0</v>
      </c>
      <c r="U140" s="110">
        <f t="shared" si="32"/>
        <v>0</v>
      </c>
      <c r="V140" s="103">
        <f t="shared" si="33"/>
        <v>0</v>
      </c>
      <c r="W140" s="106">
        <f t="shared" si="36"/>
        <v>0</v>
      </c>
      <c r="X140" s="61">
        <f t="shared" si="39"/>
        <v>0</v>
      </c>
      <c r="Y140" s="52">
        <f t="shared" si="6"/>
        <v>0</v>
      </c>
      <c r="Z140" s="104">
        <f t="shared" si="37"/>
        <v>23.000159399999998</v>
      </c>
      <c r="AA140" s="115">
        <f>IF(B140="","",SMALL(Z$6:Z$185,ROWS(AD$6:AD140)))</f>
        <v>23.000159399999998</v>
      </c>
      <c r="AB140" s="270"/>
      <c r="AC140" s="4">
        <f>IF(OR(B140="",U140=""),"",INDEX($B$6:$B$185,MATCH(AA140,$Z$6:Z$185,0)))</f>
        <v>0</v>
      </c>
      <c r="AD140" s="4">
        <f t="shared" si="34"/>
        <v>0</v>
      </c>
      <c r="AE140" s="4">
        <f t="shared" si="35"/>
        <v>0</v>
      </c>
      <c r="AF140" s="113">
        <f t="shared" si="38"/>
        <v>0</v>
      </c>
      <c r="AG140" s="271">
        <f>IF(AA140="","",IF(AND(AD139=AD140,AE139=AE140,AF139=AF140),AG139,$AG$6+134))</f>
        <v>23</v>
      </c>
      <c r="AH140" s="34"/>
      <c r="AI140" s="92"/>
    </row>
    <row r="141" spans="1:36" s="23" customFormat="1" ht="18" customHeight="1">
      <c r="A141" s="282">
        <v>136</v>
      </c>
      <c r="B141" s="288">
        <f>+'Joueurs et TirageV'!G22</f>
        <v>0</v>
      </c>
      <c r="C141" s="136" t="str">
        <f>IF(ISNA(VLOOKUP(B141,RésultatsV!$B$10:$E$248,3,0)),"0",VLOOKUP(B141,RésultatsV!$B$10:$E$248,3,0))</f>
        <v>0</v>
      </c>
      <c r="D141" s="136">
        <f>IF(ISNA(VLOOKUP(B141,RésultatsV!$B$10:$E$248,4,0)),"0",VLOOKUP(B141,RésultatsV!$B$10:$E$248,4,0))</f>
        <v>0</v>
      </c>
      <c r="E141" s="136">
        <f>IF(ISNA(VLOOKUP(B141,RésultatsV!$B$10:$E$248,2,0)),"0",VLOOKUP(B141,RésultatsV!$B$10:$E$248,2,0))</f>
        <v>0</v>
      </c>
      <c r="F141" s="136">
        <f>IF(ISNA(VLOOKUP(B141,RésultatsV!$G$10:$J$248,3,0)),"0",VLOOKUP(B141,RésultatsV!$G$10:$J$248,3,0))</f>
        <v>0</v>
      </c>
      <c r="G141" s="136">
        <f>IF(ISNA(VLOOKUP(B141,RésultatsV!$G$10:$J$248,4,0)),"0",VLOOKUP(B141,RésultatsV!$G$10:$J$248,4,0))</f>
        <v>0</v>
      </c>
      <c r="H141" s="136">
        <f>IF(ISNA(VLOOKUP(B141,RésultatsV!$G$10:$J$248,2,0)),"0",VLOOKUP(B141,RésultatsV!$G$10:$J$248,2,0))</f>
        <v>0</v>
      </c>
      <c r="I141" s="136">
        <f>IF(ISNA(VLOOKUP(B141,RésultatsV!$L$10:$O$248,3,0)),"0",VLOOKUP(B141,RésultatsV!$L$10:$O$248,3,0))</f>
        <v>0</v>
      </c>
      <c r="J141" s="136">
        <f>IF(ISNA(VLOOKUP(B141,RésultatsV!$L$10:$O$248,4,0)),"0",VLOOKUP(B141,RésultatsV!$L$10:$O$248,4,0))</f>
        <v>0</v>
      </c>
      <c r="K141" s="136">
        <f>IF(ISNA(VLOOKUP(B141,RésultatsV!$L$10:$O$248,2,0)),"0",VLOOKUP(B141,RésultatsV!$L$10:$O$248,2,0))</f>
        <v>0</v>
      </c>
      <c r="L141" s="136">
        <f>IF(ISNA(VLOOKUP(B141,RésultatsV!$Q$10:$T$248,3,0)),"0",VLOOKUP(B141,RésultatsV!$Q$10:$T$248,3,0))</f>
        <v>0</v>
      </c>
      <c r="M141" s="136">
        <f>IF(ISNA(VLOOKUP(B141,RésultatsV!$Q$10:$T$248,4,0)),"0",VLOOKUP(B141,RésultatsV!$Q$10:$T$248,4,0))</f>
        <v>0</v>
      </c>
      <c r="N141" s="136">
        <f>IF(ISNA(VLOOKUP(B141,RésultatsV!$Q$10:$T$248,2,0)),"0",VLOOKUP(B141,RésultatsV!$Q$10:$T$248,2,0))</f>
        <v>0</v>
      </c>
      <c r="O141" s="136">
        <f>IF(ISNA(VLOOKUP(B141,RésultatsV!$V$10:$Y$248,3,0)),"0",VLOOKUP(B141,RésultatsV!$V$10:$Y$248,3,0))</f>
        <v>0</v>
      </c>
      <c r="P141" s="136">
        <f>IF(ISNA(VLOOKUP(B141,RésultatsV!$V$10:$Y$248,4,0)),"0",VLOOKUP(B141,RésultatsV!$V$10:$Y$248,4,0))</f>
        <v>0</v>
      </c>
      <c r="Q141" s="136">
        <f>IF(ISNA(VLOOKUP(E141,RésultatsV!$V$10:$Y$248,2,0)),"0",VLOOKUP(E141,RésultatsV!$V$10:$Y$248,2,0))</f>
        <v>0</v>
      </c>
      <c r="R141" s="136">
        <f>IF(ISNA(VLOOKUP(B141,RésultatsV!$AA$10:$AD$248,3,0)),"0",VLOOKUP(B141,RésultatsV!$AA$10:$AD$248,3,0))</f>
        <v>0</v>
      </c>
      <c r="S141" s="136">
        <f>IF(ISNA(VLOOKUP(B141,RésultatsV!$AA$10:$AD$248,4,0)),"0",VLOOKUP(B141,RésultatsV!$AA$10:$AD$248,4,0))</f>
        <v>0</v>
      </c>
      <c r="T141" s="136">
        <f>IF(ISNA(VLOOKUP(B141,RésultatsV!$AA$10:$AD$248,2,0)),"0",VLOOKUP(B141,RésultatsV!$AA$10:$AD$248,2,0))</f>
        <v>0</v>
      </c>
      <c r="U141" s="110">
        <f t="shared" si="32"/>
        <v>0</v>
      </c>
      <c r="V141" s="103">
        <f t="shared" si="33"/>
        <v>0</v>
      </c>
      <c r="W141" s="106">
        <f t="shared" si="36"/>
        <v>0</v>
      </c>
      <c r="X141" s="61">
        <f t="shared" si="39"/>
        <v>0</v>
      </c>
      <c r="Y141" s="52">
        <f t="shared" si="6"/>
        <v>0</v>
      </c>
      <c r="Z141" s="104">
        <f t="shared" si="37"/>
        <v>23.000159409999998</v>
      </c>
      <c r="AA141" s="115">
        <f>IF(B141="","",SMALL(Z$6:Z$185,ROWS(AD$6:AD141)))</f>
        <v>23.000159409999998</v>
      </c>
      <c r="AB141" s="270"/>
      <c r="AC141" s="4">
        <f>IF(OR(B141="",U141=""),"",INDEX($B$6:$B$185,MATCH(AA141,$Z$6:Z$185,0)))</f>
        <v>0</v>
      </c>
      <c r="AD141" s="4">
        <f t="shared" si="34"/>
        <v>0</v>
      </c>
      <c r="AE141" s="4">
        <f t="shared" si="35"/>
        <v>0</v>
      </c>
      <c r="AF141" s="113">
        <f t="shared" si="38"/>
        <v>0</v>
      </c>
      <c r="AG141" s="271">
        <f>IF(AA141="","",IF(AND(AD140=AD141,AE140=AE141,AF140=AF141),AG140,$AG$6+135))</f>
        <v>23</v>
      </c>
      <c r="AH141" s="34"/>
      <c r="AI141" s="92"/>
    </row>
    <row r="142" spans="1:36" s="23" customFormat="1" ht="18" customHeight="1">
      <c r="A142" s="282">
        <v>137</v>
      </c>
      <c r="B142" s="288">
        <f>+'Joueurs et TirageV'!G23</f>
        <v>0</v>
      </c>
      <c r="C142" s="136" t="str">
        <f>IF(ISNA(VLOOKUP(B142,RésultatsV!$B$10:$E$248,3,0)),"0",VLOOKUP(B142,RésultatsV!$B$10:$E$248,3,0))</f>
        <v>0</v>
      </c>
      <c r="D142" s="136">
        <f>IF(ISNA(VLOOKUP(B142,RésultatsV!$B$10:$E$248,4,0)),"0",VLOOKUP(B142,RésultatsV!$B$10:$E$248,4,0))</f>
        <v>0</v>
      </c>
      <c r="E142" s="136">
        <f>IF(ISNA(VLOOKUP(B142,RésultatsV!$B$10:$E$248,2,0)),"0",VLOOKUP(B142,RésultatsV!$B$10:$E$248,2,0))</f>
        <v>0</v>
      </c>
      <c r="F142" s="136">
        <f>IF(ISNA(VLOOKUP(B142,RésultatsV!$G$10:$J$248,3,0)),"0",VLOOKUP(B142,RésultatsV!$G$10:$J$248,3,0))</f>
        <v>0</v>
      </c>
      <c r="G142" s="136">
        <f>IF(ISNA(VLOOKUP(B142,RésultatsV!$G$10:$J$248,4,0)),"0",VLOOKUP(B142,RésultatsV!$G$10:$J$248,4,0))</f>
        <v>0</v>
      </c>
      <c r="H142" s="136">
        <f>IF(ISNA(VLOOKUP(B142,RésultatsV!$G$10:$J$248,2,0)),"0",VLOOKUP(B142,RésultatsV!$G$10:$J$248,2,0))</f>
        <v>0</v>
      </c>
      <c r="I142" s="136">
        <f>IF(ISNA(VLOOKUP(B142,RésultatsV!$L$10:$O$248,3,0)),"0",VLOOKUP(B142,RésultatsV!$L$10:$O$248,3,0))</f>
        <v>0</v>
      </c>
      <c r="J142" s="136">
        <f>IF(ISNA(VLOOKUP(B142,RésultatsV!$L$10:$O$248,4,0)),"0",VLOOKUP(B142,RésultatsV!$L$10:$O$248,4,0))</f>
        <v>0</v>
      </c>
      <c r="K142" s="136">
        <f>IF(ISNA(VLOOKUP(B142,RésultatsV!$L$10:$O$248,2,0)),"0",VLOOKUP(B142,RésultatsV!$L$10:$O$248,2,0))</f>
        <v>0</v>
      </c>
      <c r="L142" s="136">
        <f>IF(ISNA(VLOOKUP(B142,RésultatsV!$Q$10:$T$248,3,0)),"0",VLOOKUP(B142,RésultatsV!$Q$10:$T$248,3,0))</f>
        <v>0</v>
      </c>
      <c r="M142" s="136">
        <f>IF(ISNA(VLOOKUP(B142,RésultatsV!$Q$10:$T$248,4,0)),"0",VLOOKUP(B142,RésultatsV!$Q$10:$T$248,4,0))</f>
        <v>0</v>
      </c>
      <c r="N142" s="136">
        <f>IF(ISNA(VLOOKUP(B142,RésultatsV!$Q$10:$T$248,2,0)),"0",VLOOKUP(B142,RésultatsV!$Q$10:$T$248,2,0))</f>
        <v>0</v>
      </c>
      <c r="O142" s="136">
        <f>IF(ISNA(VLOOKUP(B142,RésultatsV!$V$10:$Y$248,3,0)),"0",VLOOKUP(B142,RésultatsV!$V$10:$Y$248,3,0))</f>
        <v>0</v>
      </c>
      <c r="P142" s="136">
        <f>IF(ISNA(VLOOKUP(B142,RésultatsV!$V$10:$Y$248,4,0)),"0",VLOOKUP(B142,RésultatsV!$V$10:$Y$248,4,0))</f>
        <v>0</v>
      </c>
      <c r="Q142" s="136">
        <f>IF(ISNA(VLOOKUP(E142,RésultatsV!$V$10:$Y$248,2,0)),"0",VLOOKUP(E142,RésultatsV!$V$10:$Y$248,2,0))</f>
        <v>0</v>
      </c>
      <c r="R142" s="136">
        <f>IF(ISNA(VLOOKUP(B142,RésultatsV!$AA$10:$AD$248,3,0)),"0",VLOOKUP(B142,RésultatsV!$AA$10:$AD$248,3,0))</f>
        <v>0</v>
      </c>
      <c r="S142" s="136">
        <f>IF(ISNA(VLOOKUP(B142,RésultatsV!$AA$10:$AD$248,4,0)),"0",VLOOKUP(B142,RésultatsV!$AA$10:$AD$248,4,0))</f>
        <v>0</v>
      </c>
      <c r="T142" s="136">
        <f>IF(ISNA(VLOOKUP(B142,RésultatsV!$AA$10:$AD$248,2,0)),"0",VLOOKUP(B142,RésultatsV!$AA$10:$AD$248,2,0))</f>
        <v>0</v>
      </c>
      <c r="U142" s="110">
        <f t="shared" si="32"/>
        <v>0</v>
      </c>
      <c r="V142" s="103">
        <f t="shared" si="33"/>
        <v>0</v>
      </c>
      <c r="W142" s="106">
        <f t="shared" si="36"/>
        <v>0</v>
      </c>
      <c r="X142" s="61">
        <f t="shared" si="39"/>
        <v>0</v>
      </c>
      <c r="Y142" s="52">
        <f t="shared" si="6"/>
        <v>0</v>
      </c>
      <c r="Z142" s="104">
        <f t="shared" si="37"/>
        <v>23.000159419999999</v>
      </c>
      <c r="AA142" s="115">
        <f>IF(B142="","",SMALL(Z$6:Z$185,ROWS(AD$6:AD142)))</f>
        <v>23.000159419999999</v>
      </c>
      <c r="AB142" s="270"/>
      <c r="AC142" s="4">
        <f>IF(OR(B142="",U142=""),"",INDEX($B$6:$B$185,MATCH(AA142,$Z$6:Z$185,0)))</f>
        <v>0</v>
      </c>
      <c r="AD142" s="4">
        <f t="shared" si="34"/>
        <v>0</v>
      </c>
      <c r="AE142" s="4">
        <f t="shared" si="35"/>
        <v>0</v>
      </c>
      <c r="AF142" s="113">
        <f t="shared" si="38"/>
        <v>0</v>
      </c>
      <c r="AG142" s="271">
        <f>IF(AA142="","",IF(AND(AD141=AD142,AE141=AE142,AF141=AF142),AG141,$AG$6+136))</f>
        <v>23</v>
      </c>
      <c r="AH142" s="34"/>
      <c r="AI142" s="92"/>
    </row>
    <row r="143" spans="1:36" s="23" customFormat="1" ht="18" customHeight="1">
      <c r="A143" s="282">
        <v>138</v>
      </c>
      <c r="B143" s="288">
        <f>+'Joueurs et TirageV'!G24</f>
        <v>0</v>
      </c>
      <c r="C143" s="136" t="str">
        <f>IF(ISNA(VLOOKUP(B143,RésultatsV!$B$10:$E$248,3,0)),"0",VLOOKUP(B143,RésultatsV!$B$10:$E$248,3,0))</f>
        <v>0</v>
      </c>
      <c r="D143" s="136">
        <f>IF(ISNA(VLOOKUP(B143,RésultatsV!$B$10:$E$248,4,0)),"0",VLOOKUP(B143,RésultatsV!$B$10:$E$248,4,0))</f>
        <v>0</v>
      </c>
      <c r="E143" s="136">
        <f>IF(ISNA(VLOOKUP(B143,RésultatsV!$B$10:$E$248,2,0)),"0",VLOOKUP(B143,RésultatsV!$B$10:$E$248,2,0))</f>
        <v>0</v>
      </c>
      <c r="F143" s="136">
        <f>IF(ISNA(VLOOKUP(B143,RésultatsV!$G$10:$J$248,3,0)),"0",VLOOKUP(B143,RésultatsV!$G$10:$J$248,3,0))</f>
        <v>0</v>
      </c>
      <c r="G143" s="136">
        <f>IF(ISNA(VLOOKUP(B143,RésultatsV!$G$10:$J$248,4,0)),"0",VLOOKUP(B143,RésultatsV!$G$10:$J$248,4,0))</f>
        <v>0</v>
      </c>
      <c r="H143" s="136">
        <f>IF(ISNA(VLOOKUP(B143,RésultatsV!$G$10:$J$248,2,0)),"0",VLOOKUP(B143,RésultatsV!$G$10:$J$248,2,0))</f>
        <v>0</v>
      </c>
      <c r="I143" s="136">
        <f>IF(ISNA(VLOOKUP(B143,RésultatsV!$L$10:$O$248,3,0)),"0",VLOOKUP(B143,RésultatsV!$L$10:$O$248,3,0))</f>
        <v>0</v>
      </c>
      <c r="J143" s="136">
        <f>IF(ISNA(VLOOKUP(B143,RésultatsV!$L$10:$O$248,4,0)),"0",VLOOKUP(B143,RésultatsV!$L$10:$O$248,4,0))</f>
        <v>0</v>
      </c>
      <c r="K143" s="136">
        <f>IF(ISNA(VLOOKUP(B143,RésultatsV!$L$10:$O$248,2,0)),"0",VLOOKUP(B143,RésultatsV!$L$10:$O$248,2,0))</f>
        <v>0</v>
      </c>
      <c r="L143" s="136">
        <f>IF(ISNA(VLOOKUP(B143,RésultatsV!$Q$10:$T$248,3,0)),"0",VLOOKUP(B143,RésultatsV!$Q$10:$T$248,3,0))</f>
        <v>0</v>
      </c>
      <c r="M143" s="136">
        <f>IF(ISNA(VLOOKUP(B143,RésultatsV!$Q$10:$T$248,4,0)),"0",VLOOKUP(B143,RésultatsV!$Q$10:$T$248,4,0))</f>
        <v>0</v>
      </c>
      <c r="N143" s="136">
        <f>IF(ISNA(VLOOKUP(B143,RésultatsV!$Q$10:$T$248,2,0)),"0",VLOOKUP(B143,RésultatsV!$Q$10:$T$248,2,0))</f>
        <v>0</v>
      </c>
      <c r="O143" s="136">
        <f>IF(ISNA(VLOOKUP(B143,RésultatsV!$V$10:$Y$248,3,0)),"0",VLOOKUP(B143,RésultatsV!$V$10:$Y$248,3,0))</f>
        <v>0</v>
      </c>
      <c r="P143" s="136">
        <f>IF(ISNA(VLOOKUP(B143,RésultatsV!$V$10:$Y$248,4,0)),"0",VLOOKUP(B143,RésultatsV!$V$10:$Y$248,4,0))</f>
        <v>0</v>
      </c>
      <c r="Q143" s="136">
        <f>IF(ISNA(VLOOKUP(E143,RésultatsV!$V$10:$Y$248,2,0)),"0",VLOOKUP(E143,RésultatsV!$V$10:$Y$248,2,0))</f>
        <v>0</v>
      </c>
      <c r="R143" s="136">
        <f>IF(ISNA(VLOOKUP(B143,RésultatsV!$AA$10:$AD$248,3,0)),"0",VLOOKUP(B143,RésultatsV!$AA$10:$AD$248,3,0))</f>
        <v>0</v>
      </c>
      <c r="S143" s="136">
        <f>IF(ISNA(VLOOKUP(B143,RésultatsV!$AA$10:$AD$248,4,0)),"0",VLOOKUP(B143,RésultatsV!$AA$10:$AD$248,4,0))</f>
        <v>0</v>
      </c>
      <c r="T143" s="136">
        <f>IF(ISNA(VLOOKUP(B143,RésultatsV!$AA$10:$AD$248,2,0)),"0",VLOOKUP(B143,RésultatsV!$AA$10:$AD$248,2,0))</f>
        <v>0</v>
      </c>
      <c r="U143" s="110">
        <f t="shared" si="32"/>
        <v>0</v>
      </c>
      <c r="V143" s="103">
        <f t="shared" si="33"/>
        <v>0</v>
      </c>
      <c r="W143" s="106">
        <f t="shared" si="36"/>
        <v>0</v>
      </c>
      <c r="X143" s="61">
        <f t="shared" si="39"/>
        <v>0</v>
      </c>
      <c r="Y143" s="52">
        <f t="shared" si="6"/>
        <v>0</v>
      </c>
      <c r="Z143" s="104">
        <f t="shared" si="37"/>
        <v>23.00015943</v>
      </c>
      <c r="AA143" s="115">
        <f>IF(B143="","",SMALL(Z$6:Z$185,ROWS(AD$6:AD143)))</f>
        <v>23.00015943</v>
      </c>
      <c r="AB143" s="270"/>
      <c r="AC143" s="4">
        <f>IF(OR(B143="",U143=""),"",INDEX($B$6:$B$185,MATCH(AA143,$Z$6:Z$185,0)))</f>
        <v>0</v>
      </c>
      <c r="AD143" s="4">
        <f t="shared" si="34"/>
        <v>0</v>
      </c>
      <c r="AE143" s="4">
        <f t="shared" si="35"/>
        <v>0</v>
      </c>
      <c r="AF143" s="113">
        <f t="shared" si="38"/>
        <v>0</v>
      </c>
      <c r="AG143" s="271">
        <f>IF(AA143="","",IF(AND(AD142=AD143,AE142=AE143,AF142=AF143),AG142,$AG$6+137))</f>
        <v>23</v>
      </c>
      <c r="AH143" s="34"/>
      <c r="AI143" s="92"/>
    </row>
    <row r="144" spans="1:36" s="23" customFormat="1" ht="18" customHeight="1">
      <c r="A144" s="282">
        <v>139</v>
      </c>
      <c r="B144" s="288">
        <f>+'Joueurs et TirageV'!G25</f>
        <v>0</v>
      </c>
      <c r="C144" s="136" t="str">
        <f>IF(ISNA(VLOOKUP(B144,RésultatsV!$B$10:$E$248,3,0)),"0",VLOOKUP(B144,RésultatsV!$B$10:$E$248,3,0))</f>
        <v>0</v>
      </c>
      <c r="D144" s="136">
        <f>IF(ISNA(VLOOKUP(B144,RésultatsV!$B$10:$E$248,4,0)),"0",VLOOKUP(B144,RésultatsV!$B$10:$E$248,4,0))</f>
        <v>0</v>
      </c>
      <c r="E144" s="136">
        <f>IF(ISNA(VLOOKUP(B144,RésultatsV!$B$10:$E$248,2,0)),"0",VLOOKUP(B144,RésultatsV!$B$10:$E$248,2,0))</f>
        <v>0</v>
      </c>
      <c r="F144" s="136">
        <f>IF(ISNA(VLOOKUP(B144,RésultatsV!$G$10:$J$248,3,0)),"0",VLOOKUP(B144,RésultatsV!$G$10:$J$248,3,0))</f>
        <v>0</v>
      </c>
      <c r="G144" s="136">
        <f>IF(ISNA(VLOOKUP(B144,RésultatsV!$G$10:$J$248,4,0)),"0",VLOOKUP(B144,RésultatsV!$G$10:$J$248,4,0))</f>
        <v>0</v>
      </c>
      <c r="H144" s="136">
        <f>IF(ISNA(VLOOKUP(B144,RésultatsV!$G$10:$J$248,2,0)),"0",VLOOKUP(B144,RésultatsV!$G$10:$J$248,2,0))</f>
        <v>0</v>
      </c>
      <c r="I144" s="136">
        <f>IF(ISNA(VLOOKUP(B144,RésultatsV!$L$10:$O$248,3,0)),"0",VLOOKUP(B144,RésultatsV!$L$10:$O$248,3,0))</f>
        <v>0</v>
      </c>
      <c r="J144" s="136">
        <f>IF(ISNA(VLOOKUP(B144,RésultatsV!$L$10:$O$248,4,0)),"0",VLOOKUP(B144,RésultatsV!$L$10:$O$248,4,0))</f>
        <v>0</v>
      </c>
      <c r="K144" s="136">
        <f>IF(ISNA(VLOOKUP(B144,RésultatsV!$L$10:$O$248,2,0)),"0",VLOOKUP(B144,RésultatsV!$L$10:$O$248,2,0))</f>
        <v>0</v>
      </c>
      <c r="L144" s="136">
        <f>IF(ISNA(VLOOKUP(B144,RésultatsV!$Q$10:$T$248,3,0)),"0",VLOOKUP(B144,RésultatsV!$Q$10:$T$248,3,0))</f>
        <v>0</v>
      </c>
      <c r="M144" s="136">
        <f>IF(ISNA(VLOOKUP(B144,RésultatsV!$Q$10:$T$248,4,0)),"0",VLOOKUP(B144,RésultatsV!$Q$10:$T$248,4,0))</f>
        <v>0</v>
      </c>
      <c r="N144" s="136">
        <f>IF(ISNA(VLOOKUP(B144,RésultatsV!$Q$10:$T$248,2,0)),"0",VLOOKUP(B144,RésultatsV!$Q$10:$T$248,2,0))</f>
        <v>0</v>
      </c>
      <c r="O144" s="136">
        <f>IF(ISNA(VLOOKUP(B144,RésultatsV!$V$10:$Y$248,3,0)),"0",VLOOKUP(B144,RésultatsV!$V$10:$Y$248,3,0))</f>
        <v>0</v>
      </c>
      <c r="P144" s="136">
        <f>IF(ISNA(VLOOKUP(B144,RésultatsV!$V$10:$Y$248,4,0)),"0",VLOOKUP(B144,RésultatsV!$V$10:$Y$248,4,0))</f>
        <v>0</v>
      </c>
      <c r="Q144" s="136">
        <f>IF(ISNA(VLOOKUP(E144,RésultatsV!$V$10:$Y$248,2,0)),"0",VLOOKUP(E144,RésultatsV!$V$10:$Y$248,2,0))</f>
        <v>0</v>
      </c>
      <c r="R144" s="136">
        <f>IF(ISNA(VLOOKUP(B144,RésultatsV!$AA$10:$AD$248,3,0)),"0",VLOOKUP(B144,RésultatsV!$AA$10:$AD$248,3,0))</f>
        <v>0</v>
      </c>
      <c r="S144" s="136">
        <f>IF(ISNA(VLOOKUP(B144,RésultatsV!$AA$10:$AD$248,4,0)),"0",VLOOKUP(B144,RésultatsV!$AA$10:$AD$248,4,0))</f>
        <v>0</v>
      </c>
      <c r="T144" s="136">
        <f>IF(ISNA(VLOOKUP(B144,RésultatsV!$AA$10:$AD$248,2,0)),"0",VLOOKUP(B144,RésultatsV!$AA$10:$AD$248,2,0))</f>
        <v>0</v>
      </c>
      <c r="U144" s="110">
        <f t="shared" si="32"/>
        <v>0</v>
      </c>
      <c r="V144" s="103">
        <f t="shared" si="33"/>
        <v>0</v>
      </c>
      <c r="W144" s="106">
        <f t="shared" si="36"/>
        <v>0</v>
      </c>
      <c r="X144" s="61">
        <f t="shared" si="39"/>
        <v>0</v>
      </c>
      <c r="Y144" s="63">
        <f t="shared" si="6"/>
        <v>0</v>
      </c>
      <c r="Z144" s="104">
        <f t="shared" si="37"/>
        <v>23.000159439999997</v>
      </c>
      <c r="AA144" s="115">
        <f>IF(B144="","",SMALL(Z$6:Z$185,ROWS(AD$6:AD144)))</f>
        <v>23.000159439999997</v>
      </c>
      <c r="AB144" s="270"/>
      <c r="AC144" s="4">
        <f>IF(OR(B144="",U144=""),"",INDEX($B$6:$B$185,MATCH(AA144,$Z$6:Z$185,0)))</f>
        <v>0</v>
      </c>
      <c r="AD144" s="4">
        <f t="shared" si="34"/>
        <v>0</v>
      </c>
      <c r="AE144" s="4">
        <f t="shared" si="35"/>
        <v>0</v>
      </c>
      <c r="AF144" s="113">
        <f t="shared" si="38"/>
        <v>0</v>
      </c>
      <c r="AG144" s="271">
        <f>IF(AA144="","",IF(AND(AD143=AD144,AE143=AE144,AF143=AF144),AG143,$AG$6+138))</f>
        <v>23</v>
      </c>
      <c r="AH144" s="34"/>
      <c r="AI144" s="92"/>
    </row>
    <row r="145" spans="1:36" s="23" customFormat="1" ht="18" customHeight="1">
      <c r="A145" s="282">
        <v>140</v>
      </c>
      <c r="B145" s="288">
        <f>+'Joueurs et TirageV'!G26</f>
        <v>0</v>
      </c>
      <c r="C145" s="136" t="str">
        <f>IF(ISNA(VLOOKUP(B145,RésultatsV!$B$10:$E$248,3,0)),"0",VLOOKUP(B145,RésultatsV!$B$10:$E$248,3,0))</f>
        <v>0</v>
      </c>
      <c r="D145" s="136">
        <f>IF(ISNA(VLOOKUP(B145,RésultatsV!$B$10:$E$248,4,0)),"0",VLOOKUP(B145,RésultatsV!$B$10:$E$248,4,0))</f>
        <v>0</v>
      </c>
      <c r="E145" s="136">
        <f>IF(ISNA(VLOOKUP(B145,RésultatsV!$B$10:$E$248,2,0)),"0",VLOOKUP(B145,RésultatsV!$B$10:$E$248,2,0))</f>
        <v>0</v>
      </c>
      <c r="F145" s="136">
        <f>IF(ISNA(VLOOKUP(B145,RésultatsV!$G$10:$J$248,3,0)),"0",VLOOKUP(B145,RésultatsV!$G$10:$J$248,3,0))</f>
        <v>0</v>
      </c>
      <c r="G145" s="136">
        <f>IF(ISNA(VLOOKUP(B145,RésultatsV!$G$10:$J$248,4,0)),"0",VLOOKUP(B145,RésultatsV!$G$10:$J$248,4,0))</f>
        <v>0</v>
      </c>
      <c r="H145" s="136">
        <f>IF(ISNA(VLOOKUP(B145,RésultatsV!$G$10:$J$248,2,0)),"0",VLOOKUP(B145,RésultatsV!$G$10:$J$248,2,0))</f>
        <v>0</v>
      </c>
      <c r="I145" s="136">
        <f>IF(ISNA(VLOOKUP(B145,RésultatsV!$L$10:$O$248,3,0)),"0",VLOOKUP(B145,RésultatsV!$L$10:$O$248,3,0))</f>
        <v>0</v>
      </c>
      <c r="J145" s="136">
        <f>IF(ISNA(VLOOKUP(B145,RésultatsV!$L$10:$O$248,4,0)),"0",VLOOKUP(B145,RésultatsV!$L$10:$O$248,4,0))</f>
        <v>0</v>
      </c>
      <c r="K145" s="136">
        <f>IF(ISNA(VLOOKUP(B145,RésultatsV!$L$10:$O$248,2,0)),"0",VLOOKUP(B145,RésultatsV!$L$10:$O$248,2,0))</f>
        <v>0</v>
      </c>
      <c r="L145" s="136">
        <f>IF(ISNA(VLOOKUP(B145,RésultatsV!$Q$10:$T$248,3,0)),"0",VLOOKUP(B145,RésultatsV!$Q$10:$T$248,3,0))</f>
        <v>0</v>
      </c>
      <c r="M145" s="136">
        <f>IF(ISNA(VLOOKUP(B145,RésultatsV!$Q$10:$T$248,4,0)),"0",VLOOKUP(B145,RésultatsV!$Q$10:$T$248,4,0))</f>
        <v>0</v>
      </c>
      <c r="N145" s="136">
        <f>IF(ISNA(VLOOKUP(B145,RésultatsV!$Q$10:$T$248,2,0)),"0",VLOOKUP(B145,RésultatsV!$Q$10:$T$248,2,0))</f>
        <v>0</v>
      </c>
      <c r="O145" s="136">
        <f>IF(ISNA(VLOOKUP(B145,RésultatsV!$V$10:$Y$248,3,0)),"0",VLOOKUP(B145,RésultatsV!$V$10:$Y$248,3,0))</f>
        <v>0</v>
      </c>
      <c r="P145" s="136">
        <f>IF(ISNA(VLOOKUP(B145,RésultatsV!$V$10:$Y$248,4,0)),"0",VLOOKUP(B145,RésultatsV!$V$10:$Y$248,4,0))</f>
        <v>0</v>
      </c>
      <c r="Q145" s="136">
        <f>IF(ISNA(VLOOKUP(E145,RésultatsV!$V$10:$Y$248,2,0)),"0",VLOOKUP(E145,RésultatsV!$V$10:$Y$248,2,0))</f>
        <v>0</v>
      </c>
      <c r="R145" s="136">
        <f>IF(ISNA(VLOOKUP(B145,RésultatsV!$AA$10:$AD$248,3,0)),"0",VLOOKUP(B145,RésultatsV!$AA$10:$AD$248,3,0))</f>
        <v>0</v>
      </c>
      <c r="S145" s="136">
        <f>IF(ISNA(VLOOKUP(B145,RésultatsV!$AA$10:$AD$248,4,0)),"0",VLOOKUP(B145,RésultatsV!$AA$10:$AD$248,4,0))</f>
        <v>0</v>
      </c>
      <c r="T145" s="136">
        <f>IF(ISNA(VLOOKUP(B145,RésultatsV!$AA$10:$AD$248,2,0)),"0",VLOOKUP(B145,RésultatsV!$AA$10:$AD$248,2,0))</f>
        <v>0</v>
      </c>
      <c r="U145" s="110">
        <f t="shared" si="32"/>
        <v>0</v>
      </c>
      <c r="V145" s="103">
        <f t="shared" si="33"/>
        <v>0</v>
      </c>
      <c r="W145" s="106">
        <f t="shared" si="36"/>
        <v>0</v>
      </c>
      <c r="X145" s="61">
        <f t="shared" si="39"/>
        <v>0</v>
      </c>
      <c r="Y145" s="52">
        <f t="shared" si="6"/>
        <v>0</v>
      </c>
      <c r="Z145" s="104">
        <f t="shared" si="37"/>
        <v>23.000159449999998</v>
      </c>
      <c r="AA145" s="115">
        <f>IF(B145="","",SMALL(Z$6:Z$185,ROWS(AD$6:AD145)))</f>
        <v>23.000159449999998</v>
      </c>
      <c r="AB145" s="272"/>
      <c r="AC145" s="4">
        <f>IF(OR(B145="",U145=""),"",INDEX($B$6:$B$185,MATCH(AA145,$Z$6:Z$185,0)))</f>
        <v>0</v>
      </c>
      <c r="AD145" s="4">
        <f t="shared" si="34"/>
        <v>0</v>
      </c>
      <c r="AE145" s="4">
        <f t="shared" si="35"/>
        <v>0</v>
      </c>
      <c r="AF145" s="113">
        <f t="shared" si="38"/>
        <v>0</v>
      </c>
      <c r="AG145" s="271">
        <f>IF(AA145="","",IF(AND(AD144=AD145,AE144=AE145,AF144=AF145),AG144,$AG$6+139))</f>
        <v>23</v>
      </c>
      <c r="AH145" s="34"/>
      <c r="AI145" s="92"/>
    </row>
    <row r="146" spans="1:36" s="23" customFormat="1" ht="18" customHeight="1">
      <c r="A146" s="282">
        <v>141</v>
      </c>
      <c r="B146" s="288">
        <f>+'Joueurs et TirageV'!G27</f>
        <v>0</v>
      </c>
      <c r="C146" s="136" t="str">
        <f>IF(ISNA(VLOOKUP(B146,RésultatsV!$B$10:$E$248,3,0)),"0",VLOOKUP(B146,RésultatsV!$B$10:$E$248,3,0))</f>
        <v>0</v>
      </c>
      <c r="D146" s="136">
        <f>IF(ISNA(VLOOKUP(B146,RésultatsV!$B$10:$E$248,4,0)),"0",VLOOKUP(B146,RésultatsV!$B$10:$E$248,4,0))</f>
        <v>0</v>
      </c>
      <c r="E146" s="136">
        <f>IF(ISNA(VLOOKUP(B146,RésultatsV!$B$10:$E$248,2,0)),"0",VLOOKUP(B146,RésultatsV!$B$10:$E$248,2,0))</f>
        <v>0</v>
      </c>
      <c r="F146" s="136">
        <f>IF(ISNA(VLOOKUP(B146,RésultatsV!$G$10:$J$248,3,0)),"0",VLOOKUP(B146,RésultatsV!$G$10:$J$248,3,0))</f>
        <v>0</v>
      </c>
      <c r="G146" s="136">
        <f>IF(ISNA(VLOOKUP(B146,RésultatsV!$G$10:$J$248,4,0)),"0",VLOOKUP(B146,RésultatsV!$G$10:$J$248,4,0))</f>
        <v>0</v>
      </c>
      <c r="H146" s="136">
        <f>IF(ISNA(VLOOKUP(B146,RésultatsV!$G$10:$J$248,2,0)),"0",VLOOKUP(B146,RésultatsV!$G$10:$J$248,2,0))</f>
        <v>0</v>
      </c>
      <c r="I146" s="136">
        <f>IF(ISNA(VLOOKUP(B146,RésultatsV!$L$10:$O$248,3,0)),"0",VLOOKUP(B146,RésultatsV!$L$10:$O$248,3,0))</f>
        <v>0</v>
      </c>
      <c r="J146" s="136">
        <f>IF(ISNA(VLOOKUP(B146,RésultatsV!$L$10:$O$248,4,0)),"0",VLOOKUP(B146,RésultatsV!$L$10:$O$248,4,0))</f>
        <v>0</v>
      </c>
      <c r="K146" s="136">
        <f>IF(ISNA(VLOOKUP(B146,RésultatsV!$L$10:$O$248,2,0)),"0",VLOOKUP(B146,RésultatsV!$L$10:$O$248,2,0))</f>
        <v>0</v>
      </c>
      <c r="L146" s="136">
        <f>IF(ISNA(VLOOKUP(B146,RésultatsV!$Q$10:$T$248,3,0)),"0",VLOOKUP(B146,RésultatsV!$Q$10:$T$248,3,0))</f>
        <v>0</v>
      </c>
      <c r="M146" s="136">
        <f>IF(ISNA(VLOOKUP(B146,RésultatsV!$Q$10:$T$248,4,0)),"0",VLOOKUP(B146,RésultatsV!$Q$10:$T$248,4,0))</f>
        <v>0</v>
      </c>
      <c r="N146" s="136">
        <f>IF(ISNA(VLOOKUP(B146,RésultatsV!$Q$10:$T$248,2,0)),"0",VLOOKUP(B146,RésultatsV!$Q$10:$T$248,2,0))</f>
        <v>0</v>
      </c>
      <c r="O146" s="136">
        <f>IF(ISNA(VLOOKUP(B146,RésultatsV!$V$10:$Y$248,3,0)),"0",VLOOKUP(B146,RésultatsV!$V$10:$Y$248,3,0))</f>
        <v>0</v>
      </c>
      <c r="P146" s="136">
        <f>IF(ISNA(VLOOKUP(B146,RésultatsV!$V$10:$Y$248,4,0)),"0",VLOOKUP(B146,RésultatsV!$V$10:$Y$248,4,0))</f>
        <v>0</v>
      </c>
      <c r="Q146" s="136">
        <f>IF(ISNA(VLOOKUP(E146,RésultatsV!$V$10:$Y$248,2,0)),"0",VLOOKUP(E146,RésultatsV!$V$10:$Y$248,2,0))</f>
        <v>0</v>
      </c>
      <c r="R146" s="136">
        <f>IF(ISNA(VLOOKUP(B146,RésultatsV!$AA$10:$AD$248,3,0)),"0",VLOOKUP(B146,RésultatsV!$AA$10:$AD$248,3,0))</f>
        <v>0</v>
      </c>
      <c r="S146" s="136">
        <f>IF(ISNA(VLOOKUP(B146,RésultatsV!$AA$10:$AD$248,4,0)),"0",VLOOKUP(B146,RésultatsV!$AA$10:$AD$248,4,0))</f>
        <v>0</v>
      </c>
      <c r="T146" s="136">
        <f>IF(ISNA(VLOOKUP(B146,RésultatsV!$AA$10:$AD$248,2,0)),"0",VLOOKUP(B146,RésultatsV!$AA$10:$AD$248,2,0))</f>
        <v>0</v>
      </c>
      <c r="U146" s="110">
        <f t="shared" si="32"/>
        <v>0</v>
      </c>
      <c r="V146" s="103">
        <f t="shared" si="33"/>
        <v>0</v>
      </c>
      <c r="W146" s="106">
        <f t="shared" si="36"/>
        <v>0</v>
      </c>
      <c r="X146" s="61">
        <f t="shared" si="39"/>
        <v>0</v>
      </c>
      <c r="Y146" s="52">
        <f t="shared" ref="Y146:Y185" si="40">IF(V146="","",IF(V146&gt;0,V146,0))</f>
        <v>0</v>
      </c>
      <c r="Z146" s="104">
        <f t="shared" si="37"/>
        <v>23.000159459999999</v>
      </c>
      <c r="AA146" s="115">
        <f>IF(B146="","",SMALL(Z$6:Z$185,ROWS(AD$6:AD146)))</f>
        <v>23.000159459999999</v>
      </c>
      <c r="AB146" s="272"/>
      <c r="AC146" s="4">
        <f>IF(OR(B146="",U146=""),"",INDEX($B$6:$B$185,MATCH(AA146,$Z$6:Z$185,0)))</f>
        <v>0</v>
      </c>
      <c r="AD146" s="4">
        <f t="shared" si="34"/>
        <v>0</v>
      </c>
      <c r="AE146" s="4">
        <f t="shared" si="35"/>
        <v>0</v>
      </c>
      <c r="AF146" s="113">
        <f t="shared" si="38"/>
        <v>0</v>
      </c>
      <c r="AG146" s="271">
        <f>IF(AA146="","",IF(AND(AD145=AD146,AE145=AE146,AF145=AF146),AG145,$AG$6+140))</f>
        <v>23</v>
      </c>
      <c r="AH146" s="254"/>
      <c r="AI146" s="92"/>
      <c r="AJ146" s="23">
        <v>140</v>
      </c>
    </row>
    <row r="147" spans="1:36" s="23" customFormat="1" ht="18" customHeight="1">
      <c r="A147" s="282">
        <v>142</v>
      </c>
      <c r="B147" s="288">
        <f>+'Joueurs et TirageV'!G28</f>
        <v>0</v>
      </c>
      <c r="C147" s="136" t="str">
        <f>IF(ISNA(VLOOKUP(B147,RésultatsV!$B$10:$E$248,3,0)),"0",VLOOKUP(B147,RésultatsV!$B$10:$E$248,3,0))</f>
        <v>0</v>
      </c>
      <c r="D147" s="136">
        <f>IF(ISNA(VLOOKUP(B147,RésultatsV!$B$10:$E$248,4,0)),"0",VLOOKUP(B147,RésultatsV!$B$10:$E$248,4,0))</f>
        <v>0</v>
      </c>
      <c r="E147" s="136">
        <f>IF(ISNA(VLOOKUP(B147,RésultatsV!$B$10:$E$248,2,0)),"0",VLOOKUP(B147,RésultatsV!$B$10:$E$248,2,0))</f>
        <v>0</v>
      </c>
      <c r="F147" s="136">
        <f>IF(ISNA(VLOOKUP(B147,RésultatsV!$G$10:$J$248,3,0)),"0",VLOOKUP(B147,RésultatsV!$G$10:$J$248,3,0))</f>
        <v>0</v>
      </c>
      <c r="G147" s="136">
        <f>IF(ISNA(VLOOKUP(B147,RésultatsV!$G$10:$J$248,4,0)),"0",VLOOKUP(B147,RésultatsV!$G$10:$J$248,4,0))</f>
        <v>0</v>
      </c>
      <c r="H147" s="136">
        <f>IF(ISNA(VLOOKUP(B147,RésultatsV!$G$10:$J$248,2,0)),"0",VLOOKUP(B147,RésultatsV!$G$10:$J$248,2,0))</f>
        <v>0</v>
      </c>
      <c r="I147" s="136">
        <f>IF(ISNA(VLOOKUP(B147,RésultatsV!$L$10:$O$248,3,0)),"0",VLOOKUP(B147,RésultatsV!$L$10:$O$248,3,0))</f>
        <v>0</v>
      </c>
      <c r="J147" s="136">
        <f>IF(ISNA(VLOOKUP(B147,RésultatsV!$L$10:$O$248,4,0)),"0",VLOOKUP(B147,RésultatsV!$L$10:$O$248,4,0))</f>
        <v>0</v>
      </c>
      <c r="K147" s="136">
        <f>IF(ISNA(VLOOKUP(B147,RésultatsV!$L$10:$O$248,2,0)),"0",VLOOKUP(B147,RésultatsV!$L$10:$O$248,2,0))</f>
        <v>0</v>
      </c>
      <c r="L147" s="136">
        <f>IF(ISNA(VLOOKUP(B147,RésultatsV!$Q$10:$T$248,3,0)),"0",VLOOKUP(B147,RésultatsV!$Q$10:$T$248,3,0))</f>
        <v>0</v>
      </c>
      <c r="M147" s="136">
        <f>IF(ISNA(VLOOKUP(B147,RésultatsV!$Q$10:$T$248,4,0)),"0",VLOOKUP(B147,RésultatsV!$Q$10:$T$248,4,0))</f>
        <v>0</v>
      </c>
      <c r="N147" s="136">
        <f>IF(ISNA(VLOOKUP(B147,RésultatsV!$Q$10:$T$248,2,0)),"0",VLOOKUP(B147,RésultatsV!$Q$10:$T$248,2,0))</f>
        <v>0</v>
      </c>
      <c r="O147" s="136">
        <f>IF(ISNA(VLOOKUP(B147,RésultatsV!$V$10:$Y$248,3,0)),"0",VLOOKUP(B147,RésultatsV!$V$10:$Y$248,3,0))</f>
        <v>0</v>
      </c>
      <c r="P147" s="136">
        <f>IF(ISNA(VLOOKUP(B147,RésultatsV!$V$10:$Y$248,4,0)),"0",VLOOKUP(B147,RésultatsV!$V$10:$Y$248,4,0))</f>
        <v>0</v>
      </c>
      <c r="Q147" s="136">
        <f>IF(ISNA(VLOOKUP(E147,RésultatsV!$V$10:$Y$248,2,0)),"0",VLOOKUP(E147,RésultatsV!$V$10:$Y$248,2,0))</f>
        <v>0</v>
      </c>
      <c r="R147" s="136">
        <f>IF(ISNA(VLOOKUP(B147,RésultatsV!$AA$10:$AD$248,3,0)),"0",VLOOKUP(B147,RésultatsV!$AA$10:$AD$248,3,0))</f>
        <v>0</v>
      </c>
      <c r="S147" s="136">
        <f>IF(ISNA(VLOOKUP(B147,RésultatsV!$AA$10:$AD$248,4,0)),"0",VLOOKUP(B147,RésultatsV!$AA$10:$AD$248,4,0))</f>
        <v>0</v>
      </c>
      <c r="T147" s="136">
        <f>IF(ISNA(VLOOKUP(B147,RésultatsV!$AA$10:$AD$248,2,0)),"0",VLOOKUP(B147,RésultatsV!$AA$10:$AD$248,2,0))</f>
        <v>0</v>
      </c>
      <c r="U147" s="110">
        <f t="shared" si="32"/>
        <v>0</v>
      </c>
      <c r="V147" s="103">
        <f t="shared" si="33"/>
        <v>0</v>
      </c>
      <c r="W147" s="106">
        <f t="shared" si="36"/>
        <v>0</v>
      </c>
      <c r="X147" s="61">
        <f t="shared" si="39"/>
        <v>0</v>
      </c>
      <c r="Y147" s="52">
        <f t="shared" si="40"/>
        <v>0</v>
      </c>
      <c r="Z147" s="104">
        <f t="shared" si="37"/>
        <v>23.00015947</v>
      </c>
      <c r="AA147" s="115">
        <f>IF(B147="","",SMALL(Z$6:Z$185,ROWS(AD$6:AD147)))</f>
        <v>23.00015947</v>
      </c>
      <c r="AB147" s="272"/>
      <c r="AC147" s="4">
        <f>IF(OR(B147="",U147=""),"",INDEX($B$6:$B$185,MATCH(AA147,$Z$6:Z$185,0)))</f>
        <v>0</v>
      </c>
      <c r="AD147" s="4">
        <f t="shared" si="34"/>
        <v>0</v>
      </c>
      <c r="AE147" s="4">
        <f t="shared" si="35"/>
        <v>0</v>
      </c>
      <c r="AF147" s="113">
        <f t="shared" si="38"/>
        <v>0</v>
      </c>
      <c r="AG147" s="271">
        <f>IF(AA147="","",IF(AND(AD146=AD147,AE146=AE147,AF146=AF147),AG146,$AG$6+141))</f>
        <v>23</v>
      </c>
      <c r="AH147" s="34"/>
      <c r="AI147" s="92"/>
    </row>
    <row r="148" spans="1:36" s="23" customFormat="1" ht="18" customHeight="1">
      <c r="A148" s="282">
        <v>143</v>
      </c>
      <c r="B148" s="288">
        <f>+'Joueurs et TirageV'!G29</f>
        <v>0</v>
      </c>
      <c r="C148" s="136" t="str">
        <f>IF(ISNA(VLOOKUP(B148,RésultatsV!$B$10:$E$248,3,0)),"0",VLOOKUP(B148,RésultatsV!$B$10:$E$248,3,0))</f>
        <v>0</v>
      </c>
      <c r="D148" s="136">
        <f>IF(ISNA(VLOOKUP(B148,RésultatsV!$B$10:$E$248,4,0)),"0",VLOOKUP(B148,RésultatsV!$B$10:$E$248,4,0))</f>
        <v>0</v>
      </c>
      <c r="E148" s="136">
        <f>IF(ISNA(VLOOKUP(B148,RésultatsV!$B$10:$E$248,2,0)),"0",VLOOKUP(B148,RésultatsV!$B$10:$E$248,2,0))</f>
        <v>0</v>
      </c>
      <c r="F148" s="136">
        <f>IF(ISNA(VLOOKUP(B148,RésultatsV!$G$10:$J$248,3,0)),"0",VLOOKUP(B148,RésultatsV!$G$10:$J$248,3,0))</f>
        <v>0</v>
      </c>
      <c r="G148" s="136">
        <f>IF(ISNA(VLOOKUP(B148,RésultatsV!$G$10:$J$248,4,0)),"0",VLOOKUP(B148,RésultatsV!$G$10:$J$248,4,0))</f>
        <v>0</v>
      </c>
      <c r="H148" s="136">
        <f>IF(ISNA(VLOOKUP(B148,RésultatsV!$G$10:$J$248,2,0)),"0",VLOOKUP(B148,RésultatsV!$G$10:$J$248,2,0))</f>
        <v>0</v>
      </c>
      <c r="I148" s="136">
        <f>IF(ISNA(VLOOKUP(B148,RésultatsV!$L$10:$O$248,3,0)),"0",VLOOKUP(B148,RésultatsV!$L$10:$O$248,3,0))</f>
        <v>0</v>
      </c>
      <c r="J148" s="136">
        <f>IF(ISNA(VLOOKUP(B148,RésultatsV!$L$10:$O$248,4,0)),"0",VLOOKUP(B148,RésultatsV!$L$10:$O$248,4,0))</f>
        <v>0</v>
      </c>
      <c r="K148" s="136">
        <f>IF(ISNA(VLOOKUP(B148,RésultatsV!$L$10:$O$248,2,0)),"0",VLOOKUP(B148,RésultatsV!$L$10:$O$248,2,0))</f>
        <v>0</v>
      </c>
      <c r="L148" s="136">
        <f>IF(ISNA(VLOOKUP(B148,RésultatsV!$Q$10:$T$248,3,0)),"0",VLOOKUP(B148,RésultatsV!$Q$10:$T$248,3,0))</f>
        <v>0</v>
      </c>
      <c r="M148" s="136">
        <f>IF(ISNA(VLOOKUP(B148,RésultatsV!$Q$10:$T$248,4,0)),"0",VLOOKUP(B148,RésultatsV!$Q$10:$T$248,4,0))</f>
        <v>0</v>
      </c>
      <c r="N148" s="136">
        <f>IF(ISNA(VLOOKUP(B148,RésultatsV!$Q$10:$T$248,2,0)),"0",VLOOKUP(B148,RésultatsV!$Q$10:$T$248,2,0))</f>
        <v>0</v>
      </c>
      <c r="O148" s="136">
        <f>IF(ISNA(VLOOKUP(B148,RésultatsV!$V$10:$Y$248,3,0)),"0",VLOOKUP(B148,RésultatsV!$V$10:$Y$248,3,0))</f>
        <v>0</v>
      </c>
      <c r="P148" s="136">
        <f>IF(ISNA(VLOOKUP(B148,RésultatsV!$V$10:$Y$248,4,0)),"0",VLOOKUP(B148,RésultatsV!$V$10:$Y$248,4,0))</f>
        <v>0</v>
      </c>
      <c r="Q148" s="136">
        <f>IF(ISNA(VLOOKUP(E148,RésultatsV!$V$10:$Y$248,2,0)),"0",VLOOKUP(E148,RésultatsV!$V$10:$Y$248,2,0))</f>
        <v>0</v>
      </c>
      <c r="R148" s="136">
        <f>IF(ISNA(VLOOKUP(B148,RésultatsV!$AA$10:$AD$248,3,0)),"0",VLOOKUP(B148,RésultatsV!$AA$10:$AD$248,3,0))</f>
        <v>0</v>
      </c>
      <c r="S148" s="136">
        <f>IF(ISNA(VLOOKUP(B148,RésultatsV!$AA$10:$AD$248,4,0)),"0",VLOOKUP(B148,RésultatsV!$AA$10:$AD$248,4,0))</f>
        <v>0</v>
      </c>
      <c r="T148" s="136">
        <f>IF(ISNA(VLOOKUP(B148,RésultatsV!$AA$10:$AD$248,2,0)),"0",VLOOKUP(B148,RésultatsV!$AA$10:$AD$248,2,0))</f>
        <v>0</v>
      </c>
      <c r="U148" s="110">
        <f t="shared" si="32"/>
        <v>0</v>
      </c>
      <c r="V148" s="103">
        <f t="shared" si="33"/>
        <v>0</v>
      </c>
      <c r="W148" s="106">
        <f t="shared" si="36"/>
        <v>0</v>
      </c>
      <c r="X148" s="61">
        <f t="shared" si="39"/>
        <v>0</v>
      </c>
      <c r="Y148" s="52">
        <f t="shared" si="40"/>
        <v>0</v>
      </c>
      <c r="Z148" s="104">
        <f t="shared" si="37"/>
        <v>23.000159480000001</v>
      </c>
      <c r="AA148" s="115">
        <f>IF(B148="","",SMALL(Z$6:Z$185,ROWS(AD$6:AD148)))</f>
        <v>23.000159480000001</v>
      </c>
      <c r="AB148" s="272"/>
      <c r="AC148" s="4">
        <f>IF(OR(B148="",U148=""),"",INDEX($B$6:$B$185,MATCH(AA148,$Z$6:Z$185,0)))</f>
        <v>0</v>
      </c>
      <c r="AD148" s="4">
        <f t="shared" si="34"/>
        <v>0</v>
      </c>
      <c r="AE148" s="4">
        <f t="shared" si="35"/>
        <v>0</v>
      </c>
      <c r="AF148" s="113">
        <f t="shared" si="38"/>
        <v>0</v>
      </c>
      <c r="AG148" s="271">
        <f>IF(AA148="","",IF(AND(AD147=AD148,AE147=AE148,AF147=AF148),AG147,$AG$6+142))</f>
        <v>23</v>
      </c>
      <c r="AH148" s="34"/>
      <c r="AI148" s="92"/>
    </row>
    <row r="149" spans="1:36" s="23" customFormat="1" ht="18" customHeight="1">
      <c r="A149" s="282">
        <v>144</v>
      </c>
      <c r="B149" s="288">
        <f>+'Joueurs et TirageV'!G30</f>
        <v>0</v>
      </c>
      <c r="C149" s="136" t="str">
        <f>IF(ISNA(VLOOKUP(B149,RésultatsV!$B$10:$E$248,3,0)),"0",VLOOKUP(B149,RésultatsV!$B$10:$E$248,3,0))</f>
        <v>0</v>
      </c>
      <c r="D149" s="136">
        <f>IF(ISNA(VLOOKUP(B149,RésultatsV!$B$10:$E$248,4,0)),"0",VLOOKUP(B149,RésultatsV!$B$10:$E$248,4,0))</f>
        <v>0</v>
      </c>
      <c r="E149" s="136">
        <f>IF(ISNA(VLOOKUP(B149,RésultatsV!$B$10:$E$248,2,0)),"0",VLOOKUP(B149,RésultatsV!$B$10:$E$248,2,0))</f>
        <v>0</v>
      </c>
      <c r="F149" s="136">
        <f>IF(ISNA(VLOOKUP(B149,RésultatsV!$G$10:$J$248,3,0)),"0",VLOOKUP(B149,RésultatsV!$G$10:$J$248,3,0))</f>
        <v>0</v>
      </c>
      <c r="G149" s="136">
        <f>IF(ISNA(VLOOKUP(B149,RésultatsV!$G$10:$J$248,4,0)),"0",VLOOKUP(B149,RésultatsV!$G$10:$J$248,4,0))</f>
        <v>0</v>
      </c>
      <c r="H149" s="136">
        <f>IF(ISNA(VLOOKUP(B149,RésultatsV!$G$10:$J$248,2,0)),"0",VLOOKUP(B149,RésultatsV!$G$10:$J$248,2,0))</f>
        <v>0</v>
      </c>
      <c r="I149" s="136">
        <f>IF(ISNA(VLOOKUP(B149,RésultatsV!$L$10:$O$248,3,0)),"0",VLOOKUP(B149,RésultatsV!$L$10:$O$248,3,0))</f>
        <v>0</v>
      </c>
      <c r="J149" s="136">
        <f>IF(ISNA(VLOOKUP(B149,RésultatsV!$L$10:$O$248,4,0)),"0",VLOOKUP(B149,RésultatsV!$L$10:$O$248,4,0))</f>
        <v>0</v>
      </c>
      <c r="K149" s="136">
        <f>IF(ISNA(VLOOKUP(B149,RésultatsV!$L$10:$O$248,2,0)),"0",VLOOKUP(B149,RésultatsV!$L$10:$O$248,2,0))</f>
        <v>0</v>
      </c>
      <c r="L149" s="136">
        <f>IF(ISNA(VLOOKUP(B149,RésultatsV!$Q$10:$T$248,3,0)),"0",VLOOKUP(B149,RésultatsV!$Q$10:$T$248,3,0))</f>
        <v>0</v>
      </c>
      <c r="M149" s="136">
        <f>IF(ISNA(VLOOKUP(B149,RésultatsV!$Q$10:$T$248,4,0)),"0",VLOOKUP(B149,RésultatsV!$Q$10:$T$248,4,0))</f>
        <v>0</v>
      </c>
      <c r="N149" s="136">
        <f>IF(ISNA(VLOOKUP(B149,RésultatsV!$Q$10:$T$248,2,0)),"0",VLOOKUP(B149,RésultatsV!$Q$10:$T$248,2,0))</f>
        <v>0</v>
      </c>
      <c r="O149" s="136">
        <f>IF(ISNA(VLOOKUP(B149,RésultatsV!$V$10:$Y$248,3,0)),"0",VLOOKUP(B149,RésultatsV!$V$10:$Y$248,3,0))</f>
        <v>0</v>
      </c>
      <c r="P149" s="136">
        <f>IF(ISNA(VLOOKUP(B149,RésultatsV!$V$10:$Y$248,4,0)),"0",VLOOKUP(B149,RésultatsV!$V$10:$Y$248,4,0))</f>
        <v>0</v>
      </c>
      <c r="Q149" s="136">
        <f>IF(ISNA(VLOOKUP(E149,RésultatsV!$V$10:$Y$248,2,0)),"0",VLOOKUP(E149,RésultatsV!$V$10:$Y$248,2,0))</f>
        <v>0</v>
      </c>
      <c r="R149" s="136">
        <f>IF(ISNA(VLOOKUP(B149,RésultatsV!$AA$10:$AD$248,3,0)),"0",VLOOKUP(B149,RésultatsV!$AA$10:$AD$248,3,0))</f>
        <v>0</v>
      </c>
      <c r="S149" s="136">
        <f>IF(ISNA(VLOOKUP(B149,RésultatsV!$AA$10:$AD$248,4,0)),"0",VLOOKUP(B149,RésultatsV!$AA$10:$AD$248,4,0))</f>
        <v>0</v>
      </c>
      <c r="T149" s="136">
        <f>IF(ISNA(VLOOKUP(B149,RésultatsV!$AA$10:$AD$248,2,0)),"0",VLOOKUP(B149,RésultatsV!$AA$10:$AD$248,2,0))</f>
        <v>0</v>
      </c>
      <c r="U149" s="110">
        <f t="shared" si="32"/>
        <v>0</v>
      </c>
      <c r="V149" s="103">
        <f t="shared" si="33"/>
        <v>0</v>
      </c>
      <c r="W149" s="106">
        <f t="shared" si="36"/>
        <v>0</v>
      </c>
      <c r="X149" s="61">
        <f t="shared" si="39"/>
        <v>0</v>
      </c>
      <c r="Y149" s="52">
        <f t="shared" si="40"/>
        <v>0</v>
      </c>
      <c r="Z149" s="104">
        <f t="shared" si="37"/>
        <v>23.000159489999998</v>
      </c>
      <c r="AA149" s="115">
        <f>IF(B149="","",SMALL(Z$6:Z$185,ROWS(AD$6:AD149)))</f>
        <v>23.000159489999998</v>
      </c>
      <c r="AB149" s="272"/>
      <c r="AC149" s="4">
        <f>IF(OR(B149="",U149=""),"",INDEX($B$6:$B$185,MATCH(AA149,$Z$6:Z$185,0)))</f>
        <v>0</v>
      </c>
      <c r="AD149" s="4">
        <f t="shared" si="34"/>
        <v>0</v>
      </c>
      <c r="AE149" s="4">
        <f t="shared" si="35"/>
        <v>0</v>
      </c>
      <c r="AF149" s="113">
        <f t="shared" si="38"/>
        <v>0</v>
      </c>
      <c r="AG149" s="271">
        <f>IF(AA149="","",IF(AND(AD148=AD149,AE148=AE149,AF148=AF149),AG148,$AG$6+143))</f>
        <v>23</v>
      </c>
      <c r="AH149" s="34"/>
      <c r="AI149" s="92"/>
    </row>
    <row r="150" spans="1:36" s="23" customFormat="1" ht="18" customHeight="1">
      <c r="A150" s="282">
        <v>145</v>
      </c>
      <c r="B150" s="288">
        <f>+'Joueurs et TirageV'!G31</f>
        <v>0</v>
      </c>
      <c r="C150" s="136" t="str">
        <f>IF(ISNA(VLOOKUP(B150,RésultatsV!$B$10:$E$248,3,0)),"0",VLOOKUP(B150,RésultatsV!$B$10:$E$248,3,0))</f>
        <v>0</v>
      </c>
      <c r="D150" s="136">
        <f>IF(ISNA(VLOOKUP(B150,RésultatsV!$B$10:$E$248,4,0)),"0",VLOOKUP(B150,RésultatsV!$B$10:$E$248,4,0))</f>
        <v>0</v>
      </c>
      <c r="E150" s="136">
        <f>IF(ISNA(VLOOKUP(B150,RésultatsV!$B$10:$E$248,2,0)),"0",VLOOKUP(B150,RésultatsV!$B$10:$E$248,2,0))</f>
        <v>0</v>
      </c>
      <c r="F150" s="136">
        <f>IF(ISNA(VLOOKUP(B150,RésultatsV!$G$10:$J$248,3,0)),"0",VLOOKUP(B150,RésultatsV!$G$10:$J$248,3,0))</f>
        <v>0</v>
      </c>
      <c r="G150" s="136">
        <f>IF(ISNA(VLOOKUP(B150,RésultatsV!$G$10:$J$248,4,0)),"0",VLOOKUP(B150,RésultatsV!$G$10:$J$248,4,0))</f>
        <v>0</v>
      </c>
      <c r="H150" s="136">
        <f>IF(ISNA(VLOOKUP(B150,RésultatsV!$G$10:$J$248,2,0)),"0",VLOOKUP(B150,RésultatsV!$G$10:$J$248,2,0))</f>
        <v>0</v>
      </c>
      <c r="I150" s="136">
        <f>IF(ISNA(VLOOKUP(B150,RésultatsV!$L$10:$O$248,3,0)),"0",VLOOKUP(B150,RésultatsV!$L$10:$O$248,3,0))</f>
        <v>0</v>
      </c>
      <c r="J150" s="136">
        <f>IF(ISNA(VLOOKUP(B150,RésultatsV!$L$10:$O$248,4,0)),"0",VLOOKUP(B150,RésultatsV!$L$10:$O$248,4,0))</f>
        <v>0</v>
      </c>
      <c r="K150" s="136">
        <f>IF(ISNA(VLOOKUP(B150,RésultatsV!$L$10:$O$248,2,0)),"0",VLOOKUP(B150,RésultatsV!$L$10:$O$248,2,0))</f>
        <v>0</v>
      </c>
      <c r="L150" s="136">
        <f>IF(ISNA(VLOOKUP(B150,RésultatsV!$Q$10:$T$248,3,0)),"0",VLOOKUP(B150,RésultatsV!$Q$10:$T$248,3,0))</f>
        <v>0</v>
      </c>
      <c r="M150" s="136">
        <f>IF(ISNA(VLOOKUP(B150,RésultatsV!$Q$10:$T$248,4,0)),"0",VLOOKUP(B150,RésultatsV!$Q$10:$T$248,4,0))</f>
        <v>0</v>
      </c>
      <c r="N150" s="136">
        <f>IF(ISNA(VLOOKUP(B150,RésultatsV!$Q$10:$T$248,2,0)),"0",VLOOKUP(B150,RésultatsV!$Q$10:$T$248,2,0))</f>
        <v>0</v>
      </c>
      <c r="O150" s="136">
        <f>IF(ISNA(VLOOKUP(B150,RésultatsV!$V$10:$Y$248,3,0)),"0",VLOOKUP(B150,RésultatsV!$V$10:$Y$248,3,0))</f>
        <v>0</v>
      </c>
      <c r="P150" s="136">
        <f>IF(ISNA(VLOOKUP(B150,RésultatsV!$V$10:$Y$248,4,0)),"0",VLOOKUP(B150,RésultatsV!$V$10:$Y$248,4,0))</f>
        <v>0</v>
      </c>
      <c r="Q150" s="136">
        <f>IF(ISNA(VLOOKUP(E150,RésultatsV!$V$10:$Y$248,2,0)),"0",VLOOKUP(E150,RésultatsV!$V$10:$Y$248,2,0))</f>
        <v>0</v>
      </c>
      <c r="R150" s="136">
        <f>IF(ISNA(VLOOKUP(B150,RésultatsV!$AA$10:$AD$248,3,0)),"0",VLOOKUP(B150,RésultatsV!$AA$10:$AD$248,3,0))</f>
        <v>0</v>
      </c>
      <c r="S150" s="136">
        <f>IF(ISNA(VLOOKUP(B150,RésultatsV!$AA$10:$AD$248,4,0)),"0",VLOOKUP(B150,RésultatsV!$AA$10:$AD$248,4,0))</f>
        <v>0</v>
      </c>
      <c r="T150" s="136">
        <f>IF(ISNA(VLOOKUP(B150,RésultatsV!$AA$10:$AD$248,2,0)),"0",VLOOKUP(B150,RésultatsV!$AA$10:$AD$248,2,0))</f>
        <v>0</v>
      </c>
      <c r="U150" s="110">
        <f t="shared" si="32"/>
        <v>0</v>
      </c>
      <c r="V150" s="103">
        <f t="shared" si="33"/>
        <v>0</v>
      </c>
      <c r="W150" s="106">
        <f t="shared" si="36"/>
        <v>0</v>
      </c>
      <c r="X150" s="61">
        <f t="shared" si="39"/>
        <v>0</v>
      </c>
      <c r="Y150" s="52">
        <f t="shared" si="40"/>
        <v>0</v>
      </c>
      <c r="Z150" s="104">
        <f t="shared" si="37"/>
        <v>23.000159499999999</v>
      </c>
      <c r="AA150" s="115">
        <f>IF(B150="","",SMALL(Z$6:Z$185,ROWS(AD$6:AD150)))</f>
        <v>23.000159499999999</v>
      </c>
      <c r="AB150" s="272"/>
      <c r="AC150" s="4">
        <f>IF(OR(B150="",U150=""),"",INDEX($B$6:$B$185,MATCH(AA150,$Z$6:Z$185,0)))</f>
        <v>0</v>
      </c>
      <c r="AD150" s="4">
        <f t="shared" si="34"/>
        <v>0</v>
      </c>
      <c r="AE150" s="4">
        <f t="shared" si="35"/>
        <v>0</v>
      </c>
      <c r="AF150" s="113">
        <f t="shared" si="38"/>
        <v>0</v>
      </c>
      <c r="AG150" s="271">
        <f>IF(AA150="","",IF(AND(AD149=AD150,AE149=AE150,AF149=AF150),AG149,$AG$6+144))</f>
        <v>23</v>
      </c>
      <c r="AH150" s="34"/>
      <c r="AI150" s="92"/>
    </row>
    <row r="151" spans="1:36" s="23" customFormat="1" ht="18" customHeight="1">
      <c r="A151" s="282">
        <v>146</v>
      </c>
      <c r="B151" s="288">
        <f>+'Joueurs et TirageV'!G32</f>
        <v>0</v>
      </c>
      <c r="C151" s="136" t="str">
        <f>IF(ISNA(VLOOKUP(B151,RésultatsV!$B$10:$E$248,3,0)),"0",VLOOKUP(B151,RésultatsV!$B$10:$E$248,3,0))</f>
        <v>0</v>
      </c>
      <c r="D151" s="136">
        <f>IF(ISNA(VLOOKUP(B151,RésultatsV!$B$10:$E$248,4,0)),"0",VLOOKUP(B151,RésultatsV!$B$10:$E$248,4,0))</f>
        <v>0</v>
      </c>
      <c r="E151" s="136">
        <f>IF(ISNA(VLOOKUP(B151,RésultatsV!$B$10:$E$248,2,0)),"0",VLOOKUP(B151,RésultatsV!$B$10:$E$248,2,0))</f>
        <v>0</v>
      </c>
      <c r="F151" s="136">
        <f>IF(ISNA(VLOOKUP(B151,RésultatsV!$G$10:$J$248,3,0)),"0",VLOOKUP(B151,RésultatsV!$G$10:$J$248,3,0))</f>
        <v>0</v>
      </c>
      <c r="G151" s="136">
        <f>IF(ISNA(VLOOKUP(B151,RésultatsV!$G$10:$J$248,4,0)),"0",VLOOKUP(B151,RésultatsV!$G$10:$J$248,4,0))</f>
        <v>0</v>
      </c>
      <c r="H151" s="136">
        <f>IF(ISNA(VLOOKUP(B151,RésultatsV!$G$10:$J$248,2,0)),"0",VLOOKUP(B151,RésultatsV!$G$10:$J$248,2,0))</f>
        <v>0</v>
      </c>
      <c r="I151" s="136">
        <f>IF(ISNA(VLOOKUP(B151,RésultatsV!$L$10:$O$248,3,0)),"0",VLOOKUP(B151,RésultatsV!$L$10:$O$248,3,0))</f>
        <v>0</v>
      </c>
      <c r="J151" s="136">
        <f>IF(ISNA(VLOOKUP(B151,RésultatsV!$L$10:$O$248,4,0)),"0",VLOOKUP(B151,RésultatsV!$L$10:$O$248,4,0))</f>
        <v>0</v>
      </c>
      <c r="K151" s="136">
        <f>IF(ISNA(VLOOKUP(B151,RésultatsV!$L$10:$O$248,2,0)),"0",VLOOKUP(B151,RésultatsV!$L$10:$O$248,2,0))</f>
        <v>0</v>
      </c>
      <c r="L151" s="136">
        <f>IF(ISNA(VLOOKUP(B151,RésultatsV!$Q$10:$T$248,3,0)),"0",VLOOKUP(B151,RésultatsV!$Q$10:$T$248,3,0))</f>
        <v>0</v>
      </c>
      <c r="M151" s="136">
        <f>IF(ISNA(VLOOKUP(B151,RésultatsV!$Q$10:$T$248,4,0)),"0",VLOOKUP(B151,RésultatsV!$Q$10:$T$248,4,0))</f>
        <v>0</v>
      </c>
      <c r="N151" s="136">
        <f>IF(ISNA(VLOOKUP(B151,RésultatsV!$Q$10:$T$248,2,0)),"0",VLOOKUP(B151,RésultatsV!$Q$10:$T$248,2,0))</f>
        <v>0</v>
      </c>
      <c r="O151" s="136">
        <f>IF(ISNA(VLOOKUP(B151,RésultatsV!$V$10:$Y$248,3,0)),"0",VLOOKUP(B151,RésultatsV!$V$10:$Y$248,3,0))</f>
        <v>0</v>
      </c>
      <c r="P151" s="136">
        <f>IF(ISNA(VLOOKUP(B151,RésultatsV!$V$10:$Y$248,4,0)),"0",VLOOKUP(B151,RésultatsV!$V$10:$Y$248,4,0))</f>
        <v>0</v>
      </c>
      <c r="Q151" s="136">
        <f>IF(ISNA(VLOOKUP(E151,RésultatsV!$V$10:$Y$248,2,0)),"0",VLOOKUP(E151,RésultatsV!$V$10:$Y$248,2,0))</f>
        <v>0</v>
      </c>
      <c r="R151" s="136">
        <f>IF(ISNA(VLOOKUP(B151,RésultatsV!$AA$10:$AD$248,3,0)),"0",VLOOKUP(B151,RésultatsV!$AA$10:$AD$248,3,0))</f>
        <v>0</v>
      </c>
      <c r="S151" s="136">
        <f>IF(ISNA(VLOOKUP(B151,RésultatsV!$AA$10:$AD$248,4,0)),"0",VLOOKUP(B151,RésultatsV!$AA$10:$AD$248,4,0))</f>
        <v>0</v>
      </c>
      <c r="T151" s="136">
        <f>IF(ISNA(VLOOKUP(B151,RésultatsV!$AA$10:$AD$248,2,0)),"0",VLOOKUP(B151,RésultatsV!$AA$10:$AD$248,2,0))</f>
        <v>0</v>
      </c>
      <c r="U151" s="110">
        <f t="shared" si="32"/>
        <v>0</v>
      </c>
      <c r="V151" s="103">
        <f t="shared" si="33"/>
        <v>0</v>
      </c>
      <c r="W151" s="106">
        <f t="shared" si="36"/>
        <v>0</v>
      </c>
      <c r="X151" s="61">
        <f t="shared" si="39"/>
        <v>0</v>
      </c>
      <c r="Y151" s="52">
        <f t="shared" si="40"/>
        <v>0</v>
      </c>
      <c r="Z151" s="104">
        <f t="shared" si="37"/>
        <v>23.00015951</v>
      </c>
      <c r="AA151" s="115">
        <f>IF(B151="","",SMALL(Z$6:Z$185,ROWS(AD$6:AD151)))</f>
        <v>23.00015951</v>
      </c>
      <c r="AB151" s="272"/>
      <c r="AC151" s="4">
        <f>IF(OR(B151="",U151=""),"",INDEX($B$6:$B$185,MATCH(AA151,$Z$6:Z$185,0)))</f>
        <v>0</v>
      </c>
      <c r="AD151" s="4">
        <f t="shared" si="34"/>
        <v>0</v>
      </c>
      <c r="AE151" s="4">
        <f t="shared" si="35"/>
        <v>0</v>
      </c>
      <c r="AF151" s="113">
        <f t="shared" si="38"/>
        <v>0</v>
      </c>
      <c r="AG151" s="271">
        <f>IF(AA151="","",IF(AND(AD150=AD151,AE150=AE151,AF150=AF151),AG150,$AG$6+145))</f>
        <v>23</v>
      </c>
      <c r="AH151" s="34"/>
      <c r="AI151" s="92"/>
    </row>
    <row r="152" spans="1:36" s="23" customFormat="1" ht="18" customHeight="1">
      <c r="A152" s="282">
        <v>147</v>
      </c>
      <c r="B152" s="288">
        <f>+'Joueurs et TirageV'!G33</f>
        <v>0</v>
      </c>
      <c r="C152" s="136" t="str">
        <f>IF(ISNA(VLOOKUP(B152,RésultatsV!$B$10:$E$248,3,0)),"0",VLOOKUP(B152,RésultatsV!$B$10:$E$248,3,0))</f>
        <v>0</v>
      </c>
      <c r="D152" s="136">
        <f>IF(ISNA(VLOOKUP(B152,RésultatsV!$B$10:$E$248,4,0)),"0",VLOOKUP(B152,RésultatsV!$B$10:$E$248,4,0))</f>
        <v>0</v>
      </c>
      <c r="E152" s="136">
        <f>IF(ISNA(VLOOKUP(B152,RésultatsV!$B$10:$E$248,2,0)),"0",VLOOKUP(B152,RésultatsV!$B$10:$E$248,2,0))</f>
        <v>0</v>
      </c>
      <c r="F152" s="136">
        <f>IF(ISNA(VLOOKUP(B152,RésultatsV!$G$10:$J$248,3,0)),"0",VLOOKUP(B152,RésultatsV!$G$10:$J$248,3,0))</f>
        <v>0</v>
      </c>
      <c r="G152" s="136">
        <f>IF(ISNA(VLOOKUP(B152,RésultatsV!$G$10:$J$248,4,0)),"0",VLOOKUP(B152,RésultatsV!$G$10:$J$248,4,0))</f>
        <v>0</v>
      </c>
      <c r="H152" s="136">
        <f>IF(ISNA(VLOOKUP(B152,RésultatsV!$G$10:$J$248,2,0)),"0",VLOOKUP(B152,RésultatsV!$G$10:$J$248,2,0))</f>
        <v>0</v>
      </c>
      <c r="I152" s="136">
        <f>IF(ISNA(VLOOKUP(B152,RésultatsV!$L$10:$O$248,3,0)),"0",VLOOKUP(B152,RésultatsV!$L$10:$O$248,3,0))</f>
        <v>0</v>
      </c>
      <c r="J152" s="136">
        <f>IF(ISNA(VLOOKUP(B152,RésultatsV!$L$10:$O$248,4,0)),"0",VLOOKUP(B152,RésultatsV!$L$10:$O$248,4,0))</f>
        <v>0</v>
      </c>
      <c r="K152" s="136">
        <f>IF(ISNA(VLOOKUP(B152,RésultatsV!$L$10:$O$248,2,0)),"0",VLOOKUP(B152,RésultatsV!$L$10:$O$248,2,0))</f>
        <v>0</v>
      </c>
      <c r="L152" s="136">
        <f>IF(ISNA(VLOOKUP(B152,RésultatsV!$Q$10:$T$248,3,0)),"0",VLOOKUP(B152,RésultatsV!$Q$10:$T$248,3,0))</f>
        <v>0</v>
      </c>
      <c r="M152" s="136">
        <f>IF(ISNA(VLOOKUP(B152,RésultatsV!$Q$10:$T$248,4,0)),"0",VLOOKUP(B152,RésultatsV!$Q$10:$T$248,4,0))</f>
        <v>0</v>
      </c>
      <c r="N152" s="136">
        <f>IF(ISNA(VLOOKUP(B152,RésultatsV!$Q$10:$T$248,2,0)),"0",VLOOKUP(B152,RésultatsV!$Q$10:$T$248,2,0))</f>
        <v>0</v>
      </c>
      <c r="O152" s="136">
        <f>IF(ISNA(VLOOKUP(B152,RésultatsV!$V$10:$Y$248,3,0)),"0",VLOOKUP(B152,RésultatsV!$V$10:$Y$248,3,0))</f>
        <v>0</v>
      </c>
      <c r="P152" s="136">
        <f>IF(ISNA(VLOOKUP(B152,RésultatsV!$V$10:$Y$248,4,0)),"0",VLOOKUP(B152,RésultatsV!$V$10:$Y$248,4,0))</f>
        <v>0</v>
      </c>
      <c r="Q152" s="136">
        <f>IF(ISNA(VLOOKUP(E152,RésultatsV!$V$10:$Y$248,2,0)),"0",VLOOKUP(E152,RésultatsV!$V$10:$Y$248,2,0))</f>
        <v>0</v>
      </c>
      <c r="R152" s="136">
        <f>IF(ISNA(VLOOKUP(B152,RésultatsV!$AA$10:$AD$248,3,0)),"0",VLOOKUP(B152,RésultatsV!$AA$10:$AD$248,3,0))</f>
        <v>0</v>
      </c>
      <c r="S152" s="136">
        <f>IF(ISNA(VLOOKUP(B152,RésultatsV!$AA$10:$AD$248,4,0)),"0",VLOOKUP(B152,RésultatsV!$AA$10:$AD$248,4,0))</f>
        <v>0</v>
      </c>
      <c r="T152" s="136">
        <f>IF(ISNA(VLOOKUP(B152,RésultatsV!$AA$10:$AD$248,2,0)),"0",VLOOKUP(B152,RésultatsV!$AA$10:$AD$248,2,0))</f>
        <v>0</v>
      </c>
      <c r="U152" s="110">
        <f t="shared" si="32"/>
        <v>0</v>
      </c>
      <c r="V152" s="103">
        <f t="shared" si="33"/>
        <v>0</v>
      </c>
      <c r="W152" s="106">
        <f t="shared" si="36"/>
        <v>0</v>
      </c>
      <c r="X152" s="61">
        <f t="shared" si="39"/>
        <v>0</v>
      </c>
      <c r="Y152" s="52">
        <f t="shared" si="40"/>
        <v>0</v>
      </c>
      <c r="Z152" s="104">
        <f t="shared" si="37"/>
        <v>23.00015952</v>
      </c>
      <c r="AA152" s="115">
        <f>IF(B152="","",SMALL(Z$6:Z$185,ROWS(AD$6:AD152)))</f>
        <v>23.00015952</v>
      </c>
      <c r="AB152" s="272"/>
      <c r="AC152" s="4">
        <f>IF(OR(B152="",U152=""),"",INDEX($B$6:$B$185,MATCH(AA152,$Z$6:Z$185,0)))</f>
        <v>0</v>
      </c>
      <c r="AD152" s="4">
        <f t="shared" si="34"/>
        <v>0</v>
      </c>
      <c r="AE152" s="4">
        <f t="shared" si="35"/>
        <v>0</v>
      </c>
      <c r="AF152" s="113">
        <f t="shared" si="38"/>
        <v>0</v>
      </c>
      <c r="AG152" s="271">
        <f>IF(AA152="","",IF(AND(AD151=AD152,AE151=AE152,AF151=AF152),AG151,$AG$6+146))</f>
        <v>23</v>
      </c>
      <c r="AH152" s="34"/>
      <c r="AI152" s="92"/>
    </row>
    <row r="153" spans="1:36" s="23" customFormat="1" ht="18" customHeight="1">
      <c r="A153" s="282">
        <v>148</v>
      </c>
      <c r="B153" s="288">
        <f>+'Joueurs et TirageV'!G34</f>
        <v>0</v>
      </c>
      <c r="C153" s="136" t="str">
        <f>IF(ISNA(VLOOKUP(B153,RésultatsV!$B$10:$E$248,3,0)),"0",VLOOKUP(B153,RésultatsV!$B$10:$E$248,3,0))</f>
        <v>0</v>
      </c>
      <c r="D153" s="136">
        <f>IF(ISNA(VLOOKUP(B153,RésultatsV!$B$10:$E$248,4,0)),"0",VLOOKUP(B153,RésultatsV!$B$10:$E$248,4,0))</f>
        <v>0</v>
      </c>
      <c r="E153" s="136">
        <f>IF(ISNA(VLOOKUP(B153,RésultatsV!$B$10:$E$248,2,0)),"0",VLOOKUP(B153,RésultatsV!$B$10:$E$248,2,0))</f>
        <v>0</v>
      </c>
      <c r="F153" s="136">
        <f>IF(ISNA(VLOOKUP(B153,RésultatsV!$G$10:$J$248,3,0)),"0",VLOOKUP(B153,RésultatsV!$G$10:$J$248,3,0))</f>
        <v>0</v>
      </c>
      <c r="G153" s="136">
        <f>IF(ISNA(VLOOKUP(B153,RésultatsV!$G$10:$J$248,4,0)),"0",VLOOKUP(B153,RésultatsV!$G$10:$J$248,4,0))</f>
        <v>0</v>
      </c>
      <c r="H153" s="136">
        <f>IF(ISNA(VLOOKUP(B153,RésultatsV!$G$10:$J$248,2,0)),"0",VLOOKUP(B153,RésultatsV!$G$10:$J$248,2,0))</f>
        <v>0</v>
      </c>
      <c r="I153" s="136">
        <f>IF(ISNA(VLOOKUP(B153,RésultatsV!$L$10:$O$248,3,0)),"0",VLOOKUP(B153,RésultatsV!$L$10:$O$248,3,0))</f>
        <v>0</v>
      </c>
      <c r="J153" s="136">
        <f>IF(ISNA(VLOOKUP(B153,RésultatsV!$L$10:$O$248,4,0)),"0",VLOOKUP(B153,RésultatsV!$L$10:$O$248,4,0))</f>
        <v>0</v>
      </c>
      <c r="K153" s="136">
        <f>IF(ISNA(VLOOKUP(B153,RésultatsV!$L$10:$O$248,2,0)),"0",VLOOKUP(B153,RésultatsV!$L$10:$O$248,2,0))</f>
        <v>0</v>
      </c>
      <c r="L153" s="136">
        <f>IF(ISNA(VLOOKUP(B153,RésultatsV!$Q$10:$T$248,3,0)),"0",VLOOKUP(B153,RésultatsV!$Q$10:$T$248,3,0))</f>
        <v>0</v>
      </c>
      <c r="M153" s="136">
        <f>IF(ISNA(VLOOKUP(B153,RésultatsV!$Q$10:$T$248,4,0)),"0",VLOOKUP(B153,RésultatsV!$Q$10:$T$248,4,0))</f>
        <v>0</v>
      </c>
      <c r="N153" s="136">
        <f>IF(ISNA(VLOOKUP(B153,RésultatsV!$Q$10:$T$248,2,0)),"0",VLOOKUP(B153,RésultatsV!$Q$10:$T$248,2,0))</f>
        <v>0</v>
      </c>
      <c r="O153" s="136">
        <f>IF(ISNA(VLOOKUP(B153,RésultatsV!$V$10:$Y$248,3,0)),"0",VLOOKUP(B153,RésultatsV!$V$10:$Y$248,3,0))</f>
        <v>0</v>
      </c>
      <c r="P153" s="136">
        <f>IF(ISNA(VLOOKUP(B153,RésultatsV!$V$10:$Y$248,4,0)),"0",VLOOKUP(B153,RésultatsV!$V$10:$Y$248,4,0))</f>
        <v>0</v>
      </c>
      <c r="Q153" s="136">
        <f>IF(ISNA(VLOOKUP(E153,RésultatsV!$V$10:$Y$248,2,0)),"0",VLOOKUP(E153,RésultatsV!$V$10:$Y$248,2,0))</f>
        <v>0</v>
      </c>
      <c r="R153" s="136">
        <f>IF(ISNA(VLOOKUP(B153,RésultatsV!$AA$10:$AD$248,3,0)),"0",VLOOKUP(B153,RésultatsV!$AA$10:$AD$248,3,0))</f>
        <v>0</v>
      </c>
      <c r="S153" s="136">
        <f>IF(ISNA(VLOOKUP(B153,RésultatsV!$AA$10:$AD$248,4,0)),"0",VLOOKUP(B153,RésultatsV!$AA$10:$AD$248,4,0))</f>
        <v>0</v>
      </c>
      <c r="T153" s="136">
        <f>IF(ISNA(VLOOKUP(B153,RésultatsV!$AA$10:$AD$248,2,0)),"0",VLOOKUP(B153,RésultatsV!$AA$10:$AD$248,2,0))</f>
        <v>0</v>
      </c>
      <c r="U153" s="110">
        <f t="shared" si="32"/>
        <v>0</v>
      </c>
      <c r="V153" s="103">
        <f t="shared" si="33"/>
        <v>0</v>
      </c>
      <c r="W153" s="106">
        <f t="shared" si="36"/>
        <v>0</v>
      </c>
      <c r="X153" s="61">
        <f t="shared" si="39"/>
        <v>0</v>
      </c>
      <c r="Y153" s="52">
        <f t="shared" si="40"/>
        <v>0</v>
      </c>
      <c r="Z153" s="104">
        <f t="shared" si="37"/>
        <v>23.000159529999998</v>
      </c>
      <c r="AA153" s="115">
        <f>IF(B153="","",SMALL(Z$6:Z$185,ROWS(AD$6:AD153)))</f>
        <v>23.000159529999998</v>
      </c>
      <c r="AB153" s="272"/>
      <c r="AC153" s="4">
        <f>IF(OR(B153="",U153=""),"",INDEX($B$6:$B$185,MATCH(AA153,$Z$6:Z$185,0)))</f>
        <v>0</v>
      </c>
      <c r="AD153" s="4">
        <f t="shared" si="34"/>
        <v>0</v>
      </c>
      <c r="AE153" s="4">
        <f t="shared" si="35"/>
        <v>0</v>
      </c>
      <c r="AF153" s="113">
        <f t="shared" si="38"/>
        <v>0</v>
      </c>
      <c r="AG153" s="271">
        <f>IF(AA153="","",IF(AND(AD152=AD153,AE152=AE153,AF152=AF153),AG152,$AG$6+147))</f>
        <v>23</v>
      </c>
      <c r="AH153" s="34"/>
      <c r="AI153" s="92"/>
    </row>
    <row r="154" spans="1:36" s="23" customFormat="1" ht="18" customHeight="1">
      <c r="A154" s="282">
        <v>149</v>
      </c>
      <c r="B154" s="288">
        <f>+'Joueurs et TirageV'!G35</f>
        <v>0</v>
      </c>
      <c r="C154" s="136" t="str">
        <f>IF(ISNA(VLOOKUP(B154,RésultatsV!$B$10:$E$248,3,0)),"0",VLOOKUP(B154,RésultatsV!$B$10:$E$248,3,0))</f>
        <v>0</v>
      </c>
      <c r="D154" s="136">
        <f>IF(ISNA(VLOOKUP(B154,RésultatsV!$B$10:$E$248,4,0)),"0",VLOOKUP(B154,RésultatsV!$B$10:$E$248,4,0))</f>
        <v>0</v>
      </c>
      <c r="E154" s="136">
        <f>IF(ISNA(VLOOKUP(B154,RésultatsV!$B$10:$E$248,2,0)),"0",VLOOKUP(B154,RésultatsV!$B$10:$E$248,2,0))</f>
        <v>0</v>
      </c>
      <c r="F154" s="136">
        <f>IF(ISNA(VLOOKUP(B154,RésultatsV!$G$10:$J$248,3,0)),"0",VLOOKUP(B154,RésultatsV!$G$10:$J$248,3,0))</f>
        <v>0</v>
      </c>
      <c r="G154" s="136">
        <f>IF(ISNA(VLOOKUP(B154,RésultatsV!$G$10:$J$248,4,0)),"0",VLOOKUP(B154,RésultatsV!$G$10:$J$248,4,0))</f>
        <v>0</v>
      </c>
      <c r="H154" s="136">
        <f>IF(ISNA(VLOOKUP(B154,RésultatsV!$G$10:$J$248,2,0)),"0",VLOOKUP(B154,RésultatsV!$G$10:$J$248,2,0))</f>
        <v>0</v>
      </c>
      <c r="I154" s="136">
        <f>IF(ISNA(VLOOKUP(B154,RésultatsV!$L$10:$O$248,3,0)),"0",VLOOKUP(B154,RésultatsV!$L$10:$O$248,3,0))</f>
        <v>0</v>
      </c>
      <c r="J154" s="136">
        <f>IF(ISNA(VLOOKUP(B154,RésultatsV!$L$10:$O$248,4,0)),"0",VLOOKUP(B154,RésultatsV!$L$10:$O$248,4,0))</f>
        <v>0</v>
      </c>
      <c r="K154" s="136">
        <f>IF(ISNA(VLOOKUP(B154,RésultatsV!$L$10:$O$248,2,0)),"0",VLOOKUP(B154,RésultatsV!$L$10:$O$248,2,0))</f>
        <v>0</v>
      </c>
      <c r="L154" s="136">
        <f>IF(ISNA(VLOOKUP(B154,RésultatsV!$Q$10:$T$248,3,0)),"0",VLOOKUP(B154,RésultatsV!$Q$10:$T$248,3,0))</f>
        <v>0</v>
      </c>
      <c r="M154" s="136">
        <f>IF(ISNA(VLOOKUP(B154,RésultatsV!$Q$10:$T$248,4,0)),"0",VLOOKUP(B154,RésultatsV!$Q$10:$T$248,4,0))</f>
        <v>0</v>
      </c>
      <c r="N154" s="136">
        <f>IF(ISNA(VLOOKUP(B154,RésultatsV!$Q$10:$T$248,2,0)),"0",VLOOKUP(B154,RésultatsV!$Q$10:$T$248,2,0))</f>
        <v>0</v>
      </c>
      <c r="O154" s="136">
        <f>IF(ISNA(VLOOKUP(B154,RésultatsV!$V$10:$Y$248,3,0)),"0",VLOOKUP(B154,RésultatsV!$V$10:$Y$248,3,0))</f>
        <v>0</v>
      </c>
      <c r="P154" s="136">
        <f>IF(ISNA(VLOOKUP(B154,RésultatsV!$V$10:$Y$248,4,0)),"0",VLOOKUP(B154,RésultatsV!$V$10:$Y$248,4,0))</f>
        <v>0</v>
      </c>
      <c r="Q154" s="136">
        <f>IF(ISNA(VLOOKUP(E154,RésultatsV!$V$10:$Y$248,2,0)),"0",VLOOKUP(E154,RésultatsV!$V$10:$Y$248,2,0))</f>
        <v>0</v>
      </c>
      <c r="R154" s="136">
        <f>IF(ISNA(VLOOKUP(B154,RésultatsV!$AA$10:$AD$248,3,0)),"0",VLOOKUP(B154,RésultatsV!$AA$10:$AD$248,3,0))</f>
        <v>0</v>
      </c>
      <c r="S154" s="136">
        <f>IF(ISNA(VLOOKUP(B154,RésultatsV!$AA$10:$AD$248,4,0)),"0",VLOOKUP(B154,RésultatsV!$AA$10:$AD$248,4,0))</f>
        <v>0</v>
      </c>
      <c r="T154" s="136">
        <f>IF(ISNA(VLOOKUP(B154,RésultatsV!$AA$10:$AD$248,2,0)),"0",VLOOKUP(B154,RésultatsV!$AA$10:$AD$248,2,0))</f>
        <v>0</v>
      </c>
      <c r="U154" s="110">
        <f t="shared" si="32"/>
        <v>0</v>
      </c>
      <c r="V154" s="103">
        <f t="shared" si="33"/>
        <v>0</v>
      </c>
      <c r="W154" s="106">
        <f t="shared" si="36"/>
        <v>0</v>
      </c>
      <c r="X154" s="61">
        <f t="shared" si="39"/>
        <v>0</v>
      </c>
      <c r="Y154" s="52">
        <f t="shared" si="40"/>
        <v>0</v>
      </c>
      <c r="Z154" s="104">
        <f t="shared" si="37"/>
        <v>23.000159539999999</v>
      </c>
      <c r="AA154" s="115">
        <f>IF(B154="","",SMALL(Z$6:Z$185,ROWS(AD$6:AD154)))</f>
        <v>23.000159539999999</v>
      </c>
      <c r="AB154" s="272"/>
      <c r="AC154" s="4">
        <f>IF(OR(B154="",U154=""),"",INDEX($B$6:$B$185,MATCH(AA154,$Z$6:Z$185,0)))</f>
        <v>0</v>
      </c>
      <c r="AD154" s="4">
        <f t="shared" si="34"/>
        <v>0</v>
      </c>
      <c r="AE154" s="4">
        <f t="shared" si="35"/>
        <v>0</v>
      </c>
      <c r="AF154" s="113">
        <f t="shared" si="38"/>
        <v>0</v>
      </c>
      <c r="AG154" s="271">
        <f>IF(AA154="","",IF(AND(AD153=AD154,AE153=AE154,AF153=AF154),AG153,$AG$6+148))</f>
        <v>23</v>
      </c>
      <c r="AH154" s="34"/>
      <c r="AI154" s="92"/>
    </row>
    <row r="155" spans="1:36" s="23" customFormat="1" ht="18" customHeight="1">
      <c r="A155" s="282">
        <v>150</v>
      </c>
      <c r="B155" s="288">
        <f>+'Joueurs et TirageV'!G36</f>
        <v>0</v>
      </c>
      <c r="C155" s="136" t="str">
        <f>IF(ISNA(VLOOKUP(B155,RésultatsV!$B$10:$E$248,3,0)),"0",VLOOKUP(B155,RésultatsV!$B$10:$E$248,3,0))</f>
        <v>0</v>
      </c>
      <c r="D155" s="136">
        <f>IF(ISNA(VLOOKUP(B155,RésultatsV!$B$10:$E$248,4,0)),"0",VLOOKUP(B155,RésultatsV!$B$10:$E$248,4,0))</f>
        <v>0</v>
      </c>
      <c r="E155" s="136">
        <f>IF(ISNA(VLOOKUP(B155,RésultatsV!$B$10:$E$248,2,0)),"0",VLOOKUP(B155,RésultatsV!$B$10:$E$248,2,0))</f>
        <v>0</v>
      </c>
      <c r="F155" s="136">
        <f>IF(ISNA(VLOOKUP(B155,RésultatsV!$G$10:$J$248,3,0)),"0",VLOOKUP(B155,RésultatsV!$G$10:$J$248,3,0))</f>
        <v>0</v>
      </c>
      <c r="G155" s="136">
        <f>IF(ISNA(VLOOKUP(B155,RésultatsV!$G$10:$J$248,4,0)),"0",VLOOKUP(B155,RésultatsV!$G$10:$J$248,4,0))</f>
        <v>0</v>
      </c>
      <c r="H155" s="136">
        <f>IF(ISNA(VLOOKUP(B155,RésultatsV!$G$10:$J$248,2,0)),"0",VLOOKUP(B155,RésultatsV!$G$10:$J$248,2,0))</f>
        <v>0</v>
      </c>
      <c r="I155" s="136">
        <f>IF(ISNA(VLOOKUP(B155,RésultatsV!$L$10:$O$248,3,0)),"0",VLOOKUP(B155,RésultatsV!$L$10:$O$248,3,0))</f>
        <v>0</v>
      </c>
      <c r="J155" s="136">
        <f>IF(ISNA(VLOOKUP(B155,RésultatsV!$L$10:$O$248,4,0)),"0",VLOOKUP(B155,RésultatsV!$L$10:$O$248,4,0))</f>
        <v>0</v>
      </c>
      <c r="K155" s="136">
        <f>IF(ISNA(VLOOKUP(B155,RésultatsV!$L$10:$O$248,2,0)),"0",VLOOKUP(B155,RésultatsV!$L$10:$O$248,2,0))</f>
        <v>0</v>
      </c>
      <c r="L155" s="136">
        <f>IF(ISNA(VLOOKUP(B155,RésultatsV!$Q$10:$T$248,3,0)),"0",VLOOKUP(B155,RésultatsV!$Q$10:$T$248,3,0))</f>
        <v>0</v>
      </c>
      <c r="M155" s="136">
        <f>IF(ISNA(VLOOKUP(B155,RésultatsV!$Q$10:$T$248,4,0)),"0",VLOOKUP(B155,RésultatsV!$Q$10:$T$248,4,0))</f>
        <v>0</v>
      </c>
      <c r="N155" s="136">
        <f>IF(ISNA(VLOOKUP(B155,RésultatsV!$Q$10:$T$248,2,0)),"0",VLOOKUP(B155,RésultatsV!$Q$10:$T$248,2,0))</f>
        <v>0</v>
      </c>
      <c r="O155" s="136">
        <f>IF(ISNA(VLOOKUP(B155,RésultatsV!$V$10:$Y$248,3,0)),"0",VLOOKUP(B155,RésultatsV!$V$10:$Y$248,3,0))</f>
        <v>0</v>
      </c>
      <c r="P155" s="136">
        <f>IF(ISNA(VLOOKUP(B155,RésultatsV!$V$10:$Y$248,4,0)),"0",VLOOKUP(B155,RésultatsV!$V$10:$Y$248,4,0))</f>
        <v>0</v>
      </c>
      <c r="Q155" s="136">
        <f>IF(ISNA(VLOOKUP(E155,RésultatsV!$V$10:$Y$248,2,0)),"0",VLOOKUP(E155,RésultatsV!$V$10:$Y$248,2,0))</f>
        <v>0</v>
      </c>
      <c r="R155" s="136">
        <f>IF(ISNA(VLOOKUP(B155,RésultatsV!$AA$10:$AD$248,3,0)),"0",VLOOKUP(B155,RésultatsV!$AA$10:$AD$248,3,0))</f>
        <v>0</v>
      </c>
      <c r="S155" s="136">
        <f>IF(ISNA(VLOOKUP(B155,RésultatsV!$AA$10:$AD$248,4,0)),"0",VLOOKUP(B155,RésultatsV!$AA$10:$AD$248,4,0))</f>
        <v>0</v>
      </c>
      <c r="T155" s="136">
        <f>IF(ISNA(VLOOKUP(B155,RésultatsV!$AA$10:$AD$248,2,0)),"0",VLOOKUP(B155,RésultatsV!$AA$10:$AD$248,2,0))</f>
        <v>0</v>
      </c>
      <c r="U155" s="110">
        <f t="shared" si="32"/>
        <v>0</v>
      </c>
      <c r="V155" s="103">
        <f t="shared" si="33"/>
        <v>0</v>
      </c>
      <c r="W155" s="106">
        <f t="shared" si="36"/>
        <v>0</v>
      </c>
      <c r="X155" s="61">
        <f t="shared" si="39"/>
        <v>0</v>
      </c>
      <c r="Y155" s="52">
        <f t="shared" si="40"/>
        <v>0</v>
      </c>
      <c r="Z155" s="104">
        <f t="shared" si="37"/>
        <v>23.000159549999999</v>
      </c>
      <c r="AA155" s="115">
        <f>IF(B155="","",SMALL(Z$6:Z$185,ROWS(AD$6:AD155)))</f>
        <v>23.000159549999999</v>
      </c>
      <c r="AB155" s="272"/>
      <c r="AC155" s="4">
        <f>IF(OR(B155="",U155=""),"",INDEX($B$6:$B$185,MATCH(AA155,$Z$6:Z$185,0)))</f>
        <v>0</v>
      </c>
      <c r="AD155" s="4">
        <f t="shared" si="34"/>
        <v>0</v>
      </c>
      <c r="AE155" s="4">
        <f t="shared" si="35"/>
        <v>0</v>
      </c>
      <c r="AF155" s="113">
        <f t="shared" si="38"/>
        <v>0</v>
      </c>
      <c r="AG155" s="271">
        <f>IF(AA155="","",IF(AND(AD154=AD155,AE154=AE155,AF154=AF155),AG154,$AG$6+149))</f>
        <v>23</v>
      </c>
      <c r="AH155" s="34"/>
      <c r="AI155" s="92"/>
    </row>
    <row r="156" spans="1:36" s="23" customFormat="1" ht="18" customHeight="1">
      <c r="A156" s="282">
        <v>151</v>
      </c>
      <c r="B156" s="288">
        <f>+'Joueurs et TirageV'!G37</f>
        <v>0</v>
      </c>
      <c r="C156" s="136" t="str">
        <f>IF(ISNA(VLOOKUP(B156,RésultatsV!$B$10:$E$248,3,0)),"0",VLOOKUP(B156,RésultatsV!$B$10:$E$248,3,0))</f>
        <v>0</v>
      </c>
      <c r="D156" s="136">
        <f>IF(ISNA(VLOOKUP(B156,RésultatsV!$B$10:$E$248,4,0)),"0",VLOOKUP(B156,RésultatsV!$B$10:$E$248,4,0))</f>
        <v>0</v>
      </c>
      <c r="E156" s="136">
        <f>IF(ISNA(VLOOKUP(B156,RésultatsV!$B$10:$E$248,2,0)),"0",VLOOKUP(B156,RésultatsV!$B$10:$E$248,2,0))</f>
        <v>0</v>
      </c>
      <c r="F156" s="136">
        <f>IF(ISNA(VLOOKUP(B156,RésultatsV!$G$10:$J$248,3,0)),"0",VLOOKUP(B156,RésultatsV!$G$10:$J$248,3,0))</f>
        <v>0</v>
      </c>
      <c r="G156" s="136">
        <f>IF(ISNA(VLOOKUP(B156,RésultatsV!$G$10:$J$248,4,0)),"0",VLOOKUP(B156,RésultatsV!$G$10:$J$248,4,0))</f>
        <v>0</v>
      </c>
      <c r="H156" s="136">
        <f>IF(ISNA(VLOOKUP(B156,RésultatsV!$G$10:$J$248,2,0)),"0",VLOOKUP(B156,RésultatsV!$G$10:$J$248,2,0))</f>
        <v>0</v>
      </c>
      <c r="I156" s="136">
        <f>IF(ISNA(VLOOKUP(B156,RésultatsV!$L$10:$O$248,3,0)),"0",VLOOKUP(B156,RésultatsV!$L$10:$O$248,3,0))</f>
        <v>0</v>
      </c>
      <c r="J156" s="136">
        <f>IF(ISNA(VLOOKUP(B156,RésultatsV!$L$10:$O$248,4,0)),"0",VLOOKUP(B156,RésultatsV!$L$10:$O$248,4,0))</f>
        <v>0</v>
      </c>
      <c r="K156" s="136">
        <f>IF(ISNA(VLOOKUP(B156,RésultatsV!$L$10:$O$248,2,0)),"0",VLOOKUP(B156,RésultatsV!$L$10:$O$248,2,0))</f>
        <v>0</v>
      </c>
      <c r="L156" s="136">
        <f>IF(ISNA(VLOOKUP(B156,RésultatsV!$Q$10:$T$248,3,0)),"0",VLOOKUP(B156,RésultatsV!$Q$10:$T$248,3,0))</f>
        <v>0</v>
      </c>
      <c r="M156" s="136">
        <f>IF(ISNA(VLOOKUP(B156,RésultatsV!$Q$10:$T$248,4,0)),"0",VLOOKUP(B156,RésultatsV!$Q$10:$T$248,4,0))</f>
        <v>0</v>
      </c>
      <c r="N156" s="136">
        <f>IF(ISNA(VLOOKUP(B156,RésultatsV!$Q$10:$T$248,2,0)),"0",VLOOKUP(B156,RésultatsV!$Q$10:$T$248,2,0))</f>
        <v>0</v>
      </c>
      <c r="O156" s="136">
        <f>IF(ISNA(VLOOKUP(B156,RésultatsV!$V$10:$Y$248,3,0)),"0",VLOOKUP(B156,RésultatsV!$V$10:$Y$248,3,0))</f>
        <v>0</v>
      </c>
      <c r="P156" s="136">
        <f>IF(ISNA(VLOOKUP(B156,RésultatsV!$V$10:$Y$248,4,0)),"0",VLOOKUP(B156,RésultatsV!$V$10:$Y$248,4,0))</f>
        <v>0</v>
      </c>
      <c r="Q156" s="136">
        <f>IF(ISNA(VLOOKUP(E156,RésultatsV!$V$10:$Y$248,2,0)),"0",VLOOKUP(E156,RésultatsV!$V$10:$Y$248,2,0))</f>
        <v>0</v>
      </c>
      <c r="R156" s="136">
        <f>IF(ISNA(VLOOKUP(B156,RésultatsV!$AA$10:$AD$248,3,0)),"0",VLOOKUP(B156,RésultatsV!$AA$10:$AD$248,3,0))</f>
        <v>0</v>
      </c>
      <c r="S156" s="136">
        <f>IF(ISNA(VLOOKUP(B156,RésultatsV!$AA$10:$AD$248,4,0)),"0",VLOOKUP(B156,RésultatsV!$AA$10:$AD$248,4,0))</f>
        <v>0</v>
      </c>
      <c r="T156" s="136">
        <f>IF(ISNA(VLOOKUP(B156,RésultatsV!$AA$10:$AD$248,2,0)),"0",VLOOKUP(B156,RésultatsV!$AA$10:$AD$248,2,0))</f>
        <v>0</v>
      </c>
      <c r="U156" s="110">
        <f t="shared" si="32"/>
        <v>0</v>
      </c>
      <c r="V156" s="103">
        <f t="shared" si="33"/>
        <v>0</v>
      </c>
      <c r="W156" s="106">
        <f t="shared" si="36"/>
        <v>0</v>
      </c>
      <c r="X156" s="61">
        <f t="shared" si="39"/>
        <v>0</v>
      </c>
      <c r="Y156" s="52">
        <f t="shared" si="40"/>
        <v>0</v>
      </c>
      <c r="Z156" s="104">
        <f t="shared" si="37"/>
        <v>23.00015956</v>
      </c>
      <c r="AA156" s="115">
        <f>IF(B156="","",SMALL(Z$6:Z$185,ROWS(AD$6:AD156)))</f>
        <v>23.00015956</v>
      </c>
      <c r="AB156" s="272"/>
      <c r="AC156" s="4">
        <f>IF(OR(B156="",U156=""),"",INDEX($B$6:$B$185,MATCH(AA156,$Z$6:Z$185,0)))</f>
        <v>0</v>
      </c>
      <c r="AD156" s="4">
        <f t="shared" si="34"/>
        <v>0</v>
      </c>
      <c r="AE156" s="4">
        <f t="shared" si="35"/>
        <v>0</v>
      </c>
      <c r="AF156" s="113">
        <f t="shared" si="38"/>
        <v>0</v>
      </c>
      <c r="AG156" s="271">
        <f>IF(AA156="","",IF(AND(AD155=AD156,AE155=AE156,AF155=AF156),AG155,$AG$6+150))</f>
        <v>23</v>
      </c>
      <c r="AH156" s="254"/>
      <c r="AI156" s="92"/>
      <c r="AJ156" s="23">
        <v>150</v>
      </c>
    </row>
    <row r="157" spans="1:36" s="23" customFormat="1" ht="18" customHeight="1">
      <c r="A157" s="282">
        <v>152</v>
      </c>
      <c r="B157" s="288">
        <f>+'Joueurs et TirageV'!G38</f>
        <v>0</v>
      </c>
      <c r="C157" s="136" t="str">
        <f>IF(ISNA(VLOOKUP(B157,RésultatsV!$B$10:$E$248,3,0)),"0",VLOOKUP(B157,RésultatsV!$B$10:$E$248,3,0))</f>
        <v>0</v>
      </c>
      <c r="D157" s="136">
        <f>IF(ISNA(VLOOKUP(B157,RésultatsV!$B$10:$E$248,4,0)),"0",VLOOKUP(B157,RésultatsV!$B$10:$E$248,4,0))</f>
        <v>0</v>
      </c>
      <c r="E157" s="136">
        <f>IF(ISNA(VLOOKUP(B157,RésultatsV!$B$10:$E$248,2,0)),"0",VLOOKUP(B157,RésultatsV!$B$10:$E$248,2,0))</f>
        <v>0</v>
      </c>
      <c r="F157" s="136">
        <f>IF(ISNA(VLOOKUP(B157,RésultatsV!$G$10:$J$248,3,0)),"0",VLOOKUP(B157,RésultatsV!$G$10:$J$248,3,0))</f>
        <v>0</v>
      </c>
      <c r="G157" s="136">
        <f>IF(ISNA(VLOOKUP(B157,RésultatsV!$G$10:$J$248,4,0)),"0",VLOOKUP(B157,RésultatsV!$G$10:$J$248,4,0))</f>
        <v>0</v>
      </c>
      <c r="H157" s="136">
        <f>IF(ISNA(VLOOKUP(B157,RésultatsV!$G$10:$J$248,2,0)),"0",VLOOKUP(B157,RésultatsV!$G$10:$J$248,2,0))</f>
        <v>0</v>
      </c>
      <c r="I157" s="136">
        <f>IF(ISNA(VLOOKUP(B157,RésultatsV!$L$10:$O$248,3,0)),"0",VLOOKUP(B157,RésultatsV!$L$10:$O$248,3,0))</f>
        <v>0</v>
      </c>
      <c r="J157" s="136">
        <f>IF(ISNA(VLOOKUP(B157,RésultatsV!$L$10:$O$248,4,0)),"0",VLOOKUP(B157,RésultatsV!$L$10:$O$248,4,0))</f>
        <v>0</v>
      </c>
      <c r="K157" s="136">
        <f>IF(ISNA(VLOOKUP(B157,RésultatsV!$L$10:$O$248,2,0)),"0",VLOOKUP(B157,RésultatsV!$L$10:$O$248,2,0))</f>
        <v>0</v>
      </c>
      <c r="L157" s="136">
        <f>IF(ISNA(VLOOKUP(B157,RésultatsV!$Q$10:$T$248,3,0)),"0",VLOOKUP(B157,RésultatsV!$Q$10:$T$248,3,0))</f>
        <v>0</v>
      </c>
      <c r="M157" s="136">
        <f>IF(ISNA(VLOOKUP(B157,RésultatsV!$Q$10:$T$248,4,0)),"0",VLOOKUP(B157,RésultatsV!$Q$10:$T$248,4,0))</f>
        <v>0</v>
      </c>
      <c r="N157" s="136">
        <f>IF(ISNA(VLOOKUP(B157,RésultatsV!$Q$10:$T$248,2,0)),"0",VLOOKUP(B157,RésultatsV!$Q$10:$T$248,2,0))</f>
        <v>0</v>
      </c>
      <c r="O157" s="136">
        <f>IF(ISNA(VLOOKUP(B157,RésultatsV!$V$10:$Y$248,3,0)),"0",VLOOKUP(B157,RésultatsV!$V$10:$Y$248,3,0))</f>
        <v>0</v>
      </c>
      <c r="P157" s="136">
        <f>IF(ISNA(VLOOKUP(B157,RésultatsV!$V$10:$Y$248,4,0)),"0",VLOOKUP(B157,RésultatsV!$V$10:$Y$248,4,0))</f>
        <v>0</v>
      </c>
      <c r="Q157" s="136">
        <f>IF(ISNA(VLOOKUP(E157,RésultatsV!$V$10:$Y$248,2,0)),"0",VLOOKUP(E157,RésultatsV!$V$10:$Y$248,2,0))</f>
        <v>0</v>
      </c>
      <c r="R157" s="136">
        <f>IF(ISNA(VLOOKUP(B157,RésultatsV!$AA$10:$AD$248,3,0)),"0",VLOOKUP(B157,RésultatsV!$AA$10:$AD$248,3,0))</f>
        <v>0</v>
      </c>
      <c r="S157" s="136">
        <f>IF(ISNA(VLOOKUP(B157,RésultatsV!$AA$10:$AD$248,4,0)),"0",VLOOKUP(B157,RésultatsV!$AA$10:$AD$248,4,0))</f>
        <v>0</v>
      </c>
      <c r="T157" s="136">
        <f>IF(ISNA(VLOOKUP(B157,RésultatsV!$AA$10:$AD$248,2,0)),"0",VLOOKUP(B157,RésultatsV!$AA$10:$AD$248,2,0))</f>
        <v>0</v>
      </c>
      <c r="U157" s="110">
        <f t="shared" si="32"/>
        <v>0</v>
      </c>
      <c r="V157" s="103">
        <f t="shared" si="33"/>
        <v>0</v>
      </c>
      <c r="W157" s="106">
        <f t="shared" si="36"/>
        <v>0</v>
      </c>
      <c r="X157" s="61">
        <f t="shared" si="39"/>
        <v>0</v>
      </c>
      <c r="Y157" s="52">
        <f t="shared" si="40"/>
        <v>0</v>
      </c>
      <c r="Z157" s="104">
        <f t="shared" si="37"/>
        <v>23.000159569999997</v>
      </c>
      <c r="AA157" s="115">
        <f>IF(B157="","",SMALL(Z$6:Z$185,ROWS(AD$6:AD157)))</f>
        <v>23.000159569999997</v>
      </c>
      <c r="AB157" s="272"/>
      <c r="AC157" s="4">
        <f>IF(OR(B157="",U157=""),"",INDEX($B$6:$B$185,MATCH(AA157,$Z$6:Z$185,0)))</f>
        <v>0</v>
      </c>
      <c r="AD157" s="4">
        <f t="shared" si="34"/>
        <v>0</v>
      </c>
      <c r="AE157" s="4">
        <f t="shared" si="35"/>
        <v>0</v>
      </c>
      <c r="AF157" s="113">
        <f t="shared" si="38"/>
        <v>0</v>
      </c>
      <c r="AG157" s="271">
        <f>IF(AA157="","",IF(AND(AD156=AD157,AE156=AE157,AF156=AF157),AG156,$AG$6+151))</f>
        <v>23</v>
      </c>
      <c r="AH157" s="34"/>
      <c r="AI157" s="92"/>
    </row>
    <row r="158" spans="1:36" s="23" customFormat="1" ht="18" customHeight="1">
      <c r="A158" s="282">
        <v>153</v>
      </c>
      <c r="B158" s="288">
        <f>+'Joueurs et TirageV'!G39</f>
        <v>0</v>
      </c>
      <c r="C158" s="136" t="str">
        <f>IF(ISNA(VLOOKUP(B158,RésultatsV!$B$10:$E$248,3,0)),"0",VLOOKUP(B158,RésultatsV!$B$10:$E$248,3,0))</f>
        <v>0</v>
      </c>
      <c r="D158" s="136">
        <f>IF(ISNA(VLOOKUP(B158,RésultatsV!$B$10:$E$248,4,0)),"0",VLOOKUP(B158,RésultatsV!$B$10:$E$248,4,0))</f>
        <v>0</v>
      </c>
      <c r="E158" s="136">
        <f>IF(ISNA(VLOOKUP(B158,RésultatsV!$B$10:$E$248,2,0)),"0",VLOOKUP(B158,RésultatsV!$B$10:$E$248,2,0))</f>
        <v>0</v>
      </c>
      <c r="F158" s="136">
        <f>IF(ISNA(VLOOKUP(B158,RésultatsV!$G$10:$J$248,3,0)),"0",VLOOKUP(B158,RésultatsV!$G$10:$J$248,3,0))</f>
        <v>0</v>
      </c>
      <c r="G158" s="136">
        <f>IF(ISNA(VLOOKUP(B158,RésultatsV!$G$10:$J$248,4,0)),"0",VLOOKUP(B158,RésultatsV!$G$10:$J$248,4,0))</f>
        <v>0</v>
      </c>
      <c r="H158" s="136">
        <f>IF(ISNA(VLOOKUP(B158,RésultatsV!$G$10:$J$248,2,0)),"0",VLOOKUP(B158,RésultatsV!$G$10:$J$248,2,0))</f>
        <v>0</v>
      </c>
      <c r="I158" s="136">
        <f>IF(ISNA(VLOOKUP(B158,RésultatsV!$L$10:$O$248,3,0)),"0",VLOOKUP(B158,RésultatsV!$L$10:$O$248,3,0))</f>
        <v>0</v>
      </c>
      <c r="J158" s="136">
        <f>IF(ISNA(VLOOKUP(B158,RésultatsV!$L$10:$O$248,4,0)),"0",VLOOKUP(B158,RésultatsV!$L$10:$O$248,4,0))</f>
        <v>0</v>
      </c>
      <c r="K158" s="136">
        <f>IF(ISNA(VLOOKUP(B158,RésultatsV!$L$10:$O$248,2,0)),"0",VLOOKUP(B158,RésultatsV!$L$10:$O$248,2,0))</f>
        <v>0</v>
      </c>
      <c r="L158" s="136">
        <f>IF(ISNA(VLOOKUP(B158,RésultatsV!$Q$10:$T$248,3,0)),"0",VLOOKUP(B158,RésultatsV!$Q$10:$T$248,3,0))</f>
        <v>0</v>
      </c>
      <c r="M158" s="136">
        <f>IF(ISNA(VLOOKUP(B158,RésultatsV!$Q$10:$T$248,4,0)),"0",VLOOKUP(B158,RésultatsV!$Q$10:$T$248,4,0))</f>
        <v>0</v>
      </c>
      <c r="N158" s="136">
        <f>IF(ISNA(VLOOKUP(B158,RésultatsV!$Q$10:$T$248,2,0)),"0",VLOOKUP(B158,RésultatsV!$Q$10:$T$248,2,0))</f>
        <v>0</v>
      </c>
      <c r="O158" s="136">
        <f>IF(ISNA(VLOOKUP(B158,RésultatsV!$V$10:$Y$248,3,0)),"0",VLOOKUP(B158,RésultatsV!$V$10:$Y$248,3,0))</f>
        <v>0</v>
      </c>
      <c r="P158" s="136">
        <f>IF(ISNA(VLOOKUP(B158,RésultatsV!$V$10:$Y$248,4,0)),"0",VLOOKUP(B158,RésultatsV!$V$10:$Y$248,4,0))</f>
        <v>0</v>
      </c>
      <c r="Q158" s="136">
        <f>IF(ISNA(VLOOKUP(E158,RésultatsV!$V$10:$Y$248,2,0)),"0",VLOOKUP(E158,RésultatsV!$V$10:$Y$248,2,0))</f>
        <v>0</v>
      </c>
      <c r="R158" s="136">
        <f>IF(ISNA(VLOOKUP(B158,RésultatsV!$AA$10:$AD$248,3,0)),"0",VLOOKUP(B158,RésultatsV!$AA$10:$AD$248,3,0))</f>
        <v>0</v>
      </c>
      <c r="S158" s="136">
        <f>IF(ISNA(VLOOKUP(B158,RésultatsV!$AA$10:$AD$248,4,0)),"0",VLOOKUP(B158,RésultatsV!$AA$10:$AD$248,4,0))</f>
        <v>0</v>
      </c>
      <c r="T158" s="136">
        <f>IF(ISNA(VLOOKUP(B158,RésultatsV!$AA$10:$AD$248,2,0)),"0",VLOOKUP(B158,RésultatsV!$AA$10:$AD$248,2,0))</f>
        <v>0</v>
      </c>
      <c r="U158" s="110">
        <f t="shared" si="32"/>
        <v>0</v>
      </c>
      <c r="V158" s="103">
        <f t="shared" si="33"/>
        <v>0</v>
      </c>
      <c r="W158" s="106">
        <f t="shared" si="36"/>
        <v>0</v>
      </c>
      <c r="X158" s="61">
        <f t="shared" si="39"/>
        <v>0</v>
      </c>
      <c r="Y158" s="52">
        <f t="shared" si="40"/>
        <v>0</v>
      </c>
      <c r="Z158" s="104">
        <f t="shared" si="37"/>
        <v>23.000159579999998</v>
      </c>
      <c r="AA158" s="115">
        <f>IF(B158="","",SMALL(Z$6:Z$185,ROWS(AD$6:AD158)))</f>
        <v>23.000159579999998</v>
      </c>
      <c r="AB158" s="272"/>
      <c r="AC158" s="4">
        <f>IF(OR(B158="",U158=""),"",INDEX($B$6:$B$185,MATCH(AA158,$Z$6:Z$185,0)))</f>
        <v>0</v>
      </c>
      <c r="AD158" s="4">
        <f t="shared" si="34"/>
        <v>0</v>
      </c>
      <c r="AE158" s="4">
        <f t="shared" si="35"/>
        <v>0</v>
      </c>
      <c r="AF158" s="113">
        <f t="shared" si="38"/>
        <v>0</v>
      </c>
      <c r="AG158" s="271">
        <f>IF(AA158="","",IF(AND(AD157=AD158,AE157=AE158,AF157=AF158),AG157,$AG$6+152))</f>
        <v>23</v>
      </c>
      <c r="AH158" s="34"/>
      <c r="AI158" s="92"/>
    </row>
    <row r="159" spans="1:36" s="23" customFormat="1" ht="18" customHeight="1">
      <c r="A159" s="282">
        <v>154</v>
      </c>
      <c r="B159" s="288">
        <f>+'Joueurs et TirageV'!G40</f>
        <v>0</v>
      </c>
      <c r="C159" s="136" t="str">
        <f>IF(ISNA(VLOOKUP(B159,RésultatsV!$B$10:$E$248,3,0)),"0",VLOOKUP(B159,RésultatsV!$B$10:$E$248,3,0))</f>
        <v>0</v>
      </c>
      <c r="D159" s="136">
        <f>IF(ISNA(VLOOKUP(B159,RésultatsV!$B$10:$E$248,4,0)),"0",VLOOKUP(B159,RésultatsV!$B$10:$E$248,4,0))</f>
        <v>0</v>
      </c>
      <c r="E159" s="136">
        <f>IF(ISNA(VLOOKUP(B159,RésultatsV!$B$10:$E$248,2,0)),"0",VLOOKUP(B159,RésultatsV!$B$10:$E$248,2,0))</f>
        <v>0</v>
      </c>
      <c r="F159" s="136">
        <f>IF(ISNA(VLOOKUP(B159,RésultatsV!$G$10:$J$248,3,0)),"0",VLOOKUP(B159,RésultatsV!$G$10:$J$248,3,0))</f>
        <v>0</v>
      </c>
      <c r="G159" s="136">
        <f>IF(ISNA(VLOOKUP(B159,RésultatsV!$G$10:$J$248,4,0)),"0",VLOOKUP(B159,RésultatsV!$G$10:$J$248,4,0))</f>
        <v>0</v>
      </c>
      <c r="H159" s="136">
        <f>IF(ISNA(VLOOKUP(B159,RésultatsV!$G$10:$J$248,2,0)),"0",VLOOKUP(B159,RésultatsV!$G$10:$J$248,2,0))</f>
        <v>0</v>
      </c>
      <c r="I159" s="136">
        <f>IF(ISNA(VLOOKUP(B159,RésultatsV!$L$10:$O$248,3,0)),"0",VLOOKUP(B159,RésultatsV!$L$10:$O$248,3,0))</f>
        <v>0</v>
      </c>
      <c r="J159" s="136">
        <f>IF(ISNA(VLOOKUP(B159,RésultatsV!$L$10:$O$248,4,0)),"0",VLOOKUP(B159,RésultatsV!$L$10:$O$248,4,0))</f>
        <v>0</v>
      </c>
      <c r="K159" s="136">
        <f>IF(ISNA(VLOOKUP(B159,RésultatsV!$L$10:$O$248,2,0)),"0",VLOOKUP(B159,RésultatsV!$L$10:$O$248,2,0))</f>
        <v>0</v>
      </c>
      <c r="L159" s="136">
        <f>IF(ISNA(VLOOKUP(B159,RésultatsV!$Q$10:$T$248,3,0)),"0",VLOOKUP(B159,RésultatsV!$Q$10:$T$248,3,0))</f>
        <v>0</v>
      </c>
      <c r="M159" s="136">
        <f>IF(ISNA(VLOOKUP(B159,RésultatsV!$Q$10:$T$248,4,0)),"0",VLOOKUP(B159,RésultatsV!$Q$10:$T$248,4,0))</f>
        <v>0</v>
      </c>
      <c r="N159" s="136">
        <f>IF(ISNA(VLOOKUP(B159,RésultatsV!$Q$10:$T$248,2,0)),"0",VLOOKUP(B159,RésultatsV!$Q$10:$T$248,2,0))</f>
        <v>0</v>
      </c>
      <c r="O159" s="136">
        <f>IF(ISNA(VLOOKUP(B159,RésultatsV!$V$10:$Y$248,3,0)),"0",VLOOKUP(B159,RésultatsV!$V$10:$Y$248,3,0))</f>
        <v>0</v>
      </c>
      <c r="P159" s="136">
        <f>IF(ISNA(VLOOKUP(B159,RésultatsV!$V$10:$Y$248,4,0)),"0",VLOOKUP(B159,RésultatsV!$V$10:$Y$248,4,0))</f>
        <v>0</v>
      </c>
      <c r="Q159" s="136">
        <f>IF(ISNA(VLOOKUP(E159,RésultatsV!$V$10:$Y$248,2,0)),"0",VLOOKUP(E159,RésultatsV!$V$10:$Y$248,2,0))</f>
        <v>0</v>
      </c>
      <c r="R159" s="136">
        <f>IF(ISNA(VLOOKUP(B159,RésultatsV!$AA$10:$AD$248,3,0)),"0",VLOOKUP(B159,RésultatsV!$AA$10:$AD$248,3,0))</f>
        <v>0</v>
      </c>
      <c r="S159" s="136">
        <f>IF(ISNA(VLOOKUP(B159,RésultatsV!$AA$10:$AD$248,4,0)),"0",VLOOKUP(B159,RésultatsV!$AA$10:$AD$248,4,0))</f>
        <v>0</v>
      </c>
      <c r="T159" s="136">
        <f>IF(ISNA(VLOOKUP(B159,RésultatsV!$AA$10:$AD$248,2,0)),"0",VLOOKUP(B159,RésultatsV!$AA$10:$AD$248,2,0))</f>
        <v>0</v>
      </c>
      <c r="U159" s="110">
        <f t="shared" si="32"/>
        <v>0</v>
      </c>
      <c r="V159" s="103">
        <f t="shared" si="33"/>
        <v>0</v>
      </c>
      <c r="W159" s="106">
        <f t="shared" si="36"/>
        <v>0</v>
      </c>
      <c r="X159" s="61">
        <f t="shared" si="39"/>
        <v>0</v>
      </c>
      <c r="Y159" s="52">
        <f t="shared" si="40"/>
        <v>0</v>
      </c>
      <c r="Z159" s="104">
        <f t="shared" si="37"/>
        <v>23.000159589999999</v>
      </c>
      <c r="AA159" s="115">
        <f>IF(B159="","",SMALL(Z$6:Z$185,ROWS(AD$6:AD159)))</f>
        <v>23.000159589999999</v>
      </c>
      <c r="AB159" s="272"/>
      <c r="AC159" s="4">
        <f>IF(OR(B159="",U159=""),"",INDEX($B$6:$B$185,MATCH(AA159,$Z$6:Z$185,0)))</f>
        <v>0</v>
      </c>
      <c r="AD159" s="4">
        <f t="shared" si="34"/>
        <v>0</v>
      </c>
      <c r="AE159" s="4">
        <f t="shared" si="35"/>
        <v>0</v>
      </c>
      <c r="AF159" s="113">
        <f t="shared" si="38"/>
        <v>0</v>
      </c>
      <c r="AG159" s="271">
        <f>IF(AA159="","",IF(AND(AD158=AD159,AE158=AE159,AF158=AF159),AG158,$AG$6+153))</f>
        <v>23</v>
      </c>
      <c r="AH159" s="34"/>
      <c r="AI159" s="92"/>
    </row>
    <row r="160" spans="1:36" s="23" customFormat="1" ht="18" customHeight="1">
      <c r="A160" s="282">
        <v>155</v>
      </c>
      <c r="B160" s="288">
        <f>+'Joueurs et TirageV'!G41</f>
        <v>0</v>
      </c>
      <c r="C160" s="136" t="str">
        <f>IF(ISNA(VLOOKUP(B160,RésultatsV!$B$10:$E$248,3,0)),"0",VLOOKUP(B160,RésultatsV!$B$10:$E$248,3,0))</f>
        <v>0</v>
      </c>
      <c r="D160" s="136">
        <f>IF(ISNA(VLOOKUP(B160,RésultatsV!$B$10:$E$248,4,0)),"0",VLOOKUP(B160,RésultatsV!$B$10:$E$248,4,0))</f>
        <v>0</v>
      </c>
      <c r="E160" s="136">
        <f>IF(ISNA(VLOOKUP(B160,RésultatsV!$B$10:$E$248,2,0)),"0",VLOOKUP(B160,RésultatsV!$B$10:$E$248,2,0))</f>
        <v>0</v>
      </c>
      <c r="F160" s="136">
        <f>IF(ISNA(VLOOKUP(B160,RésultatsV!$G$10:$J$248,3,0)),"0",VLOOKUP(B160,RésultatsV!$G$10:$J$248,3,0))</f>
        <v>0</v>
      </c>
      <c r="G160" s="136">
        <f>IF(ISNA(VLOOKUP(B160,RésultatsV!$G$10:$J$248,4,0)),"0",VLOOKUP(B160,RésultatsV!$G$10:$J$248,4,0))</f>
        <v>0</v>
      </c>
      <c r="H160" s="136">
        <f>IF(ISNA(VLOOKUP(B160,RésultatsV!$G$10:$J$248,2,0)),"0",VLOOKUP(B160,RésultatsV!$G$10:$J$248,2,0))</f>
        <v>0</v>
      </c>
      <c r="I160" s="136">
        <f>IF(ISNA(VLOOKUP(B160,RésultatsV!$L$10:$O$248,3,0)),"0",VLOOKUP(B160,RésultatsV!$L$10:$O$248,3,0))</f>
        <v>0</v>
      </c>
      <c r="J160" s="136">
        <f>IF(ISNA(VLOOKUP(B160,RésultatsV!$L$10:$O$248,4,0)),"0",VLOOKUP(B160,RésultatsV!$L$10:$O$248,4,0))</f>
        <v>0</v>
      </c>
      <c r="K160" s="136">
        <f>IF(ISNA(VLOOKUP(B160,RésultatsV!$L$10:$O$248,2,0)),"0",VLOOKUP(B160,RésultatsV!$L$10:$O$248,2,0))</f>
        <v>0</v>
      </c>
      <c r="L160" s="136">
        <f>IF(ISNA(VLOOKUP(B160,RésultatsV!$Q$10:$T$248,3,0)),"0",VLOOKUP(B160,RésultatsV!$Q$10:$T$248,3,0))</f>
        <v>0</v>
      </c>
      <c r="M160" s="136">
        <f>IF(ISNA(VLOOKUP(B160,RésultatsV!$Q$10:$T$248,4,0)),"0",VLOOKUP(B160,RésultatsV!$Q$10:$T$248,4,0))</f>
        <v>0</v>
      </c>
      <c r="N160" s="136">
        <f>IF(ISNA(VLOOKUP(B160,RésultatsV!$Q$10:$T$248,2,0)),"0",VLOOKUP(B160,RésultatsV!$Q$10:$T$248,2,0))</f>
        <v>0</v>
      </c>
      <c r="O160" s="136">
        <f>IF(ISNA(VLOOKUP(B160,RésultatsV!$V$10:$Y$248,3,0)),"0",VLOOKUP(B160,RésultatsV!$V$10:$Y$248,3,0))</f>
        <v>0</v>
      </c>
      <c r="P160" s="136">
        <f>IF(ISNA(VLOOKUP(B160,RésultatsV!$V$10:$Y$248,4,0)),"0",VLOOKUP(B160,RésultatsV!$V$10:$Y$248,4,0))</f>
        <v>0</v>
      </c>
      <c r="Q160" s="136">
        <f>IF(ISNA(VLOOKUP(E160,RésultatsV!$V$10:$Y$248,2,0)),"0",VLOOKUP(E160,RésultatsV!$V$10:$Y$248,2,0))</f>
        <v>0</v>
      </c>
      <c r="R160" s="136">
        <f>IF(ISNA(VLOOKUP(B160,RésultatsV!$AA$10:$AD$248,3,0)),"0",VLOOKUP(B160,RésultatsV!$AA$10:$AD$248,3,0))</f>
        <v>0</v>
      </c>
      <c r="S160" s="136">
        <f>IF(ISNA(VLOOKUP(B160,RésultatsV!$AA$10:$AD$248,4,0)),"0",VLOOKUP(B160,RésultatsV!$AA$10:$AD$248,4,0))</f>
        <v>0</v>
      </c>
      <c r="T160" s="136">
        <f>IF(ISNA(VLOOKUP(B160,RésultatsV!$AA$10:$AD$248,2,0)),"0",VLOOKUP(B160,RésultatsV!$AA$10:$AD$248,2,0))</f>
        <v>0</v>
      </c>
      <c r="U160" s="110">
        <f t="shared" si="32"/>
        <v>0</v>
      </c>
      <c r="V160" s="103">
        <f t="shared" si="33"/>
        <v>0</v>
      </c>
      <c r="W160" s="106">
        <f t="shared" si="36"/>
        <v>0</v>
      </c>
      <c r="X160" s="61">
        <f t="shared" si="39"/>
        <v>0</v>
      </c>
      <c r="Y160" s="52">
        <f t="shared" si="40"/>
        <v>0</v>
      </c>
      <c r="Z160" s="104">
        <f t="shared" si="37"/>
        <v>23.0001596</v>
      </c>
      <c r="AA160" s="115">
        <f>IF(B160="","",SMALL(Z$6:Z$185,ROWS(AD$6:AD160)))</f>
        <v>23.0001596</v>
      </c>
      <c r="AB160" s="272"/>
      <c r="AC160" s="4">
        <f>IF(OR(B160="",U160=""),"",INDEX($B$6:$B$185,MATCH(AA160,$Z$6:Z$185,0)))</f>
        <v>0</v>
      </c>
      <c r="AD160" s="4">
        <f t="shared" si="34"/>
        <v>0</v>
      </c>
      <c r="AE160" s="4">
        <f t="shared" si="35"/>
        <v>0</v>
      </c>
      <c r="AF160" s="113">
        <f t="shared" si="38"/>
        <v>0</v>
      </c>
      <c r="AG160" s="271">
        <f>IF(AA160="","",IF(AND(AD159=AD160,AE159=AE160,AF159=AF160),AG159,$AG$6+154))</f>
        <v>23</v>
      </c>
      <c r="AH160" s="34"/>
      <c r="AI160" s="92"/>
    </row>
    <row r="161" spans="1:36" s="23" customFormat="1" ht="18" customHeight="1">
      <c r="A161" s="282">
        <v>156</v>
      </c>
      <c r="B161" s="288">
        <f>+'Joueurs et TirageV'!G42</f>
        <v>0</v>
      </c>
      <c r="C161" s="136" t="str">
        <f>IF(ISNA(VLOOKUP(B161,RésultatsV!$B$10:$E$248,3,0)),"0",VLOOKUP(B161,RésultatsV!$B$10:$E$248,3,0))</f>
        <v>0</v>
      </c>
      <c r="D161" s="136">
        <f>IF(ISNA(VLOOKUP(B161,RésultatsV!$B$10:$E$248,4,0)),"0",VLOOKUP(B161,RésultatsV!$B$10:$E$248,4,0))</f>
        <v>0</v>
      </c>
      <c r="E161" s="136">
        <f>IF(ISNA(VLOOKUP(B161,RésultatsV!$B$10:$E$248,2,0)),"0",VLOOKUP(B161,RésultatsV!$B$10:$E$248,2,0))</f>
        <v>0</v>
      </c>
      <c r="F161" s="136">
        <f>IF(ISNA(VLOOKUP(B161,RésultatsV!$G$10:$J$248,3,0)),"0",VLOOKUP(B161,RésultatsV!$G$10:$J$248,3,0))</f>
        <v>0</v>
      </c>
      <c r="G161" s="136">
        <f>IF(ISNA(VLOOKUP(B161,RésultatsV!$G$10:$J$248,4,0)),"0",VLOOKUP(B161,RésultatsV!$G$10:$J$248,4,0))</f>
        <v>0</v>
      </c>
      <c r="H161" s="136">
        <f>IF(ISNA(VLOOKUP(B161,RésultatsV!$G$10:$J$248,2,0)),"0",VLOOKUP(B161,RésultatsV!$G$10:$J$248,2,0))</f>
        <v>0</v>
      </c>
      <c r="I161" s="136">
        <f>IF(ISNA(VLOOKUP(B161,RésultatsV!$L$10:$O$248,3,0)),"0",VLOOKUP(B161,RésultatsV!$L$10:$O$248,3,0))</f>
        <v>0</v>
      </c>
      <c r="J161" s="136">
        <f>IF(ISNA(VLOOKUP(B161,RésultatsV!$L$10:$O$248,4,0)),"0",VLOOKUP(B161,RésultatsV!$L$10:$O$248,4,0))</f>
        <v>0</v>
      </c>
      <c r="K161" s="136">
        <f>IF(ISNA(VLOOKUP(B161,RésultatsV!$L$10:$O$248,2,0)),"0",VLOOKUP(B161,RésultatsV!$L$10:$O$248,2,0))</f>
        <v>0</v>
      </c>
      <c r="L161" s="136">
        <f>IF(ISNA(VLOOKUP(B161,RésultatsV!$Q$10:$T$248,3,0)),"0",VLOOKUP(B161,RésultatsV!$Q$10:$T$248,3,0))</f>
        <v>0</v>
      </c>
      <c r="M161" s="136">
        <f>IF(ISNA(VLOOKUP(B161,RésultatsV!$Q$10:$T$248,4,0)),"0",VLOOKUP(B161,RésultatsV!$Q$10:$T$248,4,0))</f>
        <v>0</v>
      </c>
      <c r="N161" s="136">
        <f>IF(ISNA(VLOOKUP(B161,RésultatsV!$Q$10:$T$248,2,0)),"0",VLOOKUP(B161,RésultatsV!$Q$10:$T$248,2,0))</f>
        <v>0</v>
      </c>
      <c r="O161" s="136">
        <f>IF(ISNA(VLOOKUP(B161,RésultatsV!$V$10:$Y$248,3,0)),"0",VLOOKUP(B161,RésultatsV!$V$10:$Y$248,3,0))</f>
        <v>0</v>
      </c>
      <c r="P161" s="136">
        <f>IF(ISNA(VLOOKUP(B161,RésultatsV!$V$10:$Y$248,4,0)),"0",VLOOKUP(B161,RésultatsV!$V$10:$Y$248,4,0))</f>
        <v>0</v>
      </c>
      <c r="Q161" s="136">
        <f>IF(ISNA(VLOOKUP(E161,RésultatsV!$V$10:$Y$248,2,0)),"0",VLOOKUP(E161,RésultatsV!$V$10:$Y$248,2,0))</f>
        <v>0</v>
      </c>
      <c r="R161" s="136">
        <f>IF(ISNA(VLOOKUP(B161,RésultatsV!$AA$10:$AD$248,3,0)),"0",VLOOKUP(B161,RésultatsV!$AA$10:$AD$248,3,0))</f>
        <v>0</v>
      </c>
      <c r="S161" s="136">
        <f>IF(ISNA(VLOOKUP(B161,RésultatsV!$AA$10:$AD$248,4,0)),"0",VLOOKUP(B161,RésultatsV!$AA$10:$AD$248,4,0))</f>
        <v>0</v>
      </c>
      <c r="T161" s="136">
        <f>IF(ISNA(VLOOKUP(B161,RésultatsV!$AA$10:$AD$248,2,0)),"0",VLOOKUP(B161,RésultatsV!$AA$10:$AD$248,2,0))</f>
        <v>0</v>
      </c>
      <c r="U161" s="110">
        <f t="shared" si="32"/>
        <v>0</v>
      </c>
      <c r="V161" s="103">
        <f t="shared" si="33"/>
        <v>0</v>
      </c>
      <c r="W161" s="106">
        <f t="shared" si="36"/>
        <v>0</v>
      </c>
      <c r="X161" s="61">
        <f t="shared" si="39"/>
        <v>0</v>
      </c>
      <c r="Y161" s="52">
        <f t="shared" si="40"/>
        <v>0</v>
      </c>
      <c r="Z161" s="104">
        <f t="shared" si="37"/>
        <v>23.000159610000001</v>
      </c>
      <c r="AA161" s="115">
        <f>IF(B161="","",SMALL(Z$6:Z$185,ROWS(AD$6:AD161)))</f>
        <v>23.000159610000001</v>
      </c>
      <c r="AB161" s="272"/>
      <c r="AC161" s="4">
        <f>IF(OR(B161="",U161=""),"",INDEX($B$6:$B$185,MATCH(AA161,$Z$6:Z$185,0)))</f>
        <v>0</v>
      </c>
      <c r="AD161" s="4">
        <f t="shared" si="34"/>
        <v>0</v>
      </c>
      <c r="AE161" s="4">
        <f t="shared" si="35"/>
        <v>0</v>
      </c>
      <c r="AF161" s="113">
        <f t="shared" si="38"/>
        <v>0</v>
      </c>
      <c r="AG161" s="271">
        <f>IF(AA161="","",IF(AND(AD160=AD161,AE160=AE161,AF160=AF161),AG160,$AG$6+155))</f>
        <v>23</v>
      </c>
      <c r="AH161" s="34"/>
      <c r="AI161" s="92"/>
    </row>
    <row r="162" spans="1:36" s="23" customFormat="1" ht="18" customHeight="1">
      <c r="A162" s="282">
        <v>157</v>
      </c>
      <c r="B162" s="288">
        <f>+'Joueurs et TirageV'!G43</f>
        <v>0</v>
      </c>
      <c r="C162" s="136" t="str">
        <f>IF(ISNA(VLOOKUP(B162,RésultatsV!$B$10:$E$248,3,0)),"0",VLOOKUP(B162,RésultatsV!$B$10:$E$248,3,0))</f>
        <v>0</v>
      </c>
      <c r="D162" s="136">
        <f>IF(ISNA(VLOOKUP(B162,RésultatsV!$B$10:$E$248,4,0)),"0",VLOOKUP(B162,RésultatsV!$B$10:$E$248,4,0))</f>
        <v>0</v>
      </c>
      <c r="E162" s="136">
        <f>IF(ISNA(VLOOKUP(B162,RésultatsV!$B$10:$E$248,2,0)),"0",VLOOKUP(B162,RésultatsV!$B$10:$E$248,2,0))</f>
        <v>0</v>
      </c>
      <c r="F162" s="136">
        <f>IF(ISNA(VLOOKUP(B162,RésultatsV!$G$10:$J$248,3,0)),"0",VLOOKUP(B162,RésultatsV!$G$10:$J$248,3,0))</f>
        <v>0</v>
      </c>
      <c r="G162" s="136">
        <f>IF(ISNA(VLOOKUP(B162,RésultatsV!$G$10:$J$248,4,0)),"0",VLOOKUP(B162,RésultatsV!$G$10:$J$248,4,0))</f>
        <v>0</v>
      </c>
      <c r="H162" s="136">
        <f>IF(ISNA(VLOOKUP(B162,RésultatsV!$G$10:$J$248,2,0)),"0",VLOOKUP(B162,RésultatsV!$G$10:$J$248,2,0))</f>
        <v>0</v>
      </c>
      <c r="I162" s="136">
        <f>IF(ISNA(VLOOKUP(B162,RésultatsV!$L$10:$O$248,3,0)),"0",VLOOKUP(B162,RésultatsV!$L$10:$O$248,3,0))</f>
        <v>0</v>
      </c>
      <c r="J162" s="136">
        <f>IF(ISNA(VLOOKUP(B162,RésultatsV!$L$10:$O$248,4,0)),"0",VLOOKUP(B162,RésultatsV!$L$10:$O$248,4,0))</f>
        <v>0</v>
      </c>
      <c r="K162" s="136">
        <f>IF(ISNA(VLOOKUP(B162,RésultatsV!$L$10:$O$248,2,0)),"0",VLOOKUP(B162,RésultatsV!$L$10:$O$248,2,0))</f>
        <v>0</v>
      </c>
      <c r="L162" s="136">
        <f>IF(ISNA(VLOOKUP(B162,RésultatsV!$Q$10:$T$248,3,0)),"0",VLOOKUP(B162,RésultatsV!$Q$10:$T$248,3,0))</f>
        <v>0</v>
      </c>
      <c r="M162" s="136">
        <f>IF(ISNA(VLOOKUP(B162,RésultatsV!$Q$10:$T$248,4,0)),"0",VLOOKUP(B162,RésultatsV!$Q$10:$T$248,4,0))</f>
        <v>0</v>
      </c>
      <c r="N162" s="136">
        <f>IF(ISNA(VLOOKUP(B162,RésultatsV!$Q$10:$T$248,2,0)),"0",VLOOKUP(B162,RésultatsV!$Q$10:$T$248,2,0))</f>
        <v>0</v>
      </c>
      <c r="O162" s="136">
        <f>IF(ISNA(VLOOKUP(B162,RésultatsV!$V$10:$Y$248,3,0)),"0",VLOOKUP(B162,RésultatsV!$V$10:$Y$248,3,0))</f>
        <v>0</v>
      </c>
      <c r="P162" s="136">
        <f>IF(ISNA(VLOOKUP(B162,RésultatsV!$V$10:$Y$248,4,0)),"0",VLOOKUP(B162,RésultatsV!$V$10:$Y$248,4,0))</f>
        <v>0</v>
      </c>
      <c r="Q162" s="136">
        <f>IF(ISNA(VLOOKUP(E162,RésultatsV!$V$10:$Y$248,2,0)),"0",VLOOKUP(E162,RésultatsV!$V$10:$Y$248,2,0))</f>
        <v>0</v>
      </c>
      <c r="R162" s="136">
        <f>IF(ISNA(VLOOKUP(B162,RésultatsV!$AA$10:$AD$248,3,0)),"0",VLOOKUP(B162,RésultatsV!$AA$10:$AD$248,3,0))</f>
        <v>0</v>
      </c>
      <c r="S162" s="136">
        <f>IF(ISNA(VLOOKUP(B162,RésultatsV!$AA$10:$AD$248,4,0)),"0",VLOOKUP(B162,RésultatsV!$AA$10:$AD$248,4,0))</f>
        <v>0</v>
      </c>
      <c r="T162" s="136">
        <f>IF(ISNA(VLOOKUP(B162,RésultatsV!$AA$10:$AD$248,2,0)),"0",VLOOKUP(B162,RésultatsV!$AA$10:$AD$248,2,0))</f>
        <v>0</v>
      </c>
      <c r="U162" s="110">
        <f t="shared" si="32"/>
        <v>0</v>
      </c>
      <c r="V162" s="103">
        <f t="shared" si="33"/>
        <v>0</v>
      </c>
      <c r="W162" s="106">
        <f t="shared" si="36"/>
        <v>0</v>
      </c>
      <c r="X162" s="61">
        <f t="shared" si="39"/>
        <v>0</v>
      </c>
      <c r="Y162" s="52">
        <f t="shared" si="40"/>
        <v>0</v>
      </c>
      <c r="Z162" s="104">
        <f t="shared" si="37"/>
        <v>23.000159619999998</v>
      </c>
      <c r="AA162" s="115">
        <f>IF(B162="","",SMALL(Z$6:Z$185,ROWS(AD$6:AD162)))</f>
        <v>23.000159619999998</v>
      </c>
      <c r="AB162" s="272"/>
      <c r="AC162" s="4">
        <f>IF(OR(B162="",U162=""),"",INDEX($B$6:$B$185,MATCH(AA162,$Z$6:Z$185,0)))</f>
        <v>0</v>
      </c>
      <c r="AD162" s="4">
        <f t="shared" si="34"/>
        <v>0</v>
      </c>
      <c r="AE162" s="4">
        <f t="shared" si="35"/>
        <v>0</v>
      </c>
      <c r="AF162" s="113">
        <f t="shared" si="38"/>
        <v>0</v>
      </c>
      <c r="AG162" s="271">
        <f>IF(AA162="","",IF(AND(AD161=AD162,AE161=AE162,AF161=AF162),AG161,$AG$6+156))</f>
        <v>23</v>
      </c>
      <c r="AH162" s="34"/>
      <c r="AI162" s="92"/>
    </row>
    <row r="163" spans="1:36" s="23" customFormat="1" ht="18" customHeight="1">
      <c r="A163" s="282">
        <v>158</v>
      </c>
      <c r="B163" s="288">
        <f>+'Joueurs et TirageV'!G44</f>
        <v>0</v>
      </c>
      <c r="C163" s="136" t="str">
        <f>IF(ISNA(VLOOKUP(B163,RésultatsV!$B$10:$E$248,3,0)),"0",VLOOKUP(B163,RésultatsV!$B$10:$E$248,3,0))</f>
        <v>0</v>
      </c>
      <c r="D163" s="136">
        <f>IF(ISNA(VLOOKUP(B163,RésultatsV!$B$10:$E$248,4,0)),"0",VLOOKUP(B163,RésultatsV!$B$10:$E$248,4,0))</f>
        <v>0</v>
      </c>
      <c r="E163" s="136">
        <f>IF(ISNA(VLOOKUP(B163,RésultatsV!$B$10:$E$248,2,0)),"0",VLOOKUP(B163,RésultatsV!$B$10:$E$248,2,0))</f>
        <v>0</v>
      </c>
      <c r="F163" s="136">
        <f>IF(ISNA(VLOOKUP(B163,RésultatsV!$G$10:$J$248,3,0)),"0",VLOOKUP(B163,RésultatsV!$G$10:$J$248,3,0))</f>
        <v>0</v>
      </c>
      <c r="G163" s="136">
        <f>IF(ISNA(VLOOKUP(B163,RésultatsV!$G$10:$J$248,4,0)),"0",VLOOKUP(B163,RésultatsV!$G$10:$J$248,4,0))</f>
        <v>0</v>
      </c>
      <c r="H163" s="136">
        <f>IF(ISNA(VLOOKUP(B163,RésultatsV!$G$10:$J$248,2,0)),"0",VLOOKUP(B163,RésultatsV!$G$10:$J$248,2,0))</f>
        <v>0</v>
      </c>
      <c r="I163" s="136">
        <f>IF(ISNA(VLOOKUP(B163,RésultatsV!$L$10:$O$248,3,0)),"0",VLOOKUP(B163,RésultatsV!$L$10:$O$248,3,0))</f>
        <v>0</v>
      </c>
      <c r="J163" s="136">
        <f>IF(ISNA(VLOOKUP(B163,RésultatsV!$L$10:$O$248,4,0)),"0",VLOOKUP(B163,RésultatsV!$L$10:$O$248,4,0))</f>
        <v>0</v>
      </c>
      <c r="K163" s="136">
        <f>IF(ISNA(VLOOKUP(B163,RésultatsV!$L$10:$O$248,2,0)),"0",VLOOKUP(B163,RésultatsV!$L$10:$O$248,2,0))</f>
        <v>0</v>
      </c>
      <c r="L163" s="136">
        <f>IF(ISNA(VLOOKUP(B163,RésultatsV!$Q$10:$T$248,3,0)),"0",VLOOKUP(B163,RésultatsV!$Q$10:$T$248,3,0))</f>
        <v>0</v>
      </c>
      <c r="M163" s="136">
        <f>IF(ISNA(VLOOKUP(B163,RésultatsV!$Q$10:$T$248,4,0)),"0",VLOOKUP(B163,RésultatsV!$Q$10:$T$248,4,0))</f>
        <v>0</v>
      </c>
      <c r="N163" s="136">
        <f>IF(ISNA(VLOOKUP(B163,RésultatsV!$Q$10:$T$248,2,0)),"0",VLOOKUP(B163,RésultatsV!$Q$10:$T$248,2,0))</f>
        <v>0</v>
      </c>
      <c r="O163" s="136">
        <f>IF(ISNA(VLOOKUP(B163,RésultatsV!$V$10:$Y$248,3,0)),"0",VLOOKUP(B163,RésultatsV!$V$10:$Y$248,3,0))</f>
        <v>0</v>
      </c>
      <c r="P163" s="136">
        <f>IF(ISNA(VLOOKUP(B163,RésultatsV!$V$10:$Y$248,4,0)),"0",VLOOKUP(B163,RésultatsV!$V$10:$Y$248,4,0))</f>
        <v>0</v>
      </c>
      <c r="Q163" s="136">
        <f>IF(ISNA(VLOOKUP(E163,RésultatsV!$V$10:$Y$248,2,0)),"0",VLOOKUP(E163,RésultatsV!$V$10:$Y$248,2,0))</f>
        <v>0</v>
      </c>
      <c r="R163" s="136">
        <f>IF(ISNA(VLOOKUP(B163,RésultatsV!$AA$10:$AD$248,3,0)),"0",VLOOKUP(B163,RésultatsV!$AA$10:$AD$248,3,0))</f>
        <v>0</v>
      </c>
      <c r="S163" s="136">
        <f>IF(ISNA(VLOOKUP(B163,RésultatsV!$AA$10:$AD$248,4,0)),"0",VLOOKUP(B163,RésultatsV!$AA$10:$AD$248,4,0))</f>
        <v>0</v>
      </c>
      <c r="T163" s="136">
        <f>IF(ISNA(VLOOKUP(B163,RésultatsV!$AA$10:$AD$248,2,0)),"0",VLOOKUP(B163,RésultatsV!$AA$10:$AD$248,2,0))</f>
        <v>0</v>
      </c>
      <c r="U163" s="110">
        <f t="shared" si="32"/>
        <v>0</v>
      </c>
      <c r="V163" s="103">
        <f t="shared" si="33"/>
        <v>0</v>
      </c>
      <c r="W163" s="106">
        <f t="shared" si="36"/>
        <v>0</v>
      </c>
      <c r="X163" s="61">
        <f t="shared" si="39"/>
        <v>0</v>
      </c>
      <c r="Y163" s="52">
        <f t="shared" si="40"/>
        <v>0</v>
      </c>
      <c r="Z163" s="104">
        <f t="shared" si="37"/>
        <v>23.000159629999999</v>
      </c>
      <c r="AA163" s="115">
        <f>IF(B163="","",SMALL(Z$6:Z$185,ROWS(AD$6:AD163)))</f>
        <v>23.000159629999999</v>
      </c>
      <c r="AB163" s="272"/>
      <c r="AC163" s="4">
        <f>IF(OR(B163="",U163=""),"",INDEX($B$6:$B$185,MATCH(AA163,$Z$6:Z$185,0)))</f>
        <v>0</v>
      </c>
      <c r="AD163" s="4">
        <f t="shared" si="34"/>
        <v>0</v>
      </c>
      <c r="AE163" s="4">
        <f t="shared" si="35"/>
        <v>0</v>
      </c>
      <c r="AF163" s="113">
        <f t="shared" si="38"/>
        <v>0</v>
      </c>
      <c r="AG163" s="271">
        <f>IF(AA163="","",IF(AND(AD162=AD163,AE162=AE163,AF162=AF163),AG162,$AG$6+157))</f>
        <v>23</v>
      </c>
      <c r="AH163" s="34"/>
      <c r="AI163" s="92"/>
    </row>
    <row r="164" spans="1:36" s="23" customFormat="1" ht="18" customHeight="1">
      <c r="A164" s="282">
        <v>159</v>
      </c>
      <c r="B164" s="288">
        <f>+'Joueurs et TirageV'!G45</f>
        <v>0</v>
      </c>
      <c r="C164" s="136" t="str">
        <f>IF(ISNA(VLOOKUP(B164,RésultatsV!$B$10:$E$248,3,0)),"0",VLOOKUP(B164,RésultatsV!$B$10:$E$248,3,0))</f>
        <v>0</v>
      </c>
      <c r="D164" s="136">
        <f>IF(ISNA(VLOOKUP(B164,RésultatsV!$B$10:$E$248,4,0)),"0",VLOOKUP(B164,RésultatsV!$B$10:$E$248,4,0))</f>
        <v>0</v>
      </c>
      <c r="E164" s="136">
        <f>IF(ISNA(VLOOKUP(B164,RésultatsV!$B$10:$E$248,2,0)),"0",VLOOKUP(B164,RésultatsV!$B$10:$E$248,2,0))</f>
        <v>0</v>
      </c>
      <c r="F164" s="136">
        <f>IF(ISNA(VLOOKUP(B164,RésultatsV!$G$10:$J$248,3,0)),"0",VLOOKUP(B164,RésultatsV!$G$10:$J$248,3,0))</f>
        <v>0</v>
      </c>
      <c r="G164" s="136">
        <f>IF(ISNA(VLOOKUP(B164,RésultatsV!$G$10:$J$248,4,0)),"0",VLOOKUP(B164,RésultatsV!$G$10:$J$248,4,0))</f>
        <v>0</v>
      </c>
      <c r="H164" s="136">
        <f>IF(ISNA(VLOOKUP(B164,RésultatsV!$G$10:$J$248,2,0)),"0",VLOOKUP(B164,RésultatsV!$G$10:$J$248,2,0))</f>
        <v>0</v>
      </c>
      <c r="I164" s="136">
        <f>IF(ISNA(VLOOKUP(B164,RésultatsV!$L$10:$O$248,3,0)),"0",VLOOKUP(B164,RésultatsV!$L$10:$O$248,3,0))</f>
        <v>0</v>
      </c>
      <c r="J164" s="136">
        <f>IF(ISNA(VLOOKUP(B164,RésultatsV!$L$10:$O$248,4,0)),"0",VLOOKUP(B164,RésultatsV!$L$10:$O$248,4,0))</f>
        <v>0</v>
      </c>
      <c r="K164" s="136">
        <f>IF(ISNA(VLOOKUP(B164,RésultatsV!$L$10:$O$248,2,0)),"0",VLOOKUP(B164,RésultatsV!$L$10:$O$248,2,0))</f>
        <v>0</v>
      </c>
      <c r="L164" s="136">
        <f>IF(ISNA(VLOOKUP(B164,RésultatsV!$Q$10:$T$248,3,0)),"0",VLOOKUP(B164,RésultatsV!$Q$10:$T$248,3,0))</f>
        <v>0</v>
      </c>
      <c r="M164" s="136">
        <f>IF(ISNA(VLOOKUP(B164,RésultatsV!$Q$10:$T$248,4,0)),"0",VLOOKUP(B164,RésultatsV!$Q$10:$T$248,4,0))</f>
        <v>0</v>
      </c>
      <c r="N164" s="136">
        <f>IF(ISNA(VLOOKUP(B164,RésultatsV!$Q$10:$T$248,2,0)),"0",VLOOKUP(B164,RésultatsV!$Q$10:$T$248,2,0))</f>
        <v>0</v>
      </c>
      <c r="O164" s="136">
        <f>IF(ISNA(VLOOKUP(B164,RésultatsV!$V$10:$Y$248,3,0)),"0",VLOOKUP(B164,RésultatsV!$V$10:$Y$248,3,0))</f>
        <v>0</v>
      </c>
      <c r="P164" s="136">
        <f>IF(ISNA(VLOOKUP(B164,RésultatsV!$V$10:$Y$248,4,0)),"0",VLOOKUP(B164,RésultatsV!$V$10:$Y$248,4,0))</f>
        <v>0</v>
      </c>
      <c r="Q164" s="136">
        <f>IF(ISNA(VLOOKUP(E164,RésultatsV!$V$10:$Y$248,2,0)),"0",VLOOKUP(E164,RésultatsV!$V$10:$Y$248,2,0))</f>
        <v>0</v>
      </c>
      <c r="R164" s="136">
        <f>IF(ISNA(VLOOKUP(B164,RésultatsV!$AA$10:$AD$248,3,0)),"0",VLOOKUP(B164,RésultatsV!$AA$10:$AD$248,3,0))</f>
        <v>0</v>
      </c>
      <c r="S164" s="136">
        <f>IF(ISNA(VLOOKUP(B164,RésultatsV!$AA$10:$AD$248,4,0)),"0",VLOOKUP(B164,RésultatsV!$AA$10:$AD$248,4,0))</f>
        <v>0</v>
      </c>
      <c r="T164" s="136">
        <f>IF(ISNA(VLOOKUP(B164,RésultatsV!$AA$10:$AD$248,2,0)),"0",VLOOKUP(B164,RésultatsV!$AA$10:$AD$248,2,0))</f>
        <v>0</v>
      </c>
      <c r="U164" s="110">
        <f t="shared" si="32"/>
        <v>0</v>
      </c>
      <c r="V164" s="103">
        <f t="shared" si="33"/>
        <v>0</v>
      </c>
      <c r="W164" s="106">
        <f t="shared" si="36"/>
        <v>0</v>
      </c>
      <c r="X164" s="61">
        <f t="shared" si="39"/>
        <v>0</v>
      </c>
      <c r="Y164" s="52">
        <f t="shared" si="40"/>
        <v>0</v>
      </c>
      <c r="Z164" s="104">
        <f t="shared" si="37"/>
        <v>23.00015964</v>
      </c>
      <c r="AA164" s="115">
        <f>IF(B164="","",SMALL(Z$6:Z$185,ROWS(AD$6:AD164)))</f>
        <v>23.00015964</v>
      </c>
      <c r="AB164" s="272"/>
      <c r="AC164" s="4">
        <f>IF(OR(B164="",U164=""),"",INDEX($B$6:$B$185,MATCH(AA164,$Z$6:Z$185,0)))</f>
        <v>0</v>
      </c>
      <c r="AD164" s="4">
        <f t="shared" si="34"/>
        <v>0</v>
      </c>
      <c r="AE164" s="4">
        <f t="shared" si="35"/>
        <v>0</v>
      </c>
      <c r="AF164" s="113">
        <f t="shared" si="38"/>
        <v>0</v>
      </c>
      <c r="AG164" s="271">
        <f>IF(AA164="","",IF(AND(AD163=AD164,AE163=AE164,AF163=AF164),AG163,$AG$6+158))</f>
        <v>23</v>
      </c>
      <c r="AH164" s="34"/>
      <c r="AI164" s="92"/>
    </row>
    <row r="165" spans="1:36" s="23" customFormat="1" ht="18" customHeight="1">
      <c r="A165" s="282">
        <v>160</v>
      </c>
      <c r="B165" s="288">
        <f>+'Joueurs et TirageV'!G46</f>
        <v>0</v>
      </c>
      <c r="C165" s="136" t="str">
        <f>IF(ISNA(VLOOKUP(B165,RésultatsV!$B$10:$E$248,3,0)),"0",VLOOKUP(B165,RésultatsV!$B$10:$E$248,3,0))</f>
        <v>0</v>
      </c>
      <c r="D165" s="136">
        <f>IF(ISNA(VLOOKUP(B165,RésultatsV!$B$10:$E$248,4,0)),"0",VLOOKUP(B165,RésultatsV!$B$10:$E$248,4,0))</f>
        <v>0</v>
      </c>
      <c r="E165" s="136">
        <f>IF(ISNA(VLOOKUP(B165,RésultatsV!$B$10:$E$248,2,0)),"0",VLOOKUP(B165,RésultatsV!$B$10:$E$248,2,0))</f>
        <v>0</v>
      </c>
      <c r="F165" s="136">
        <f>IF(ISNA(VLOOKUP(B165,RésultatsV!$G$10:$J$248,3,0)),"0",VLOOKUP(B165,RésultatsV!$G$10:$J$248,3,0))</f>
        <v>0</v>
      </c>
      <c r="G165" s="136">
        <f>IF(ISNA(VLOOKUP(B165,RésultatsV!$G$10:$J$248,4,0)),"0",VLOOKUP(B165,RésultatsV!$G$10:$J$248,4,0))</f>
        <v>0</v>
      </c>
      <c r="H165" s="136">
        <f>IF(ISNA(VLOOKUP(B165,RésultatsV!$G$10:$J$248,2,0)),"0",VLOOKUP(B165,RésultatsV!$G$10:$J$248,2,0))</f>
        <v>0</v>
      </c>
      <c r="I165" s="136">
        <f>IF(ISNA(VLOOKUP(B165,RésultatsV!$L$10:$O$248,3,0)),"0",VLOOKUP(B165,RésultatsV!$L$10:$O$248,3,0))</f>
        <v>0</v>
      </c>
      <c r="J165" s="136">
        <f>IF(ISNA(VLOOKUP(B165,RésultatsV!$L$10:$O$248,4,0)),"0",VLOOKUP(B165,RésultatsV!$L$10:$O$248,4,0))</f>
        <v>0</v>
      </c>
      <c r="K165" s="136">
        <f>IF(ISNA(VLOOKUP(B165,RésultatsV!$L$10:$O$248,2,0)),"0",VLOOKUP(B165,RésultatsV!$L$10:$O$248,2,0))</f>
        <v>0</v>
      </c>
      <c r="L165" s="136">
        <f>IF(ISNA(VLOOKUP(B165,RésultatsV!$Q$10:$T$248,3,0)),"0",VLOOKUP(B165,RésultatsV!$Q$10:$T$248,3,0))</f>
        <v>0</v>
      </c>
      <c r="M165" s="136">
        <f>IF(ISNA(VLOOKUP(B165,RésultatsV!$Q$10:$T$248,4,0)),"0",VLOOKUP(B165,RésultatsV!$Q$10:$T$248,4,0))</f>
        <v>0</v>
      </c>
      <c r="N165" s="136">
        <f>IF(ISNA(VLOOKUP(B165,RésultatsV!$Q$10:$T$248,2,0)),"0",VLOOKUP(B165,RésultatsV!$Q$10:$T$248,2,0))</f>
        <v>0</v>
      </c>
      <c r="O165" s="136">
        <f>IF(ISNA(VLOOKUP(B165,RésultatsV!$V$10:$Y$248,3,0)),"0",VLOOKUP(B165,RésultatsV!$V$10:$Y$248,3,0))</f>
        <v>0</v>
      </c>
      <c r="P165" s="136">
        <f>IF(ISNA(VLOOKUP(B165,RésultatsV!$V$10:$Y$248,4,0)),"0",VLOOKUP(B165,RésultatsV!$V$10:$Y$248,4,0))</f>
        <v>0</v>
      </c>
      <c r="Q165" s="136">
        <f>IF(ISNA(VLOOKUP(E165,RésultatsV!$V$10:$Y$248,2,0)),"0",VLOOKUP(E165,RésultatsV!$V$10:$Y$248,2,0))</f>
        <v>0</v>
      </c>
      <c r="R165" s="136">
        <f>IF(ISNA(VLOOKUP(B165,RésultatsV!$AA$10:$AD$248,3,0)),"0",VLOOKUP(B165,RésultatsV!$AA$10:$AD$248,3,0))</f>
        <v>0</v>
      </c>
      <c r="S165" s="136">
        <f>IF(ISNA(VLOOKUP(B165,RésultatsV!$AA$10:$AD$248,4,0)),"0",VLOOKUP(B165,RésultatsV!$AA$10:$AD$248,4,0))</f>
        <v>0</v>
      </c>
      <c r="T165" s="136">
        <f>IF(ISNA(VLOOKUP(B165,RésultatsV!$AA$10:$AD$248,2,0)),"0",VLOOKUP(B165,RésultatsV!$AA$10:$AD$248,2,0))</f>
        <v>0</v>
      </c>
      <c r="U165" s="110">
        <f t="shared" si="32"/>
        <v>0</v>
      </c>
      <c r="V165" s="103">
        <f t="shared" si="33"/>
        <v>0</v>
      </c>
      <c r="W165" s="106">
        <f t="shared" si="36"/>
        <v>0</v>
      </c>
      <c r="X165" s="61">
        <f t="shared" si="39"/>
        <v>0</v>
      </c>
      <c r="Y165" s="52">
        <f t="shared" si="40"/>
        <v>0</v>
      </c>
      <c r="Z165" s="104">
        <f t="shared" si="37"/>
        <v>23.000159650000001</v>
      </c>
      <c r="AA165" s="115">
        <f>IF(B165="","",SMALL(Z$6:Z$185,ROWS(AD$6:AD165)))</f>
        <v>23.000159650000001</v>
      </c>
      <c r="AB165" s="272"/>
      <c r="AC165" s="4">
        <f>IF(OR(B165="",U165=""),"",INDEX($B$6:$B$185,MATCH(AA165,$Z$6:Z$185,0)))</f>
        <v>0</v>
      </c>
      <c r="AD165" s="4">
        <f t="shared" si="34"/>
        <v>0</v>
      </c>
      <c r="AE165" s="4">
        <f t="shared" si="35"/>
        <v>0</v>
      </c>
      <c r="AF165" s="113">
        <f t="shared" si="38"/>
        <v>0</v>
      </c>
      <c r="AG165" s="271">
        <f>IF(AA165="","",IF(AND(AD164=AD165,AE164=AE165,AF164=AF165),AG164,$AG$6+159))</f>
        <v>23</v>
      </c>
      <c r="AH165" s="34"/>
      <c r="AI165" s="92"/>
    </row>
    <row r="166" spans="1:36" s="23" customFormat="1" ht="18" customHeight="1">
      <c r="A166" s="282">
        <v>161</v>
      </c>
      <c r="B166" s="288">
        <f>+'Joueurs et TirageV'!G47</f>
        <v>0</v>
      </c>
      <c r="C166" s="136" t="str">
        <f>IF(ISNA(VLOOKUP(B166,RésultatsV!$B$10:$E$248,3,0)),"0",VLOOKUP(B166,RésultatsV!$B$10:$E$248,3,0))</f>
        <v>0</v>
      </c>
      <c r="D166" s="136">
        <f>IF(ISNA(VLOOKUP(B166,RésultatsV!$B$10:$E$248,4,0)),"0",VLOOKUP(B166,RésultatsV!$B$10:$E$248,4,0))</f>
        <v>0</v>
      </c>
      <c r="E166" s="136">
        <f>IF(ISNA(VLOOKUP(B166,RésultatsV!$B$10:$E$248,2,0)),"0",VLOOKUP(B166,RésultatsV!$B$10:$E$248,2,0))</f>
        <v>0</v>
      </c>
      <c r="F166" s="136">
        <f>IF(ISNA(VLOOKUP(B166,RésultatsV!$G$10:$J$248,3,0)),"0",VLOOKUP(B166,RésultatsV!$G$10:$J$248,3,0))</f>
        <v>0</v>
      </c>
      <c r="G166" s="136">
        <f>IF(ISNA(VLOOKUP(B166,RésultatsV!$G$10:$J$248,4,0)),"0",VLOOKUP(B166,RésultatsV!$G$10:$J$248,4,0))</f>
        <v>0</v>
      </c>
      <c r="H166" s="136">
        <f>IF(ISNA(VLOOKUP(B166,RésultatsV!$G$10:$J$248,2,0)),"0",VLOOKUP(B166,RésultatsV!$G$10:$J$248,2,0))</f>
        <v>0</v>
      </c>
      <c r="I166" s="136">
        <f>IF(ISNA(VLOOKUP(B166,RésultatsV!$L$10:$O$248,3,0)),"0",VLOOKUP(B166,RésultatsV!$L$10:$O$248,3,0))</f>
        <v>0</v>
      </c>
      <c r="J166" s="136">
        <f>IF(ISNA(VLOOKUP(B166,RésultatsV!$L$10:$O$248,4,0)),"0",VLOOKUP(B166,RésultatsV!$L$10:$O$248,4,0))</f>
        <v>0</v>
      </c>
      <c r="K166" s="136">
        <f>IF(ISNA(VLOOKUP(B166,RésultatsV!$L$10:$O$248,2,0)),"0",VLOOKUP(B166,RésultatsV!$L$10:$O$248,2,0))</f>
        <v>0</v>
      </c>
      <c r="L166" s="136">
        <f>IF(ISNA(VLOOKUP(B166,RésultatsV!$Q$10:$T$248,3,0)),"0",VLOOKUP(B166,RésultatsV!$Q$10:$T$248,3,0))</f>
        <v>0</v>
      </c>
      <c r="M166" s="136">
        <f>IF(ISNA(VLOOKUP(B166,RésultatsV!$Q$10:$T$248,4,0)),"0",VLOOKUP(B166,RésultatsV!$Q$10:$T$248,4,0))</f>
        <v>0</v>
      </c>
      <c r="N166" s="136">
        <f>IF(ISNA(VLOOKUP(B166,RésultatsV!$Q$10:$T$248,2,0)),"0",VLOOKUP(B166,RésultatsV!$Q$10:$T$248,2,0))</f>
        <v>0</v>
      </c>
      <c r="O166" s="136">
        <f>IF(ISNA(VLOOKUP(B166,RésultatsV!$V$10:$Y$248,3,0)),"0",VLOOKUP(B166,RésultatsV!$V$10:$Y$248,3,0))</f>
        <v>0</v>
      </c>
      <c r="P166" s="136">
        <f>IF(ISNA(VLOOKUP(B166,RésultatsV!$V$10:$Y$248,4,0)),"0",VLOOKUP(B166,RésultatsV!$V$10:$Y$248,4,0))</f>
        <v>0</v>
      </c>
      <c r="Q166" s="136">
        <f>IF(ISNA(VLOOKUP(E166,RésultatsV!$V$10:$Y$248,2,0)),"0",VLOOKUP(E166,RésultatsV!$V$10:$Y$248,2,0))</f>
        <v>0</v>
      </c>
      <c r="R166" s="136">
        <f>IF(ISNA(VLOOKUP(B166,RésultatsV!$AA$10:$AD$248,3,0)),"0",VLOOKUP(B166,RésultatsV!$AA$10:$AD$248,3,0))</f>
        <v>0</v>
      </c>
      <c r="S166" s="136">
        <f>IF(ISNA(VLOOKUP(B166,RésultatsV!$AA$10:$AD$248,4,0)),"0",VLOOKUP(B166,RésultatsV!$AA$10:$AD$248,4,0))</f>
        <v>0</v>
      </c>
      <c r="T166" s="136">
        <f>IF(ISNA(VLOOKUP(B166,RésultatsV!$AA$10:$AD$248,2,0)),"0",VLOOKUP(B166,RésultatsV!$AA$10:$AD$248,2,0))</f>
        <v>0</v>
      </c>
      <c r="U166" s="110">
        <f t="shared" ref="U166:U185" si="41">SUMIFS(C166:R166,$C$5:$R$5,"Pts",C166:R166,"&lt;&gt;#N/A")</f>
        <v>0</v>
      </c>
      <c r="V166" s="103">
        <f t="shared" ref="V166:V185" si="42">SUMIFS(D166:S166,$D$5:$S$5,"GA",D166:S166,"&lt;&gt;#N/A")</f>
        <v>0</v>
      </c>
      <c r="W166" s="106">
        <f t="shared" si="36"/>
        <v>0</v>
      </c>
      <c r="X166" s="61">
        <f t="shared" si="39"/>
        <v>0</v>
      </c>
      <c r="Y166" s="52">
        <f t="shared" si="40"/>
        <v>0</v>
      </c>
      <c r="Z166" s="104">
        <f t="shared" si="37"/>
        <v>23.000159659999998</v>
      </c>
      <c r="AA166" s="115">
        <f>IF(B166="","",SMALL(Z$6:Z$185,ROWS(AD$6:AD166)))</f>
        <v>23.000159659999998</v>
      </c>
      <c r="AB166" s="272"/>
      <c r="AC166" s="4">
        <f>IF(OR(B166="",U166=""),"",INDEX($B$6:$B$185,MATCH(AA166,$Z$6:Z$185,0)))</f>
        <v>0</v>
      </c>
      <c r="AD166" s="4">
        <f t="shared" ref="AD166:AD185" si="43">IF(B166="","",INDEX($U$6:$U$185,MATCH(AA166,$Z$6:$Z$185,0)))</f>
        <v>0</v>
      </c>
      <c r="AE166" s="4">
        <f t="shared" ref="AE166:AE185" si="44">IF(B166="","",INDEX($V$6:$V$185,MATCH(AA166,$Z$6:$Z$185,0)))</f>
        <v>0</v>
      </c>
      <c r="AF166" s="113">
        <f t="shared" si="38"/>
        <v>0</v>
      </c>
      <c r="AG166" s="271">
        <f>IF(AA166="","",IF(AND(AD165=AD166,AE165=AE166,AF165=AF166),AG165,$AG$6+160))</f>
        <v>23</v>
      </c>
      <c r="AH166" s="254"/>
      <c r="AI166" s="92"/>
      <c r="AJ166" s="23">
        <v>160</v>
      </c>
    </row>
    <row r="167" spans="1:36" s="23" customFormat="1" ht="18" customHeight="1">
      <c r="A167" s="282">
        <v>162</v>
      </c>
      <c r="B167" s="288">
        <f>+'Joueurs et TirageV'!G48</f>
        <v>0</v>
      </c>
      <c r="C167" s="136" t="str">
        <f>IF(ISNA(VLOOKUP(B167,RésultatsV!$B$10:$E$248,3,0)),"0",VLOOKUP(B167,RésultatsV!$B$10:$E$248,3,0))</f>
        <v>0</v>
      </c>
      <c r="D167" s="136">
        <f>IF(ISNA(VLOOKUP(B167,RésultatsV!$B$10:$E$248,4,0)),"0",VLOOKUP(B167,RésultatsV!$B$10:$E$248,4,0))</f>
        <v>0</v>
      </c>
      <c r="E167" s="136">
        <f>IF(ISNA(VLOOKUP(B167,RésultatsV!$B$10:$E$248,2,0)),"0",VLOOKUP(B167,RésultatsV!$B$10:$E$248,2,0))</f>
        <v>0</v>
      </c>
      <c r="F167" s="136">
        <f>IF(ISNA(VLOOKUP(B167,RésultatsV!$G$10:$J$248,3,0)),"0",VLOOKUP(B167,RésultatsV!$G$10:$J$248,3,0))</f>
        <v>0</v>
      </c>
      <c r="G167" s="136">
        <f>IF(ISNA(VLOOKUP(B167,RésultatsV!$G$10:$J$248,4,0)),"0",VLOOKUP(B167,RésultatsV!$G$10:$J$248,4,0))</f>
        <v>0</v>
      </c>
      <c r="H167" s="136">
        <f>IF(ISNA(VLOOKUP(B167,RésultatsV!$G$10:$J$248,2,0)),"0",VLOOKUP(B167,RésultatsV!$G$10:$J$248,2,0))</f>
        <v>0</v>
      </c>
      <c r="I167" s="136">
        <f>IF(ISNA(VLOOKUP(B167,RésultatsV!$L$10:$O$248,3,0)),"0",VLOOKUP(B167,RésultatsV!$L$10:$O$248,3,0))</f>
        <v>0</v>
      </c>
      <c r="J167" s="136">
        <f>IF(ISNA(VLOOKUP(B167,RésultatsV!$L$10:$O$248,4,0)),"0",VLOOKUP(B167,RésultatsV!$L$10:$O$248,4,0))</f>
        <v>0</v>
      </c>
      <c r="K167" s="136">
        <f>IF(ISNA(VLOOKUP(B167,RésultatsV!$L$10:$O$248,2,0)),"0",VLOOKUP(B167,RésultatsV!$L$10:$O$248,2,0))</f>
        <v>0</v>
      </c>
      <c r="L167" s="136">
        <f>IF(ISNA(VLOOKUP(B167,RésultatsV!$Q$10:$T$248,3,0)),"0",VLOOKUP(B167,RésultatsV!$Q$10:$T$248,3,0))</f>
        <v>0</v>
      </c>
      <c r="M167" s="136">
        <f>IF(ISNA(VLOOKUP(B167,RésultatsV!$Q$10:$T$248,4,0)),"0",VLOOKUP(B167,RésultatsV!$Q$10:$T$248,4,0))</f>
        <v>0</v>
      </c>
      <c r="N167" s="136">
        <f>IF(ISNA(VLOOKUP(B167,RésultatsV!$Q$10:$T$248,2,0)),"0",VLOOKUP(B167,RésultatsV!$Q$10:$T$248,2,0))</f>
        <v>0</v>
      </c>
      <c r="O167" s="136">
        <f>IF(ISNA(VLOOKUP(B167,RésultatsV!$V$10:$Y$248,3,0)),"0",VLOOKUP(B167,RésultatsV!$V$10:$Y$248,3,0))</f>
        <v>0</v>
      </c>
      <c r="P167" s="136">
        <f>IF(ISNA(VLOOKUP(B167,RésultatsV!$V$10:$Y$248,4,0)),"0",VLOOKUP(B167,RésultatsV!$V$10:$Y$248,4,0))</f>
        <v>0</v>
      </c>
      <c r="Q167" s="136">
        <f>IF(ISNA(VLOOKUP(E167,RésultatsV!$V$10:$Y$248,2,0)),"0",VLOOKUP(E167,RésultatsV!$V$10:$Y$248,2,0))</f>
        <v>0</v>
      </c>
      <c r="R167" s="136">
        <f>IF(ISNA(VLOOKUP(B167,RésultatsV!$AA$10:$AD$248,3,0)),"0",VLOOKUP(B167,RésultatsV!$AA$10:$AD$248,3,0))</f>
        <v>0</v>
      </c>
      <c r="S167" s="136">
        <f>IF(ISNA(VLOOKUP(B167,RésultatsV!$AA$10:$AD$248,4,0)),"0",VLOOKUP(B167,RésultatsV!$AA$10:$AD$248,4,0))</f>
        <v>0</v>
      </c>
      <c r="T167" s="136">
        <f>IF(ISNA(VLOOKUP(B167,RésultatsV!$AA$10:$AD$248,2,0)),"0",VLOOKUP(B167,RésultatsV!$AA$10:$AD$248,2,0))</f>
        <v>0</v>
      </c>
      <c r="U167" s="110">
        <f t="shared" si="41"/>
        <v>0</v>
      </c>
      <c r="V167" s="103">
        <f t="shared" si="42"/>
        <v>0</v>
      </c>
      <c r="W167" s="106">
        <f t="shared" si="36"/>
        <v>0</v>
      </c>
      <c r="X167" s="61">
        <f t="shared" si="39"/>
        <v>0</v>
      </c>
      <c r="Y167" s="52">
        <f t="shared" si="40"/>
        <v>0</v>
      </c>
      <c r="Z167" s="104">
        <f t="shared" si="37"/>
        <v>23.000159669999999</v>
      </c>
      <c r="AA167" s="115">
        <f>IF(B167="","",SMALL(Z$6:Z$185,ROWS(AD$6:AD167)))</f>
        <v>23.000159669999999</v>
      </c>
      <c r="AB167" s="272"/>
      <c r="AC167" s="4">
        <f>IF(OR(B167="",U167=""),"",INDEX($B$6:$B$185,MATCH(AA167,$Z$6:Z$185,0)))</f>
        <v>0</v>
      </c>
      <c r="AD167" s="4">
        <f t="shared" si="43"/>
        <v>0</v>
      </c>
      <c r="AE167" s="4">
        <f t="shared" si="44"/>
        <v>0</v>
      </c>
      <c r="AF167" s="113">
        <f t="shared" si="38"/>
        <v>0</v>
      </c>
      <c r="AG167" s="271">
        <f>IF(AA167="","",IF(AND(AD166=AD167,AE166=AE167,AF166=AF167),AG166,$AG$6+161))</f>
        <v>23</v>
      </c>
      <c r="AH167" s="34"/>
      <c r="AI167" s="92"/>
    </row>
    <row r="168" spans="1:36" s="23" customFormat="1" ht="18" customHeight="1">
      <c r="A168" s="282">
        <v>163</v>
      </c>
      <c r="B168" s="288">
        <f>+'Joueurs et TirageV'!G49</f>
        <v>0</v>
      </c>
      <c r="C168" s="136" t="str">
        <f>IF(ISNA(VLOOKUP(B168,RésultatsV!$B$10:$E$248,3,0)),"0",VLOOKUP(B168,RésultatsV!$B$10:$E$248,3,0))</f>
        <v>0</v>
      </c>
      <c r="D168" s="136">
        <f>IF(ISNA(VLOOKUP(B168,RésultatsV!$B$10:$E$248,4,0)),"0",VLOOKUP(B168,RésultatsV!$B$10:$E$248,4,0))</f>
        <v>0</v>
      </c>
      <c r="E168" s="136">
        <f>IF(ISNA(VLOOKUP(B168,RésultatsV!$B$10:$E$248,2,0)),"0",VLOOKUP(B168,RésultatsV!$B$10:$E$248,2,0))</f>
        <v>0</v>
      </c>
      <c r="F168" s="136">
        <f>IF(ISNA(VLOOKUP(B168,RésultatsV!$G$10:$J$248,3,0)),"0",VLOOKUP(B168,RésultatsV!$G$10:$J$248,3,0))</f>
        <v>0</v>
      </c>
      <c r="G168" s="136">
        <f>IF(ISNA(VLOOKUP(B168,RésultatsV!$G$10:$J$248,4,0)),"0",VLOOKUP(B168,RésultatsV!$G$10:$J$248,4,0))</f>
        <v>0</v>
      </c>
      <c r="H168" s="136">
        <f>IF(ISNA(VLOOKUP(B168,RésultatsV!$G$10:$J$248,2,0)),"0",VLOOKUP(B168,RésultatsV!$G$10:$J$248,2,0))</f>
        <v>0</v>
      </c>
      <c r="I168" s="136">
        <f>IF(ISNA(VLOOKUP(B168,RésultatsV!$L$10:$O$248,3,0)),"0",VLOOKUP(B168,RésultatsV!$L$10:$O$248,3,0))</f>
        <v>0</v>
      </c>
      <c r="J168" s="136">
        <f>IF(ISNA(VLOOKUP(B168,RésultatsV!$L$10:$O$248,4,0)),"0",VLOOKUP(B168,RésultatsV!$L$10:$O$248,4,0))</f>
        <v>0</v>
      </c>
      <c r="K168" s="136">
        <f>IF(ISNA(VLOOKUP(B168,RésultatsV!$L$10:$O$248,2,0)),"0",VLOOKUP(B168,RésultatsV!$L$10:$O$248,2,0))</f>
        <v>0</v>
      </c>
      <c r="L168" s="136">
        <f>IF(ISNA(VLOOKUP(B168,RésultatsV!$Q$10:$T$248,3,0)),"0",VLOOKUP(B168,RésultatsV!$Q$10:$T$248,3,0))</f>
        <v>0</v>
      </c>
      <c r="M168" s="136">
        <f>IF(ISNA(VLOOKUP(B168,RésultatsV!$Q$10:$T$248,4,0)),"0",VLOOKUP(B168,RésultatsV!$Q$10:$T$248,4,0))</f>
        <v>0</v>
      </c>
      <c r="N168" s="136">
        <f>IF(ISNA(VLOOKUP(B168,RésultatsV!$Q$10:$T$248,2,0)),"0",VLOOKUP(B168,RésultatsV!$Q$10:$T$248,2,0))</f>
        <v>0</v>
      </c>
      <c r="O168" s="136">
        <f>IF(ISNA(VLOOKUP(B168,RésultatsV!$V$10:$Y$248,3,0)),"0",VLOOKUP(B168,RésultatsV!$V$10:$Y$248,3,0))</f>
        <v>0</v>
      </c>
      <c r="P168" s="136">
        <f>IF(ISNA(VLOOKUP(B168,RésultatsV!$V$10:$Y$248,4,0)),"0",VLOOKUP(B168,RésultatsV!$V$10:$Y$248,4,0))</f>
        <v>0</v>
      </c>
      <c r="Q168" s="136">
        <f>IF(ISNA(VLOOKUP(E168,RésultatsV!$V$10:$Y$248,2,0)),"0",VLOOKUP(E168,RésultatsV!$V$10:$Y$248,2,0))</f>
        <v>0</v>
      </c>
      <c r="R168" s="136">
        <f>IF(ISNA(VLOOKUP(B168,RésultatsV!$AA$10:$AD$248,3,0)),"0",VLOOKUP(B168,RésultatsV!$AA$10:$AD$248,3,0))</f>
        <v>0</v>
      </c>
      <c r="S168" s="136">
        <f>IF(ISNA(VLOOKUP(B168,RésultatsV!$AA$10:$AD$248,4,0)),"0",VLOOKUP(B168,RésultatsV!$AA$10:$AD$248,4,0))</f>
        <v>0</v>
      </c>
      <c r="T168" s="136">
        <f>IF(ISNA(VLOOKUP(B168,RésultatsV!$AA$10:$AD$248,2,0)),"0",VLOOKUP(B168,RésultatsV!$AA$10:$AD$248,2,0))</f>
        <v>0</v>
      </c>
      <c r="U168" s="110">
        <f t="shared" si="41"/>
        <v>0</v>
      </c>
      <c r="V168" s="103">
        <f t="shared" si="42"/>
        <v>0</v>
      </c>
      <c r="W168" s="106">
        <f t="shared" si="36"/>
        <v>0</v>
      </c>
      <c r="X168" s="61">
        <f t="shared" si="39"/>
        <v>0</v>
      </c>
      <c r="Y168" s="52">
        <f t="shared" si="40"/>
        <v>0</v>
      </c>
      <c r="Z168" s="104">
        <f t="shared" si="37"/>
        <v>23.000159679999999</v>
      </c>
      <c r="AA168" s="115">
        <f>IF(B168="","",SMALL(Z$6:Z$185,ROWS(AD$6:AD168)))</f>
        <v>23.000159679999999</v>
      </c>
      <c r="AB168" s="272"/>
      <c r="AC168" s="4">
        <f>IF(OR(B168="",U168=""),"",INDEX($B$6:$B$185,MATCH(AA168,$Z$6:Z$185,0)))</f>
        <v>0</v>
      </c>
      <c r="AD168" s="4">
        <f t="shared" si="43"/>
        <v>0</v>
      </c>
      <c r="AE168" s="4">
        <f t="shared" si="44"/>
        <v>0</v>
      </c>
      <c r="AF168" s="113">
        <f t="shared" si="38"/>
        <v>0</v>
      </c>
      <c r="AG168" s="271">
        <f>IF(AA168="","",IF(AND(AD167=AD168,AE167=AE168,AF167=AF168),AG167,$AG$6+162))</f>
        <v>23</v>
      </c>
      <c r="AH168" s="34"/>
      <c r="AI168" s="92"/>
    </row>
    <row r="169" spans="1:36" s="23" customFormat="1" ht="18" customHeight="1">
      <c r="A169" s="282">
        <v>164</v>
      </c>
      <c r="B169" s="288">
        <f>+'Joueurs et TirageV'!G50</f>
        <v>0</v>
      </c>
      <c r="C169" s="136" t="str">
        <f>IF(ISNA(VLOOKUP(B169,RésultatsV!$B$10:$E$248,3,0)),"0",VLOOKUP(B169,RésultatsV!$B$10:$E$248,3,0))</f>
        <v>0</v>
      </c>
      <c r="D169" s="136">
        <f>IF(ISNA(VLOOKUP(B169,RésultatsV!$B$10:$E$248,4,0)),"0",VLOOKUP(B169,RésultatsV!$B$10:$E$248,4,0))</f>
        <v>0</v>
      </c>
      <c r="E169" s="136">
        <f>IF(ISNA(VLOOKUP(B169,RésultatsV!$B$10:$E$248,2,0)),"0",VLOOKUP(B169,RésultatsV!$B$10:$E$248,2,0))</f>
        <v>0</v>
      </c>
      <c r="F169" s="136">
        <f>IF(ISNA(VLOOKUP(B169,RésultatsV!$G$10:$J$248,3,0)),"0",VLOOKUP(B169,RésultatsV!$G$10:$J$248,3,0))</f>
        <v>0</v>
      </c>
      <c r="G169" s="136">
        <f>IF(ISNA(VLOOKUP(B169,RésultatsV!$G$10:$J$248,4,0)),"0",VLOOKUP(B169,RésultatsV!$G$10:$J$248,4,0))</f>
        <v>0</v>
      </c>
      <c r="H169" s="136">
        <f>IF(ISNA(VLOOKUP(B169,RésultatsV!$G$10:$J$248,2,0)),"0",VLOOKUP(B169,RésultatsV!$G$10:$J$248,2,0))</f>
        <v>0</v>
      </c>
      <c r="I169" s="136">
        <f>IF(ISNA(VLOOKUP(B169,RésultatsV!$L$10:$O$248,3,0)),"0",VLOOKUP(B169,RésultatsV!$L$10:$O$248,3,0))</f>
        <v>0</v>
      </c>
      <c r="J169" s="136">
        <f>IF(ISNA(VLOOKUP(B169,RésultatsV!$L$10:$O$248,4,0)),"0",VLOOKUP(B169,RésultatsV!$L$10:$O$248,4,0))</f>
        <v>0</v>
      </c>
      <c r="K169" s="136">
        <f>IF(ISNA(VLOOKUP(B169,RésultatsV!$L$10:$O$248,2,0)),"0",VLOOKUP(B169,RésultatsV!$L$10:$O$248,2,0))</f>
        <v>0</v>
      </c>
      <c r="L169" s="136">
        <f>IF(ISNA(VLOOKUP(B169,RésultatsV!$Q$10:$T$248,3,0)),"0",VLOOKUP(B169,RésultatsV!$Q$10:$T$248,3,0))</f>
        <v>0</v>
      </c>
      <c r="M169" s="136">
        <f>IF(ISNA(VLOOKUP(B169,RésultatsV!$Q$10:$T$248,4,0)),"0",VLOOKUP(B169,RésultatsV!$Q$10:$T$248,4,0))</f>
        <v>0</v>
      </c>
      <c r="N169" s="136">
        <f>IF(ISNA(VLOOKUP(B169,RésultatsV!$Q$10:$T$248,2,0)),"0",VLOOKUP(B169,RésultatsV!$Q$10:$T$248,2,0))</f>
        <v>0</v>
      </c>
      <c r="O169" s="136">
        <f>IF(ISNA(VLOOKUP(B169,RésultatsV!$V$10:$Y$248,3,0)),"0",VLOOKUP(B169,RésultatsV!$V$10:$Y$248,3,0))</f>
        <v>0</v>
      </c>
      <c r="P169" s="136">
        <f>IF(ISNA(VLOOKUP(B169,RésultatsV!$V$10:$Y$248,4,0)),"0",VLOOKUP(B169,RésultatsV!$V$10:$Y$248,4,0))</f>
        <v>0</v>
      </c>
      <c r="Q169" s="136">
        <f>IF(ISNA(VLOOKUP(E169,RésultatsV!$V$10:$Y$248,2,0)),"0",VLOOKUP(E169,RésultatsV!$V$10:$Y$248,2,0))</f>
        <v>0</v>
      </c>
      <c r="R169" s="136">
        <f>IF(ISNA(VLOOKUP(B169,RésultatsV!$AA$10:$AD$248,3,0)),"0",VLOOKUP(B169,RésultatsV!$AA$10:$AD$248,3,0))</f>
        <v>0</v>
      </c>
      <c r="S169" s="136">
        <f>IF(ISNA(VLOOKUP(B169,RésultatsV!$AA$10:$AD$248,4,0)),"0",VLOOKUP(B169,RésultatsV!$AA$10:$AD$248,4,0))</f>
        <v>0</v>
      </c>
      <c r="T169" s="136">
        <f>IF(ISNA(VLOOKUP(B169,RésultatsV!$AA$10:$AD$248,2,0)),"0",VLOOKUP(B169,RésultatsV!$AA$10:$AD$248,2,0))</f>
        <v>0</v>
      </c>
      <c r="U169" s="110">
        <f t="shared" si="41"/>
        <v>0</v>
      </c>
      <c r="V169" s="103">
        <f t="shared" si="42"/>
        <v>0</v>
      </c>
      <c r="W169" s="106">
        <f t="shared" si="36"/>
        <v>0</v>
      </c>
      <c r="X169" s="61">
        <f t="shared" si="39"/>
        <v>0</v>
      </c>
      <c r="Y169" s="52">
        <f t="shared" si="40"/>
        <v>0</v>
      </c>
      <c r="Z169" s="104">
        <f t="shared" si="37"/>
        <v>23.00015969</v>
      </c>
      <c r="AA169" s="115">
        <f>IF(B169="","",SMALL(Z$6:Z$185,ROWS(AD$6:AD169)))</f>
        <v>23.00015969</v>
      </c>
      <c r="AB169" s="272"/>
      <c r="AC169" s="4">
        <f>IF(OR(B169="",U169=""),"",INDEX($B$6:$B$185,MATCH(AA169,$Z$6:Z$185,0)))</f>
        <v>0</v>
      </c>
      <c r="AD169" s="4">
        <f t="shared" si="43"/>
        <v>0</v>
      </c>
      <c r="AE169" s="4">
        <f t="shared" si="44"/>
        <v>0</v>
      </c>
      <c r="AF169" s="113">
        <f t="shared" si="38"/>
        <v>0</v>
      </c>
      <c r="AG169" s="271">
        <f>IF(AA169="","",IF(AND(AD168=AD169,AE168=AE169,AF168=AF169),AG168,$AG$6+163))</f>
        <v>23</v>
      </c>
      <c r="AH169" s="34"/>
      <c r="AI169" s="92"/>
    </row>
    <row r="170" spans="1:36" s="23" customFormat="1" ht="18" customHeight="1">
      <c r="A170" s="282">
        <v>165</v>
      </c>
      <c r="B170" s="288">
        <f>+'Joueurs et TirageV'!G51</f>
        <v>0</v>
      </c>
      <c r="C170" s="136" t="str">
        <f>IF(ISNA(VLOOKUP(B170,RésultatsV!$B$10:$E$248,3,0)),"0",VLOOKUP(B170,RésultatsV!$B$10:$E$248,3,0))</f>
        <v>0</v>
      </c>
      <c r="D170" s="136">
        <f>IF(ISNA(VLOOKUP(B170,RésultatsV!$B$10:$E$248,4,0)),"0",VLOOKUP(B170,RésultatsV!$B$10:$E$248,4,0))</f>
        <v>0</v>
      </c>
      <c r="E170" s="136">
        <f>IF(ISNA(VLOOKUP(B170,RésultatsV!$B$10:$E$248,2,0)),"0",VLOOKUP(B170,RésultatsV!$B$10:$E$248,2,0))</f>
        <v>0</v>
      </c>
      <c r="F170" s="136">
        <f>IF(ISNA(VLOOKUP(B170,RésultatsV!$G$10:$J$248,3,0)),"0",VLOOKUP(B170,RésultatsV!$G$10:$J$248,3,0))</f>
        <v>0</v>
      </c>
      <c r="G170" s="136">
        <f>IF(ISNA(VLOOKUP(B170,RésultatsV!$G$10:$J$248,4,0)),"0",VLOOKUP(B170,RésultatsV!$G$10:$J$248,4,0))</f>
        <v>0</v>
      </c>
      <c r="H170" s="136">
        <f>IF(ISNA(VLOOKUP(B170,RésultatsV!$G$10:$J$248,2,0)),"0",VLOOKUP(B170,RésultatsV!$G$10:$J$248,2,0))</f>
        <v>0</v>
      </c>
      <c r="I170" s="136">
        <f>IF(ISNA(VLOOKUP(B170,RésultatsV!$L$10:$O$248,3,0)),"0",VLOOKUP(B170,RésultatsV!$L$10:$O$248,3,0))</f>
        <v>0</v>
      </c>
      <c r="J170" s="136">
        <f>IF(ISNA(VLOOKUP(B170,RésultatsV!$L$10:$O$248,4,0)),"0",VLOOKUP(B170,RésultatsV!$L$10:$O$248,4,0))</f>
        <v>0</v>
      </c>
      <c r="K170" s="136">
        <f>IF(ISNA(VLOOKUP(B170,RésultatsV!$L$10:$O$248,2,0)),"0",VLOOKUP(B170,RésultatsV!$L$10:$O$248,2,0))</f>
        <v>0</v>
      </c>
      <c r="L170" s="136">
        <f>IF(ISNA(VLOOKUP(B170,RésultatsV!$Q$10:$T$248,3,0)),"0",VLOOKUP(B170,RésultatsV!$Q$10:$T$248,3,0))</f>
        <v>0</v>
      </c>
      <c r="M170" s="136">
        <f>IF(ISNA(VLOOKUP(B170,RésultatsV!$Q$10:$T$248,4,0)),"0",VLOOKUP(B170,RésultatsV!$Q$10:$T$248,4,0))</f>
        <v>0</v>
      </c>
      <c r="N170" s="136">
        <f>IF(ISNA(VLOOKUP(B170,RésultatsV!$Q$10:$T$248,2,0)),"0",VLOOKUP(B170,RésultatsV!$Q$10:$T$248,2,0))</f>
        <v>0</v>
      </c>
      <c r="O170" s="136">
        <f>IF(ISNA(VLOOKUP(B170,RésultatsV!$V$10:$Y$248,3,0)),"0",VLOOKUP(B170,RésultatsV!$V$10:$Y$248,3,0))</f>
        <v>0</v>
      </c>
      <c r="P170" s="136">
        <f>IF(ISNA(VLOOKUP(B170,RésultatsV!$V$10:$Y$248,4,0)),"0",VLOOKUP(B170,RésultatsV!$V$10:$Y$248,4,0))</f>
        <v>0</v>
      </c>
      <c r="Q170" s="136">
        <f>IF(ISNA(VLOOKUP(E170,RésultatsV!$V$10:$Y$248,2,0)),"0",VLOOKUP(E170,RésultatsV!$V$10:$Y$248,2,0))</f>
        <v>0</v>
      </c>
      <c r="R170" s="136">
        <f>IF(ISNA(VLOOKUP(B170,RésultatsV!$AA$10:$AD$248,3,0)),"0",VLOOKUP(B170,RésultatsV!$AA$10:$AD$248,3,0))</f>
        <v>0</v>
      </c>
      <c r="S170" s="136">
        <f>IF(ISNA(VLOOKUP(B170,RésultatsV!$AA$10:$AD$248,4,0)),"0",VLOOKUP(B170,RésultatsV!$AA$10:$AD$248,4,0))</f>
        <v>0</v>
      </c>
      <c r="T170" s="136">
        <f>IF(ISNA(VLOOKUP(B170,RésultatsV!$AA$10:$AD$248,2,0)),"0",VLOOKUP(B170,RésultatsV!$AA$10:$AD$248,2,0))</f>
        <v>0</v>
      </c>
      <c r="U170" s="110">
        <f t="shared" si="41"/>
        <v>0</v>
      </c>
      <c r="V170" s="103">
        <f t="shared" si="42"/>
        <v>0</v>
      </c>
      <c r="W170" s="106">
        <f t="shared" si="36"/>
        <v>0</v>
      </c>
      <c r="X170" s="61">
        <f t="shared" si="39"/>
        <v>0</v>
      </c>
      <c r="Y170" s="52">
        <f t="shared" si="40"/>
        <v>0</v>
      </c>
      <c r="Z170" s="104">
        <f t="shared" si="37"/>
        <v>23.000159699999998</v>
      </c>
      <c r="AA170" s="115">
        <f>IF(B170="","",SMALL(Z$6:Z$185,ROWS(AD$6:AD170)))</f>
        <v>23.000159699999998</v>
      </c>
      <c r="AB170" s="272"/>
      <c r="AC170" s="4">
        <f>IF(OR(B170="",U170=""),"",INDEX($B$6:$B$185,MATCH(AA170,$Z$6:Z$185,0)))</f>
        <v>0</v>
      </c>
      <c r="AD170" s="4">
        <f t="shared" si="43"/>
        <v>0</v>
      </c>
      <c r="AE170" s="4">
        <f t="shared" si="44"/>
        <v>0</v>
      </c>
      <c r="AF170" s="113">
        <f t="shared" si="38"/>
        <v>0</v>
      </c>
      <c r="AG170" s="271">
        <f>IF(AA170="","",IF(AND(AD169=AD170,AE169=AE170,AF169=AF170),AG169,$AG$6+164))</f>
        <v>23</v>
      </c>
      <c r="AH170" s="34"/>
      <c r="AI170" s="92"/>
    </row>
    <row r="171" spans="1:36" s="23" customFormat="1" ht="18" customHeight="1">
      <c r="A171" s="282">
        <v>166</v>
      </c>
      <c r="B171" s="288">
        <f>+'Joueurs et TirageV'!G52</f>
        <v>0</v>
      </c>
      <c r="C171" s="136" t="str">
        <f>IF(ISNA(VLOOKUP(B171,RésultatsV!$B$10:$E$248,3,0)),"0",VLOOKUP(B171,RésultatsV!$B$10:$E$248,3,0))</f>
        <v>0</v>
      </c>
      <c r="D171" s="136">
        <f>IF(ISNA(VLOOKUP(B171,RésultatsV!$B$10:$E$248,4,0)),"0",VLOOKUP(B171,RésultatsV!$B$10:$E$248,4,0))</f>
        <v>0</v>
      </c>
      <c r="E171" s="136">
        <f>IF(ISNA(VLOOKUP(B171,RésultatsV!$B$10:$E$248,2,0)),"0",VLOOKUP(B171,RésultatsV!$B$10:$E$248,2,0))</f>
        <v>0</v>
      </c>
      <c r="F171" s="136">
        <f>IF(ISNA(VLOOKUP(B171,RésultatsV!$G$10:$J$248,3,0)),"0",VLOOKUP(B171,RésultatsV!$G$10:$J$248,3,0))</f>
        <v>0</v>
      </c>
      <c r="G171" s="136">
        <f>IF(ISNA(VLOOKUP(B171,RésultatsV!$G$10:$J$248,4,0)),"0",VLOOKUP(B171,RésultatsV!$G$10:$J$248,4,0))</f>
        <v>0</v>
      </c>
      <c r="H171" s="136">
        <f>IF(ISNA(VLOOKUP(B171,RésultatsV!$G$10:$J$248,2,0)),"0",VLOOKUP(B171,RésultatsV!$G$10:$J$248,2,0))</f>
        <v>0</v>
      </c>
      <c r="I171" s="136">
        <f>IF(ISNA(VLOOKUP(B171,RésultatsV!$L$10:$O$248,3,0)),"0",VLOOKUP(B171,RésultatsV!$L$10:$O$248,3,0))</f>
        <v>0</v>
      </c>
      <c r="J171" s="136">
        <f>IF(ISNA(VLOOKUP(B171,RésultatsV!$L$10:$O$248,4,0)),"0",VLOOKUP(B171,RésultatsV!$L$10:$O$248,4,0))</f>
        <v>0</v>
      </c>
      <c r="K171" s="136">
        <f>IF(ISNA(VLOOKUP(B171,RésultatsV!$L$10:$O$248,2,0)),"0",VLOOKUP(B171,RésultatsV!$L$10:$O$248,2,0))</f>
        <v>0</v>
      </c>
      <c r="L171" s="136">
        <f>IF(ISNA(VLOOKUP(B171,RésultatsV!$Q$10:$T$248,3,0)),"0",VLOOKUP(B171,RésultatsV!$Q$10:$T$248,3,0))</f>
        <v>0</v>
      </c>
      <c r="M171" s="136">
        <f>IF(ISNA(VLOOKUP(B171,RésultatsV!$Q$10:$T$248,4,0)),"0",VLOOKUP(B171,RésultatsV!$Q$10:$T$248,4,0))</f>
        <v>0</v>
      </c>
      <c r="N171" s="136">
        <f>IF(ISNA(VLOOKUP(B171,RésultatsV!$Q$10:$T$248,2,0)),"0",VLOOKUP(B171,RésultatsV!$Q$10:$T$248,2,0))</f>
        <v>0</v>
      </c>
      <c r="O171" s="136">
        <f>IF(ISNA(VLOOKUP(B171,RésultatsV!$V$10:$Y$248,3,0)),"0",VLOOKUP(B171,RésultatsV!$V$10:$Y$248,3,0))</f>
        <v>0</v>
      </c>
      <c r="P171" s="136">
        <f>IF(ISNA(VLOOKUP(B171,RésultatsV!$V$10:$Y$248,4,0)),"0",VLOOKUP(B171,RésultatsV!$V$10:$Y$248,4,0))</f>
        <v>0</v>
      </c>
      <c r="Q171" s="136">
        <f>IF(ISNA(VLOOKUP(E171,RésultatsV!$V$10:$Y$248,2,0)),"0",VLOOKUP(E171,RésultatsV!$V$10:$Y$248,2,0))</f>
        <v>0</v>
      </c>
      <c r="R171" s="136">
        <f>IF(ISNA(VLOOKUP(B171,RésultatsV!$AA$10:$AD$248,3,0)),"0",VLOOKUP(B171,RésultatsV!$AA$10:$AD$248,3,0))</f>
        <v>0</v>
      </c>
      <c r="S171" s="136">
        <f>IF(ISNA(VLOOKUP(B171,RésultatsV!$AA$10:$AD$248,4,0)),"0",VLOOKUP(B171,RésultatsV!$AA$10:$AD$248,4,0))</f>
        <v>0</v>
      </c>
      <c r="T171" s="136">
        <f>IF(ISNA(VLOOKUP(B171,RésultatsV!$AA$10:$AD$248,2,0)),"0",VLOOKUP(B171,RésultatsV!$AA$10:$AD$248,2,0))</f>
        <v>0</v>
      </c>
      <c r="U171" s="110">
        <f t="shared" si="41"/>
        <v>0</v>
      </c>
      <c r="V171" s="103">
        <f t="shared" si="42"/>
        <v>0</v>
      </c>
      <c r="W171" s="106">
        <f t="shared" si="36"/>
        <v>0</v>
      </c>
      <c r="X171" s="61">
        <f t="shared" si="39"/>
        <v>0</v>
      </c>
      <c r="Y171" s="52">
        <f t="shared" si="40"/>
        <v>0</v>
      </c>
      <c r="Z171" s="104">
        <f t="shared" si="37"/>
        <v>23.000159709999998</v>
      </c>
      <c r="AA171" s="115">
        <f>IF(B171="","",SMALL(Z$6:Z$185,ROWS(AD$6:AD171)))</f>
        <v>23.000159709999998</v>
      </c>
      <c r="AB171" s="272"/>
      <c r="AC171" s="4">
        <f>IF(OR(B171="",U171=""),"",INDEX($B$6:$B$185,MATCH(AA171,$Z$6:Z$185,0)))</f>
        <v>0</v>
      </c>
      <c r="AD171" s="4">
        <f t="shared" si="43"/>
        <v>0</v>
      </c>
      <c r="AE171" s="4">
        <f t="shared" si="44"/>
        <v>0</v>
      </c>
      <c r="AF171" s="113">
        <f t="shared" si="38"/>
        <v>0</v>
      </c>
      <c r="AG171" s="271">
        <f>IF(AA171="","",IF(AND(AD170=AD171,AE170=AE171,AF170=AF171),AG170,$AG$6+165))</f>
        <v>23</v>
      </c>
      <c r="AH171" s="34"/>
      <c r="AI171" s="92"/>
    </row>
    <row r="172" spans="1:36" s="23" customFormat="1" ht="18" customHeight="1">
      <c r="A172" s="282">
        <v>167</v>
      </c>
      <c r="B172" s="288">
        <f>+'Joueurs et TirageV'!G53</f>
        <v>0</v>
      </c>
      <c r="C172" s="136" t="str">
        <f>IF(ISNA(VLOOKUP(B172,RésultatsV!$B$10:$E$248,3,0)),"0",VLOOKUP(B172,RésultatsV!$B$10:$E$248,3,0))</f>
        <v>0</v>
      </c>
      <c r="D172" s="136">
        <f>IF(ISNA(VLOOKUP(B172,RésultatsV!$B$10:$E$248,4,0)),"0",VLOOKUP(B172,RésultatsV!$B$10:$E$248,4,0))</f>
        <v>0</v>
      </c>
      <c r="E172" s="136">
        <f>IF(ISNA(VLOOKUP(B172,RésultatsV!$B$10:$E$248,2,0)),"0",VLOOKUP(B172,RésultatsV!$B$10:$E$248,2,0))</f>
        <v>0</v>
      </c>
      <c r="F172" s="136">
        <f>IF(ISNA(VLOOKUP(B172,RésultatsV!$G$10:$J$248,3,0)),"0",VLOOKUP(B172,RésultatsV!$G$10:$J$248,3,0))</f>
        <v>0</v>
      </c>
      <c r="G172" s="136">
        <f>IF(ISNA(VLOOKUP(B172,RésultatsV!$G$10:$J$248,4,0)),"0",VLOOKUP(B172,RésultatsV!$G$10:$J$248,4,0))</f>
        <v>0</v>
      </c>
      <c r="H172" s="136">
        <f>IF(ISNA(VLOOKUP(B172,RésultatsV!$G$10:$J$248,2,0)),"0",VLOOKUP(B172,RésultatsV!$G$10:$J$248,2,0))</f>
        <v>0</v>
      </c>
      <c r="I172" s="136">
        <f>IF(ISNA(VLOOKUP(B172,RésultatsV!$L$10:$O$248,3,0)),"0",VLOOKUP(B172,RésultatsV!$L$10:$O$248,3,0))</f>
        <v>0</v>
      </c>
      <c r="J172" s="136">
        <f>IF(ISNA(VLOOKUP(B172,RésultatsV!$L$10:$O$248,4,0)),"0",VLOOKUP(B172,RésultatsV!$L$10:$O$248,4,0))</f>
        <v>0</v>
      </c>
      <c r="K172" s="136">
        <f>IF(ISNA(VLOOKUP(B172,RésultatsV!$L$10:$O$248,2,0)),"0",VLOOKUP(B172,RésultatsV!$L$10:$O$248,2,0))</f>
        <v>0</v>
      </c>
      <c r="L172" s="136">
        <f>IF(ISNA(VLOOKUP(B172,RésultatsV!$Q$10:$T$248,3,0)),"0",VLOOKUP(B172,RésultatsV!$Q$10:$T$248,3,0))</f>
        <v>0</v>
      </c>
      <c r="M172" s="136">
        <f>IF(ISNA(VLOOKUP(B172,RésultatsV!$Q$10:$T$248,4,0)),"0",VLOOKUP(B172,RésultatsV!$Q$10:$T$248,4,0))</f>
        <v>0</v>
      </c>
      <c r="N172" s="136">
        <f>IF(ISNA(VLOOKUP(B172,RésultatsV!$Q$10:$T$248,2,0)),"0",VLOOKUP(B172,RésultatsV!$Q$10:$T$248,2,0))</f>
        <v>0</v>
      </c>
      <c r="O172" s="136">
        <f>IF(ISNA(VLOOKUP(B172,RésultatsV!$V$10:$Y$248,3,0)),"0",VLOOKUP(B172,RésultatsV!$V$10:$Y$248,3,0))</f>
        <v>0</v>
      </c>
      <c r="P172" s="136">
        <f>IF(ISNA(VLOOKUP(B172,RésultatsV!$V$10:$Y$248,4,0)),"0",VLOOKUP(B172,RésultatsV!$V$10:$Y$248,4,0))</f>
        <v>0</v>
      </c>
      <c r="Q172" s="136">
        <f>IF(ISNA(VLOOKUP(E172,RésultatsV!$V$10:$Y$248,2,0)),"0",VLOOKUP(E172,RésultatsV!$V$10:$Y$248,2,0))</f>
        <v>0</v>
      </c>
      <c r="R172" s="136">
        <f>IF(ISNA(VLOOKUP(B172,RésultatsV!$AA$10:$AD$248,3,0)),"0",VLOOKUP(B172,RésultatsV!$AA$10:$AD$248,3,0))</f>
        <v>0</v>
      </c>
      <c r="S172" s="136">
        <f>IF(ISNA(VLOOKUP(B172,RésultatsV!$AA$10:$AD$248,4,0)),"0",VLOOKUP(B172,RésultatsV!$AA$10:$AD$248,4,0))</f>
        <v>0</v>
      </c>
      <c r="T172" s="136">
        <f>IF(ISNA(VLOOKUP(B172,RésultatsV!$AA$10:$AD$248,2,0)),"0",VLOOKUP(B172,RésultatsV!$AA$10:$AD$248,2,0))</f>
        <v>0</v>
      </c>
      <c r="U172" s="110">
        <f t="shared" si="41"/>
        <v>0</v>
      </c>
      <c r="V172" s="103">
        <f t="shared" si="42"/>
        <v>0</v>
      </c>
      <c r="W172" s="106">
        <f t="shared" si="36"/>
        <v>0</v>
      </c>
      <c r="X172" s="61">
        <f t="shared" si="39"/>
        <v>0</v>
      </c>
      <c r="Y172" s="52">
        <f t="shared" si="40"/>
        <v>0</v>
      </c>
      <c r="Z172" s="104">
        <f t="shared" si="37"/>
        <v>23.000159719999999</v>
      </c>
      <c r="AA172" s="115">
        <f>IF(B172="","",SMALL(Z$6:Z$185,ROWS(AD$6:AD172)))</f>
        <v>23.000159719999999</v>
      </c>
      <c r="AB172" s="272"/>
      <c r="AC172" s="4">
        <f>IF(OR(B172="",U172=""),"",INDEX($B$6:$B$185,MATCH(AA172,$Z$6:Z$185,0)))</f>
        <v>0</v>
      </c>
      <c r="AD172" s="4">
        <f t="shared" si="43"/>
        <v>0</v>
      </c>
      <c r="AE172" s="4">
        <f t="shared" si="44"/>
        <v>0</v>
      </c>
      <c r="AF172" s="113">
        <f t="shared" si="38"/>
        <v>0</v>
      </c>
      <c r="AG172" s="271">
        <f>IF(AA172="","",IF(AND(AD171=AD172,AE171=AE172,AF171=AF172),AG171,$AG$6+166))</f>
        <v>23</v>
      </c>
      <c r="AH172" s="34"/>
      <c r="AI172" s="92"/>
    </row>
    <row r="173" spans="1:36" s="23" customFormat="1" ht="18" customHeight="1">
      <c r="A173" s="282">
        <v>168</v>
      </c>
      <c r="B173" s="288">
        <f>+'Joueurs et TirageV'!G54</f>
        <v>0</v>
      </c>
      <c r="C173" s="136" t="str">
        <f>IF(ISNA(VLOOKUP(B173,RésultatsV!$B$10:$E$248,3,0)),"0",VLOOKUP(B173,RésultatsV!$B$10:$E$248,3,0))</f>
        <v>0</v>
      </c>
      <c r="D173" s="136">
        <f>IF(ISNA(VLOOKUP(B173,RésultatsV!$B$10:$E$248,4,0)),"0",VLOOKUP(B173,RésultatsV!$B$10:$E$248,4,0))</f>
        <v>0</v>
      </c>
      <c r="E173" s="136">
        <f>IF(ISNA(VLOOKUP(B173,RésultatsV!$B$10:$E$248,2,0)),"0",VLOOKUP(B173,RésultatsV!$B$10:$E$248,2,0))</f>
        <v>0</v>
      </c>
      <c r="F173" s="136">
        <f>IF(ISNA(VLOOKUP(B173,RésultatsV!$G$10:$J$248,3,0)),"0",VLOOKUP(B173,RésultatsV!$G$10:$J$248,3,0))</f>
        <v>0</v>
      </c>
      <c r="G173" s="136">
        <f>IF(ISNA(VLOOKUP(B173,RésultatsV!$G$10:$J$248,4,0)),"0",VLOOKUP(B173,RésultatsV!$G$10:$J$248,4,0))</f>
        <v>0</v>
      </c>
      <c r="H173" s="136">
        <f>IF(ISNA(VLOOKUP(B173,RésultatsV!$G$10:$J$248,2,0)),"0",VLOOKUP(B173,RésultatsV!$G$10:$J$248,2,0))</f>
        <v>0</v>
      </c>
      <c r="I173" s="136">
        <f>IF(ISNA(VLOOKUP(B173,RésultatsV!$L$10:$O$248,3,0)),"0",VLOOKUP(B173,RésultatsV!$L$10:$O$248,3,0))</f>
        <v>0</v>
      </c>
      <c r="J173" s="136">
        <f>IF(ISNA(VLOOKUP(B173,RésultatsV!$L$10:$O$248,4,0)),"0",VLOOKUP(B173,RésultatsV!$L$10:$O$248,4,0))</f>
        <v>0</v>
      </c>
      <c r="K173" s="136">
        <f>IF(ISNA(VLOOKUP(B173,RésultatsV!$L$10:$O$248,2,0)),"0",VLOOKUP(B173,RésultatsV!$L$10:$O$248,2,0))</f>
        <v>0</v>
      </c>
      <c r="L173" s="136">
        <f>IF(ISNA(VLOOKUP(B173,RésultatsV!$Q$10:$T$248,3,0)),"0",VLOOKUP(B173,RésultatsV!$Q$10:$T$248,3,0))</f>
        <v>0</v>
      </c>
      <c r="M173" s="136">
        <f>IF(ISNA(VLOOKUP(B173,RésultatsV!$Q$10:$T$248,4,0)),"0",VLOOKUP(B173,RésultatsV!$Q$10:$T$248,4,0))</f>
        <v>0</v>
      </c>
      <c r="N173" s="136">
        <f>IF(ISNA(VLOOKUP(B173,RésultatsV!$Q$10:$T$248,2,0)),"0",VLOOKUP(B173,RésultatsV!$Q$10:$T$248,2,0))</f>
        <v>0</v>
      </c>
      <c r="O173" s="136">
        <f>IF(ISNA(VLOOKUP(B173,RésultatsV!$V$10:$Y$248,3,0)),"0",VLOOKUP(B173,RésultatsV!$V$10:$Y$248,3,0))</f>
        <v>0</v>
      </c>
      <c r="P173" s="136">
        <f>IF(ISNA(VLOOKUP(B173,RésultatsV!$V$10:$Y$248,4,0)),"0",VLOOKUP(B173,RésultatsV!$V$10:$Y$248,4,0))</f>
        <v>0</v>
      </c>
      <c r="Q173" s="136">
        <f>IF(ISNA(VLOOKUP(E173,RésultatsV!$V$10:$Y$248,2,0)),"0",VLOOKUP(E173,RésultatsV!$V$10:$Y$248,2,0))</f>
        <v>0</v>
      </c>
      <c r="R173" s="136">
        <f>IF(ISNA(VLOOKUP(B173,RésultatsV!$AA$10:$AD$248,3,0)),"0",VLOOKUP(B173,RésultatsV!$AA$10:$AD$248,3,0))</f>
        <v>0</v>
      </c>
      <c r="S173" s="136">
        <f>IF(ISNA(VLOOKUP(B173,RésultatsV!$AA$10:$AD$248,4,0)),"0",VLOOKUP(B173,RésultatsV!$AA$10:$AD$248,4,0))</f>
        <v>0</v>
      </c>
      <c r="T173" s="136">
        <f>IF(ISNA(VLOOKUP(B173,RésultatsV!$AA$10:$AD$248,2,0)),"0",VLOOKUP(B173,RésultatsV!$AA$10:$AD$248,2,0))</f>
        <v>0</v>
      </c>
      <c r="U173" s="110">
        <f t="shared" si="41"/>
        <v>0</v>
      </c>
      <c r="V173" s="103">
        <f t="shared" si="42"/>
        <v>0</v>
      </c>
      <c r="W173" s="106">
        <f t="shared" si="36"/>
        <v>0</v>
      </c>
      <c r="X173" s="61">
        <f t="shared" si="39"/>
        <v>0</v>
      </c>
      <c r="Y173" s="52">
        <f t="shared" si="40"/>
        <v>0</v>
      </c>
      <c r="Z173" s="104">
        <f t="shared" si="37"/>
        <v>23.00015973</v>
      </c>
      <c r="AA173" s="115">
        <f>IF(B173="","",SMALL(Z$6:Z$185,ROWS(AD$6:AD173)))</f>
        <v>23.00015973</v>
      </c>
      <c r="AB173" s="272"/>
      <c r="AC173" s="4">
        <f>IF(OR(B173="",U173=""),"",INDEX($B$6:$B$185,MATCH(AA173,$Z$6:Z$185,0)))</f>
        <v>0</v>
      </c>
      <c r="AD173" s="4">
        <f t="shared" si="43"/>
        <v>0</v>
      </c>
      <c r="AE173" s="4">
        <f t="shared" si="44"/>
        <v>0</v>
      </c>
      <c r="AF173" s="113">
        <f t="shared" si="38"/>
        <v>0</v>
      </c>
      <c r="AG173" s="271">
        <f>IF(AA173="","",IF(AND(AD172=AD173,AE172=AE173,AF172=AF173),AG172,$AG$6+167))</f>
        <v>23</v>
      </c>
      <c r="AH173" s="34"/>
      <c r="AI173" s="92"/>
    </row>
    <row r="174" spans="1:36" s="23" customFormat="1" ht="18" customHeight="1">
      <c r="A174" s="282">
        <v>169</v>
      </c>
      <c r="B174" s="288">
        <f>+'Joueurs et TirageV'!G55</f>
        <v>0</v>
      </c>
      <c r="C174" s="136" t="str">
        <f>IF(ISNA(VLOOKUP(B174,RésultatsV!$B$10:$E$248,3,0)),"0",VLOOKUP(B174,RésultatsV!$B$10:$E$248,3,0))</f>
        <v>0</v>
      </c>
      <c r="D174" s="136">
        <f>IF(ISNA(VLOOKUP(B174,RésultatsV!$B$10:$E$248,4,0)),"0",VLOOKUP(B174,RésultatsV!$B$10:$E$248,4,0))</f>
        <v>0</v>
      </c>
      <c r="E174" s="136">
        <f>IF(ISNA(VLOOKUP(B174,RésultatsV!$B$10:$E$248,2,0)),"0",VLOOKUP(B174,RésultatsV!$B$10:$E$248,2,0))</f>
        <v>0</v>
      </c>
      <c r="F174" s="136">
        <f>IF(ISNA(VLOOKUP(B174,RésultatsV!$G$10:$J$248,3,0)),"0",VLOOKUP(B174,RésultatsV!$G$10:$J$248,3,0))</f>
        <v>0</v>
      </c>
      <c r="G174" s="136">
        <f>IF(ISNA(VLOOKUP(B174,RésultatsV!$G$10:$J$248,4,0)),"0",VLOOKUP(B174,RésultatsV!$G$10:$J$248,4,0))</f>
        <v>0</v>
      </c>
      <c r="H174" s="136">
        <f>IF(ISNA(VLOOKUP(B174,RésultatsV!$G$10:$J$248,2,0)),"0",VLOOKUP(B174,RésultatsV!$G$10:$J$248,2,0))</f>
        <v>0</v>
      </c>
      <c r="I174" s="136">
        <f>IF(ISNA(VLOOKUP(B174,RésultatsV!$L$10:$O$248,3,0)),"0",VLOOKUP(B174,RésultatsV!$L$10:$O$248,3,0))</f>
        <v>0</v>
      </c>
      <c r="J174" s="136">
        <f>IF(ISNA(VLOOKUP(B174,RésultatsV!$L$10:$O$248,4,0)),"0",VLOOKUP(B174,RésultatsV!$L$10:$O$248,4,0))</f>
        <v>0</v>
      </c>
      <c r="K174" s="136">
        <f>IF(ISNA(VLOOKUP(B174,RésultatsV!$L$10:$O$248,2,0)),"0",VLOOKUP(B174,RésultatsV!$L$10:$O$248,2,0))</f>
        <v>0</v>
      </c>
      <c r="L174" s="136">
        <f>IF(ISNA(VLOOKUP(B174,RésultatsV!$Q$10:$T$248,3,0)),"0",VLOOKUP(B174,RésultatsV!$Q$10:$T$248,3,0))</f>
        <v>0</v>
      </c>
      <c r="M174" s="136">
        <f>IF(ISNA(VLOOKUP(B174,RésultatsV!$Q$10:$T$248,4,0)),"0",VLOOKUP(B174,RésultatsV!$Q$10:$T$248,4,0))</f>
        <v>0</v>
      </c>
      <c r="N174" s="136">
        <f>IF(ISNA(VLOOKUP(B174,RésultatsV!$Q$10:$T$248,2,0)),"0",VLOOKUP(B174,RésultatsV!$Q$10:$T$248,2,0))</f>
        <v>0</v>
      </c>
      <c r="O174" s="136">
        <f>IF(ISNA(VLOOKUP(B174,RésultatsV!$V$10:$Y$248,3,0)),"0",VLOOKUP(B174,RésultatsV!$V$10:$Y$248,3,0))</f>
        <v>0</v>
      </c>
      <c r="P174" s="136">
        <f>IF(ISNA(VLOOKUP(B174,RésultatsV!$V$10:$Y$248,4,0)),"0",VLOOKUP(B174,RésultatsV!$V$10:$Y$248,4,0))</f>
        <v>0</v>
      </c>
      <c r="Q174" s="136">
        <f>IF(ISNA(VLOOKUP(E174,RésultatsV!$V$10:$Y$248,2,0)),"0",VLOOKUP(E174,RésultatsV!$V$10:$Y$248,2,0))</f>
        <v>0</v>
      </c>
      <c r="R174" s="136">
        <f>IF(ISNA(VLOOKUP(B174,RésultatsV!$AA$10:$AD$248,3,0)),"0",VLOOKUP(B174,RésultatsV!$AA$10:$AD$248,3,0))</f>
        <v>0</v>
      </c>
      <c r="S174" s="136">
        <f>IF(ISNA(VLOOKUP(B174,RésultatsV!$AA$10:$AD$248,4,0)),"0",VLOOKUP(B174,RésultatsV!$AA$10:$AD$248,4,0))</f>
        <v>0</v>
      </c>
      <c r="T174" s="136">
        <f>IF(ISNA(VLOOKUP(B174,RésultatsV!$AA$10:$AD$248,2,0)),"0",VLOOKUP(B174,RésultatsV!$AA$10:$AD$248,2,0))</f>
        <v>0</v>
      </c>
      <c r="U174" s="110">
        <f t="shared" si="41"/>
        <v>0</v>
      </c>
      <c r="V174" s="103">
        <f t="shared" si="42"/>
        <v>0</v>
      </c>
      <c r="W174" s="106">
        <f t="shared" si="36"/>
        <v>0</v>
      </c>
      <c r="X174" s="61">
        <f t="shared" si="39"/>
        <v>0</v>
      </c>
      <c r="Y174" s="52">
        <f t="shared" si="40"/>
        <v>0</v>
      </c>
      <c r="Z174" s="104">
        <f t="shared" si="37"/>
        <v>23.000159739999997</v>
      </c>
      <c r="AA174" s="115">
        <f>IF(B174="","",SMALL(Z$6:Z$185,ROWS(AD$6:AD174)))</f>
        <v>23.000159739999997</v>
      </c>
      <c r="AB174" s="272"/>
      <c r="AC174" s="4">
        <f>IF(OR(B174="",U174=""),"",INDEX($B$6:$B$185,MATCH(AA174,$Z$6:Z$185,0)))</f>
        <v>0</v>
      </c>
      <c r="AD174" s="4">
        <f t="shared" si="43"/>
        <v>0</v>
      </c>
      <c r="AE174" s="4">
        <f t="shared" si="44"/>
        <v>0</v>
      </c>
      <c r="AF174" s="113">
        <f t="shared" si="38"/>
        <v>0</v>
      </c>
      <c r="AG174" s="271">
        <f>IF(AA174="","",IF(AND(AD173=AD174,AE173=AE174,AF173=AF174),AG173,$AG$6+168))</f>
        <v>23</v>
      </c>
      <c r="AH174" s="34"/>
      <c r="AI174" s="92"/>
    </row>
    <row r="175" spans="1:36" s="23" customFormat="1" ht="18" customHeight="1">
      <c r="A175" s="282">
        <v>170</v>
      </c>
      <c r="B175" s="288">
        <f>+'Joueurs et TirageV'!G56</f>
        <v>0</v>
      </c>
      <c r="C175" s="136" t="str">
        <f>IF(ISNA(VLOOKUP(B175,RésultatsV!$B$10:$E$248,3,0)),"0",VLOOKUP(B175,RésultatsV!$B$10:$E$248,3,0))</f>
        <v>0</v>
      </c>
      <c r="D175" s="136">
        <f>IF(ISNA(VLOOKUP(B175,RésultatsV!$B$10:$E$248,4,0)),"0",VLOOKUP(B175,RésultatsV!$B$10:$E$248,4,0))</f>
        <v>0</v>
      </c>
      <c r="E175" s="136">
        <f>IF(ISNA(VLOOKUP(B175,RésultatsV!$B$10:$E$248,2,0)),"0",VLOOKUP(B175,RésultatsV!$B$10:$E$248,2,0))</f>
        <v>0</v>
      </c>
      <c r="F175" s="136">
        <f>IF(ISNA(VLOOKUP(B175,RésultatsV!$G$10:$J$248,3,0)),"0",VLOOKUP(B175,RésultatsV!$G$10:$J$248,3,0))</f>
        <v>0</v>
      </c>
      <c r="G175" s="136">
        <f>IF(ISNA(VLOOKUP(B175,RésultatsV!$G$10:$J$248,4,0)),"0",VLOOKUP(B175,RésultatsV!$G$10:$J$248,4,0))</f>
        <v>0</v>
      </c>
      <c r="H175" s="136">
        <f>IF(ISNA(VLOOKUP(B175,RésultatsV!$G$10:$J$248,2,0)),"0",VLOOKUP(B175,RésultatsV!$G$10:$J$248,2,0))</f>
        <v>0</v>
      </c>
      <c r="I175" s="136">
        <f>IF(ISNA(VLOOKUP(B175,RésultatsV!$L$10:$O$248,3,0)),"0",VLOOKUP(B175,RésultatsV!$L$10:$O$248,3,0))</f>
        <v>0</v>
      </c>
      <c r="J175" s="136">
        <f>IF(ISNA(VLOOKUP(B175,RésultatsV!$L$10:$O$248,4,0)),"0",VLOOKUP(B175,RésultatsV!$L$10:$O$248,4,0))</f>
        <v>0</v>
      </c>
      <c r="K175" s="136">
        <f>IF(ISNA(VLOOKUP(B175,RésultatsV!$L$10:$O$248,2,0)),"0",VLOOKUP(B175,RésultatsV!$L$10:$O$248,2,0))</f>
        <v>0</v>
      </c>
      <c r="L175" s="136">
        <f>IF(ISNA(VLOOKUP(B175,RésultatsV!$Q$10:$T$248,3,0)),"0",VLOOKUP(B175,RésultatsV!$Q$10:$T$248,3,0))</f>
        <v>0</v>
      </c>
      <c r="M175" s="136">
        <f>IF(ISNA(VLOOKUP(B175,RésultatsV!$Q$10:$T$248,4,0)),"0",VLOOKUP(B175,RésultatsV!$Q$10:$T$248,4,0))</f>
        <v>0</v>
      </c>
      <c r="N175" s="136">
        <f>IF(ISNA(VLOOKUP(B175,RésultatsV!$Q$10:$T$248,2,0)),"0",VLOOKUP(B175,RésultatsV!$Q$10:$T$248,2,0))</f>
        <v>0</v>
      </c>
      <c r="O175" s="136">
        <f>IF(ISNA(VLOOKUP(B175,RésultatsV!$V$10:$Y$248,3,0)),"0",VLOOKUP(B175,RésultatsV!$V$10:$Y$248,3,0))</f>
        <v>0</v>
      </c>
      <c r="P175" s="136">
        <f>IF(ISNA(VLOOKUP(B175,RésultatsV!$V$10:$Y$248,4,0)),"0",VLOOKUP(B175,RésultatsV!$V$10:$Y$248,4,0))</f>
        <v>0</v>
      </c>
      <c r="Q175" s="136">
        <f>IF(ISNA(VLOOKUP(E175,RésultatsV!$V$10:$Y$248,2,0)),"0",VLOOKUP(E175,RésultatsV!$V$10:$Y$248,2,0))</f>
        <v>0</v>
      </c>
      <c r="R175" s="136">
        <f>IF(ISNA(VLOOKUP(B175,RésultatsV!$AA$10:$AD$248,3,0)),"0",VLOOKUP(B175,RésultatsV!$AA$10:$AD$248,3,0))</f>
        <v>0</v>
      </c>
      <c r="S175" s="136">
        <f>IF(ISNA(VLOOKUP(B175,RésultatsV!$AA$10:$AD$248,4,0)),"0",VLOOKUP(B175,RésultatsV!$AA$10:$AD$248,4,0))</f>
        <v>0</v>
      </c>
      <c r="T175" s="136">
        <f>IF(ISNA(VLOOKUP(B175,RésultatsV!$AA$10:$AD$248,2,0)),"0",VLOOKUP(B175,RésultatsV!$AA$10:$AD$248,2,0))</f>
        <v>0</v>
      </c>
      <c r="U175" s="110">
        <f t="shared" si="41"/>
        <v>0</v>
      </c>
      <c r="V175" s="103">
        <f t="shared" si="42"/>
        <v>0</v>
      </c>
      <c r="W175" s="106">
        <f t="shared" si="36"/>
        <v>0</v>
      </c>
      <c r="X175" s="61">
        <f t="shared" si="39"/>
        <v>0</v>
      </c>
      <c r="Y175" s="52">
        <f t="shared" si="40"/>
        <v>0</v>
      </c>
      <c r="Z175" s="104">
        <f t="shared" si="37"/>
        <v>23.000159749999998</v>
      </c>
      <c r="AA175" s="115">
        <f>IF(B175="","",SMALL(Z$6:Z$185,ROWS(AD$6:AD175)))</f>
        <v>23.000159749999998</v>
      </c>
      <c r="AB175" s="272"/>
      <c r="AC175" s="4">
        <f>IF(OR(B175="",U175=""),"",INDEX($B$6:$B$185,MATCH(AA175,$Z$6:Z$185,0)))</f>
        <v>0</v>
      </c>
      <c r="AD175" s="4">
        <f t="shared" si="43"/>
        <v>0</v>
      </c>
      <c r="AE175" s="4">
        <f t="shared" si="44"/>
        <v>0</v>
      </c>
      <c r="AF175" s="113">
        <f t="shared" si="38"/>
        <v>0</v>
      </c>
      <c r="AG175" s="271">
        <f>IF(AA175="","",IF(AND(AD174=AD175,AE174=AE175,AF174=AF175),AG174,$AG$6+169))</f>
        <v>23</v>
      </c>
      <c r="AH175" s="34"/>
      <c r="AI175" s="92"/>
    </row>
    <row r="176" spans="1:36" s="23" customFormat="1" ht="18" customHeight="1">
      <c r="A176" s="282">
        <v>171</v>
      </c>
      <c r="B176" s="288">
        <f>+'Joueurs et TirageV'!G57</f>
        <v>0</v>
      </c>
      <c r="C176" s="136" t="str">
        <f>IF(ISNA(VLOOKUP(B176,RésultatsV!$B$10:$E$248,3,0)),"0",VLOOKUP(B176,RésultatsV!$B$10:$E$248,3,0))</f>
        <v>0</v>
      </c>
      <c r="D176" s="136">
        <f>IF(ISNA(VLOOKUP(B176,RésultatsV!$B$10:$E$248,4,0)),"0",VLOOKUP(B176,RésultatsV!$B$10:$E$248,4,0))</f>
        <v>0</v>
      </c>
      <c r="E176" s="136">
        <f>IF(ISNA(VLOOKUP(B176,RésultatsV!$B$10:$E$248,2,0)),"0",VLOOKUP(B176,RésultatsV!$B$10:$E$248,2,0))</f>
        <v>0</v>
      </c>
      <c r="F176" s="136">
        <f>IF(ISNA(VLOOKUP(B176,RésultatsV!$G$10:$J$248,3,0)),"0",VLOOKUP(B176,RésultatsV!$G$10:$J$248,3,0))</f>
        <v>0</v>
      </c>
      <c r="G176" s="136">
        <f>IF(ISNA(VLOOKUP(B176,RésultatsV!$G$10:$J$248,4,0)),"0",VLOOKUP(B176,RésultatsV!$G$10:$J$248,4,0))</f>
        <v>0</v>
      </c>
      <c r="H176" s="136">
        <f>IF(ISNA(VLOOKUP(B176,RésultatsV!$G$10:$J$248,2,0)),"0",VLOOKUP(B176,RésultatsV!$G$10:$J$248,2,0))</f>
        <v>0</v>
      </c>
      <c r="I176" s="136">
        <f>IF(ISNA(VLOOKUP(B176,RésultatsV!$L$10:$O$248,3,0)),"0",VLOOKUP(B176,RésultatsV!$L$10:$O$248,3,0))</f>
        <v>0</v>
      </c>
      <c r="J176" s="136">
        <f>IF(ISNA(VLOOKUP(B176,RésultatsV!$L$10:$O$248,4,0)),"0",VLOOKUP(B176,RésultatsV!$L$10:$O$248,4,0))</f>
        <v>0</v>
      </c>
      <c r="K176" s="136">
        <f>IF(ISNA(VLOOKUP(B176,RésultatsV!$L$10:$O$248,2,0)),"0",VLOOKUP(B176,RésultatsV!$L$10:$O$248,2,0))</f>
        <v>0</v>
      </c>
      <c r="L176" s="136">
        <f>IF(ISNA(VLOOKUP(B176,RésultatsV!$Q$10:$T$248,3,0)),"0",VLOOKUP(B176,RésultatsV!$Q$10:$T$248,3,0))</f>
        <v>0</v>
      </c>
      <c r="M176" s="136">
        <f>IF(ISNA(VLOOKUP(B176,RésultatsV!$Q$10:$T$248,4,0)),"0",VLOOKUP(B176,RésultatsV!$Q$10:$T$248,4,0))</f>
        <v>0</v>
      </c>
      <c r="N176" s="136">
        <f>IF(ISNA(VLOOKUP(B176,RésultatsV!$Q$10:$T$248,2,0)),"0",VLOOKUP(B176,RésultatsV!$Q$10:$T$248,2,0))</f>
        <v>0</v>
      </c>
      <c r="O176" s="136">
        <f>IF(ISNA(VLOOKUP(B176,RésultatsV!$V$10:$Y$248,3,0)),"0",VLOOKUP(B176,RésultatsV!$V$10:$Y$248,3,0))</f>
        <v>0</v>
      </c>
      <c r="P176" s="136">
        <f>IF(ISNA(VLOOKUP(B176,RésultatsV!$V$10:$Y$248,4,0)),"0",VLOOKUP(B176,RésultatsV!$V$10:$Y$248,4,0))</f>
        <v>0</v>
      </c>
      <c r="Q176" s="136">
        <f>IF(ISNA(VLOOKUP(E176,RésultatsV!$V$10:$Y$248,2,0)),"0",VLOOKUP(E176,RésultatsV!$V$10:$Y$248,2,0))</f>
        <v>0</v>
      </c>
      <c r="R176" s="136">
        <f>IF(ISNA(VLOOKUP(B176,RésultatsV!$AA$10:$AD$248,3,0)),"0",VLOOKUP(B176,RésultatsV!$AA$10:$AD$248,3,0))</f>
        <v>0</v>
      </c>
      <c r="S176" s="136">
        <f>IF(ISNA(VLOOKUP(B176,RésultatsV!$AA$10:$AD$248,4,0)),"0",VLOOKUP(B176,RésultatsV!$AA$10:$AD$248,4,0))</f>
        <v>0</v>
      </c>
      <c r="T176" s="136">
        <f>IF(ISNA(VLOOKUP(B176,RésultatsV!$AA$10:$AD$248,2,0)),"0",VLOOKUP(B176,RésultatsV!$AA$10:$AD$248,2,0))</f>
        <v>0</v>
      </c>
      <c r="U176" s="110">
        <f t="shared" si="41"/>
        <v>0</v>
      </c>
      <c r="V176" s="103">
        <f t="shared" si="42"/>
        <v>0</v>
      </c>
      <c r="W176" s="106">
        <f t="shared" si="36"/>
        <v>0</v>
      </c>
      <c r="X176" s="61">
        <f t="shared" si="39"/>
        <v>0</v>
      </c>
      <c r="Y176" s="52">
        <f t="shared" si="40"/>
        <v>0</v>
      </c>
      <c r="Z176" s="104">
        <f t="shared" si="37"/>
        <v>23.000159759999999</v>
      </c>
      <c r="AA176" s="115">
        <f>IF(B176="","",SMALL(Z$6:Z$185,ROWS(AD$6:AD176)))</f>
        <v>23.000159759999999</v>
      </c>
      <c r="AB176" s="272"/>
      <c r="AC176" s="4">
        <f>IF(OR(B176="",U176=""),"",INDEX($B$6:$B$185,MATCH(AA176,$Z$6:Z$185,0)))</f>
        <v>0</v>
      </c>
      <c r="AD176" s="4">
        <f t="shared" si="43"/>
        <v>0</v>
      </c>
      <c r="AE176" s="4">
        <f t="shared" si="44"/>
        <v>0</v>
      </c>
      <c r="AF176" s="113">
        <f t="shared" si="38"/>
        <v>0</v>
      </c>
      <c r="AG176" s="271">
        <f>IF(AA176="","",IF(AND(AD175=AD176,AE175=AE176,AF175=AF176),AG175,$AG$6+170))</f>
        <v>23</v>
      </c>
      <c r="AH176" s="254"/>
      <c r="AI176" s="92"/>
      <c r="AJ176" s="23">
        <v>170</v>
      </c>
    </row>
    <row r="177" spans="1:36" s="23" customFormat="1" ht="18" customHeight="1">
      <c r="A177" s="282">
        <v>172</v>
      </c>
      <c r="B177" s="288">
        <f>+'Joueurs et TirageV'!G58</f>
        <v>0</v>
      </c>
      <c r="C177" s="136" t="str">
        <f>IF(ISNA(VLOOKUP(B177,RésultatsV!$B$10:$E$248,3,0)),"0",VLOOKUP(B177,RésultatsV!$B$10:$E$248,3,0))</f>
        <v>0</v>
      </c>
      <c r="D177" s="136">
        <f>IF(ISNA(VLOOKUP(B177,RésultatsV!$B$10:$E$248,4,0)),"0",VLOOKUP(B177,RésultatsV!$B$10:$E$248,4,0))</f>
        <v>0</v>
      </c>
      <c r="E177" s="136">
        <f>IF(ISNA(VLOOKUP(B177,RésultatsV!$B$10:$E$248,2,0)),"0",VLOOKUP(B177,RésultatsV!$B$10:$E$248,2,0))</f>
        <v>0</v>
      </c>
      <c r="F177" s="136">
        <f>IF(ISNA(VLOOKUP(B177,RésultatsV!$G$10:$J$248,3,0)),"0",VLOOKUP(B177,RésultatsV!$G$10:$J$248,3,0))</f>
        <v>0</v>
      </c>
      <c r="G177" s="136">
        <f>IF(ISNA(VLOOKUP(B177,RésultatsV!$G$10:$J$248,4,0)),"0",VLOOKUP(B177,RésultatsV!$G$10:$J$248,4,0))</f>
        <v>0</v>
      </c>
      <c r="H177" s="136">
        <f>IF(ISNA(VLOOKUP(B177,RésultatsV!$G$10:$J$248,2,0)),"0",VLOOKUP(B177,RésultatsV!$G$10:$J$248,2,0))</f>
        <v>0</v>
      </c>
      <c r="I177" s="136">
        <f>IF(ISNA(VLOOKUP(B177,RésultatsV!$L$10:$O$248,3,0)),"0",VLOOKUP(B177,RésultatsV!$L$10:$O$248,3,0))</f>
        <v>0</v>
      </c>
      <c r="J177" s="136">
        <f>IF(ISNA(VLOOKUP(B177,RésultatsV!$L$10:$O$248,4,0)),"0",VLOOKUP(B177,RésultatsV!$L$10:$O$248,4,0))</f>
        <v>0</v>
      </c>
      <c r="K177" s="136">
        <f>IF(ISNA(VLOOKUP(B177,RésultatsV!$L$10:$O$248,2,0)),"0",VLOOKUP(B177,RésultatsV!$L$10:$O$248,2,0))</f>
        <v>0</v>
      </c>
      <c r="L177" s="136">
        <f>IF(ISNA(VLOOKUP(B177,RésultatsV!$Q$10:$T$248,3,0)),"0",VLOOKUP(B177,RésultatsV!$Q$10:$T$248,3,0))</f>
        <v>0</v>
      </c>
      <c r="M177" s="136">
        <f>IF(ISNA(VLOOKUP(B177,RésultatsV!$Q$10:$T$248,4,0)),"0",VLOOKUP(B177,RésultatsV!$Q$10:$T$248,4,0))</f>
        <v>0</v>
      </c>
      <c r="N177" s="136">
        <f>IF(ISNA(VLOOKUP(B177,RésultatsV!$Q$10:$T$248,2,0)),"0",VLOOKUP(B177,RésultatsV!$Q$10:$T$248,2,0))</f>
        <v>0</v>
      </c>
      <c r="O177" s="136">
        <f>IF(ISNA(VLOOKUP(B177,RésultatsV!$V$10:$Y$248,3,0)),"0",VLOOKUP(B177,RésultatsV!$V$10:$Y$248,3,0))</f>
        <v>0</v>
      </c>
      <c r="P177" s="136">
        <f>IF(ISNA(VLOOKUP(B177,RésultatsV!$V$10:$Y$248,4,0)),"0",VLOOKUP(B177,RésultatsV!$V$10:$Y$248,4,0))</f>
        <v>0</v>
      </c>
      <c r="Q177" s="136">
        <f>IF(ISNA(VLOOKUP(E177,RésultatsV!$V$10:$Y$248,2,0)),"0",VLOOKUP(E177,RésultatsV!$V$10:$Y$248,2,0))</f>
        <v>0</v>
      </c>
      <c r="R177" s="136">
        <f>IF(ISNA(VLOOKUP(B177,RésultatsV!$AA$10:$AD$248,3,0)),"0",VLOOKUP(B177,RésultatsV!$AA$10:$AD$248,3,0))</f>
        <v>0</v>
      </c>
      <c r="S177" s="136">
        <f>IF(ISNA(VLOOKUP(B177,RésultatsV!$AA$10:$AD$248,4,0)),"0",VLOOKUP(B177,RésultatsV!$AA$10:$AD$248,4,0))</f>
        <v>0</v>
      </c>
      <c r="T177" s="136">
        <f>IF(ISNA(VLOOKUP(B177,RésultatsV!$AA$10:$AD$248,2,0)),"0",VLOOKUP(B177,RésultatsV!$AA$10:$AD$248,2,0))</f>
        <v>0</v>
      </c>
      <c r="U177" s="110">
        <f t="shared" si="41"/>
        <v>0</v>
      </c>
      <c r="V177" s="103">
        <f t="shared" si="42"/>
        <v>0</v>
      </c>
      <c r="W177" s="106">
        <f t="shared" si="36"/>
        <v>0</v>
      </c>
      <c r="X177" s="61">
        <f t="shared" si="39"/>
        <v>0</v>
      </c>
      <c r="Y177" s="52">
        <f t="shared" si="40"/>
        <v>0</v>
      </c>
      <c r="Z177" s="104">
        <f t="shared" si="37"/>
        <v>23.00015977</v>
      </c>
      <c r="AA177" s="115">
        <f>IF(B177="","",SMALL(Z$6:Z$185,ROWS(AD$6:AD177)))</f>
        <v>23.00015977</v>
      </c>
      <c r="AB177" s="272"/>
      <c r="AC177" s="4">
        <f>IF(OR(B177="",U177=""),"",INDEX($B$6:$B$185,MATCH(AA177,$Z$6:Z$185,0)))</f>
        <v>0</v>
      </c>
      <c r="AD177" s="4">
        <f t="shared" si="43"/>
        <v>0</v>
      </c>
      <c r="AE177" s="4">
        <f t="shared" si="44"/>
        <v>0</v>
      </c>
      <c r="AF177" s="113">
        <f t="shared" si="38"/>
        <v>0</v>
      </c>
      <c r="AG177" s="271">
        <f>IF(AA177="","",IF(AND(AD176=AD177,AE176=AE177,AF176=AF177),AG176,$AG$6+171))</f>
        <v>23</v>
      </c>
      <c r="AH177" s="34"/>
      <c r="AI177" s="92"/>
    </row>
    <row r="178" spans="1:36" s="23" customFormat="1" ht="18" customHeight="1">
      <c r="A178" s="282">
        <v>173</v>
      </c>
      <c r="B178" s="288">
        <f>+'Joueurs et TirageV'!G59</f>
        <v>0</v>
      </c>
      <c r="C178" s="136" t="str">
        <f>IF(ISNA(VLOOKUP(B178,RésultatsV!$B$10:$E$248,3,0)),"0",VLOOKUP(B178,RésultatsV!$B$10:$E$248,3,0))</f>
        <v>0</v>
      </c>
      <c r="D178" s="136">
        <f>IF(ISNA(VLOOKUP(B178,RésultatsV!$B$10:$E$248,4,0)),"0",VLOOKUP(B178,RésultatsV!$B$10:$E$248,4,0))</f>
        <v>0</v>
      </c>
      <c r="E178" s="136">
        <f>IF(ISNA(VLOOKUP(B178,RésultatsV!$B$10:$E$248,2,0)),"0",VLOOKUP(B178,RésultatsV!$B$10:$E$248,2,0))</f>
        <v>0</v>
      </c>
      <c r="F178" s="136">
        <f>IF(ISNA(VLOOKUP(B178,RésultatsV!$G$10:$J$248,3,0)),"0",VLOOKUP(B178,RésultatsV!$G$10:$J$248,3,0))</f>
        <v>0</v>
      </c>
      <c r="G178" s="136">
        <f>IF(ISNA(VLOOKUP(B178,RésultatsV!$G$10:$J$248,4,0)),"0",VLOOKUP(B178,RésultatsV!$G$10:$J$248,4,0))</f>
        <v>0</v>
      </c>
      <c r="H178" s="136">
        <f>IF(ISNA(VLOOKUP(B178,RésultatsV!$G$10:$J$248,2,0)),"0",VLOOKUP(B178,RésultatsV!$G$10:$J$248,2,0))</f>
        <v>0</v>
      </c>
      <c r="I178" s="136">
        <f>IF(ISNA(VLOOKUP(B178,RésultatsV!$L$10:$O$248,3,0)),"0",VLOOKUP(B178,RésultatsV!$L$10:$O$248,3,0))</f>
        <v>0</v>
      </c>
      <c r="J178" s="136">
        <f>IF(ISNA(VLOOKUP(B178,RésultatsV!$L$10:$O$248,4,0)),"0",VLOOKUP(B178,RésultatsV!$L$10:$O$248,4,0))</f>
        <v>0</v>
      </c>
      <c r="K178" s="136">
        <f>IF(ISNA(VLOOKUP(B178,RésultatsV!$L$10:$O$248,2,0)),"0",VLOOKUP(B178,RésultatsV!$L$10:$O$248,2,0))</f>
        <v>0</v>
      </c>
      <c r="L178" s="136">
        <f>IF(ISNA(VLOOKUP(B178,RésultatsV!$Q$10:$T$248,3,0)),"0",VLOOKUP(B178,RésultatsV!$Q$10:$T$248,3,0))</f>
        <v>0</v>
      </c>
      <c r="M178" s="136">
        <f>IF(ISNA(VLOOKUP(B178,RésultatsV!$Q$10:$T$248,4,0)),"0",VLOOKUP(B178,RésultatsV!$Q$10:$T$248,4,0))</f>
        <v>0</v>
      </c>
      <c r="N178" s="136">
        <f>IF(ISNA(VLOOKUP(B178,RésultatsV!$Q$10:$T$248,2,0)),"0",VLOOKUP(B178,RésultatsV!$Q$10:$T$248,2,0))</f>
        <v>0</v>
      </c>
      <c r="O178" s="136">
        <f>IF(ISNA(VLOOKUP(B178,RésultatsV!$V$10:$Y$248,3,0)),"0",VLOOKUP(B178,RésultatsV!$V$10:$Y$248,3,0))</f>
        <v>0</v>
      </c>
      <c r="P178" s="136">
        <f>IF(ISNA(VLOOKUP(B178,RésultatsV!$V$10:$Y$248,4,0)),"0",VLOOKUP(B178,RésultatsV!$V$10:$Y$248,4,0))</f>
        <v>0</v>
      </c>
      <c r="Q178" s="136">
        <f>IF(ISNA(VLOOKUP(E178,RésultatsV!$V$10:$Y$248,2,0)),"0",VLOOKUP(E178,RésultatsV!$V$10:$Y$248,2,0))</f>
        <v>0</v>
      </c>
      <c r="R178" s="136">
        <f>IF(ISNA(VLOOKUP(B178,RésultatsV!$AA$10:$AD$248,3,0)),"0",VLOOKUP(B178,RésultatsV!$AA$10:$AD$248,3,0))</f>
        <v>0</v>
      </c>
      <c r="S178" s="136">
        <f>IF(ISNA(VLOOKUP(B178,RésultatsV!$AA$10:$AD$248,4,0)),"0",VLOOKUP(B178,RésultatsV!$AA$10:$AD$248,4,0))</f>
        <v>0</v>
      </c>
      <c r="T178" s="136">
        <f>IF(ISNA(VLOOKUP(B178,RésultatsV!$AA$10:$AD$248,2,0)),"0",VLOOKUP(B178,RésultatsV!$AA$10:$AD$248,2,0))</f>
        <v>0</v>
      </c>
      <c r="U178" s="110">
        <f t="shared" si="41"/>
        <v>0</v>
      </c>
      <c r="V178" s="103">
        <f t="shared" si="42"/>
        <v>0</v>
      </c>
      <c r="W178" s="106">
        <f t="shared" si="36"/>
        <v>0</v>
      </c>
      <c r="X178" s="61">
        <f t="shared" si="39"/>
        <v>0</v>
      </c>
      <c r="Y178" s="52">
        <f t="shared" si="40"/>
        <v>0</v>
      </c>
      <c r="Z178" s="104">
        <f t="shared" si="37"/>
        <v>23.000159780000001</v>
      </c>
      <c r="AA178" s="115">
        <f>IF(B178="","",SMALL(Z$6:Z$185,ROWS(AD$6:AD178)))</f>
        <v>23.000159780000001</v>
      </c>
      <c r="AB178" s="272"/>
      <c r="AC178" s="4">
        <f>IF(OR(B178="",U178=""),"",INDEX($B$6:$B$185,MATCH(AA178,$Z$6:Z$185,0)))</f>
        <v>0</v>
      </c>
      <c r="AD178" s="4">
        <f t="shared" si="43"/>
        <v>0</v>
      </c>
      <c r="AE178" s="4">
        <f t="shared" si="44"/>
        <v>0</v>
      </c>
      <c r="AF178" s="113">
        <f t="shared" si="38"/>
        <v>0</v>
      </c>
      <c r="AG178" s="271">
        <f>IF(AA178="","",IF(AND(AD177=AD178,AE177=AE178,AF177=AF178),AG177,$AG$6+172))</f>
        <v>23</v>
      </c>
      <c r="AH178" s="34"/>
      <c r="AI178" s="92"/>
    </row>
    <row r="179" spans="1:36" s="23" customFormat="1" ht="18" customHeight="1">
      <c r="A179" s="282">
        <v>174</v>
      </c>
      <c r="B179" s="288">
        <f>+'Joueurs et TirageV'!G60</f>
        <v>0</v>
      </c>
      <c r="C179" s="136" t="str">
        <f>IF(ISNA(VLOOKUP(B179,RésultatsV!$B$10:$E$248,3,0)),"0",VLOOKUP(B179,RésultatsV!$B$10:$E$248,3,0))</f>
        <v>0</v>
      </c>
      <c r="D179" s="136">
        <f>IF(ISNA(VLOOKUP(B179,RésultatsV!$B$10:$E$248,4,0)),"0",VLOOKUP(B179,RésultatsV!$B$10:$E$248,4,0))</f>
        <v>0</v>
      </c>
      <c r="E179" s="136">
        <f>IF(ISNA(VLOOKUP(B179,RésultatsV!$B$10:$E$248,2,0)),"0",VLOOKUP(B179,RésultatsV!$B$10:$E$248,2,0))</f>
        <v>0</v>
      </c>
      <c r="F179" s="136">
        <f>IF(ISNA(VLOOKUP(B179,RésultatsV!$G$10:$J$248,3,0)),"0",VLOOKUP(B179,RésultatsV!$G$10:$J$248,3,0))</f>
        <v>0</v>
      </c>
      <c r="G179" s="136">
        <f>IF(ISNA(VLOOKUP(B179,RésultatsV!$G$10:$J$248,4,0)),"0",VLOOKUP(B179,RésultatsV!$G$10:$J$248,4,0))</f>
        <v>0</v>
      </c>
      <c r="H179" s="136">
        <f>IF(ISNA(VLOOKUP(B179,RésultatsV!$G$10:$J$248,2,0)),"0",VLOOKUP(B179,RésultatsV!$G$10:$J$248,2,0))</f>
        <v>0</v>
      </c>
      <c r="I179" s="136">
        <f>IF(ISNA(VLOOKUP(B179,RésultatsV!$L$10:$O$248,3,0)),"0",VLOOKUP(B179,RésultatsV!$L$10:$O$248,3,0))</f>
        <v>0</v>
      </c>
      <c r="J179" s="136">
        <f>IF(ISNA(VLOOKUP(B179,RésultatsV!$L$10:$O$248,4,0)),"0",VLOOKUP(B179,RésultatsV!$L$10:$O$248,4,0))</f>
        <v>0</v>
      </c>
      <c r="K179" s="136">
        <f>IF(ISNA(VLOOKUP(B179,RésultatsV!$L$10:$O$248,2,0)),"0",VLOOKUP(B179,RésultatsV!$L$10:$O$248,2,0))</f>
        <v>0</v>
      </c>
      <c r="L179" s="136">
        <f>IF(ISNA(VLOOKUP(B179,RésultatsV!$Q$10:$T$248,3,0)),"0",VLOOKUP(B179,RésultatsV!$Q$10:$T$248,3,0))</f>
        <v>0</v>
      </c>
      <c r="M179" s="136">
        <f>IF(ISNA(VLOOKUP(B179,RésultatsV!$Q$10:$T$248,4,0)),"0",VLOOKUP(B179,RésultatsV!$Q$10:$T$248,4,0))</f>
        <v>0</v>
      </c>
      <c r="N179" s="136">
        <f>IF(ISNA(VLOOKUP(B179,RésultatsV!$Q$10:$T$248,2,0)),"0",VLOOKUP(B179,RésultatsV!$Q$10:$T$248,2,0))</f>
        <v>0</v>
      </c>
      <c r="O179" s="136">
        <f>IF(ISNA(VLOOKUP(B179,RésultatsV!$V$10:$Y$248,3,0)),"0",VLOOKUP(B179,RésultatsV!$V$10:$Y$248,3,0))</f>
        <v>0</v>
      </c>
      <c r="P179" s="136">
        <f>IF(ISNA(VLOOKUP(B179,RésultatsV!$V$10:$Y$248,4,0)),"0",VLOOKUP(B179,RésultatsV!$V$10:$Y$248,4,0))</f>
        <v>0</v>
      </c>
      <c r="Q179" s="136">
        <f>IF(ISNA(VLOOKUP(E179,RésultatsV!$V$10:$Y$248,2,0)),"0",VLOOKUP(E179,RésultatsV!$V$10:$Y$248,2,0))</f>
        <v>0</v>
      </c>
      <c r="R179" s="136">
        <f>IF(ISNA(VLOOKUP(B179,RésultatsV!$AA$10:$AD$248,3,0)),"0",VLOOKUP(B179,RésultatsV!$AA$10:$AD$248,3,0))</f>
        <v>0</v>
      </c>
      <c r="S179" s="136">
        <f>IF(ISNA(VLOOKUP(B179,RésultatsV!$AA$10:$AD$248,4,0)),"0",VLOOKUP(B179,RésultatsV!$AA$10:$AD$248,4,0))</f>
        <v>0</v>
      </c>
      <c r="T179" s="136">
        <f>IF(ISNA(VLOOKUP(B179,RésultatsV!$AA$10:$AD$248,2,0)),"0",VLOOKUP(B179,RésultatsV!$AA$10:$AD$248,2,0))</f>
        <v>0</v>
      </c>
      <c r="U179" s="110">
        <f t="shared" si="41"/>
        <v>0</v>
      </c>
      <c r="V179" s="103">
        <f t="shared" si="42"/>
        <v>0</v>
      </c>
      <c r="W179" s="106">
        <f t="shared" si="36"/>
        <v>0</v>
      </c>
      <c r="X179" s="61">
        <f t="shared" si="39"/>
        <v>0</v>
      </c>
      <c r="Y179" s="52">
        <f t="shared" si="40"/>
        <v>0</v>
      </c>
      <c r="Z179" s="104">
        <f t="shared" si="37"/>
        <v>23.000159789999998</v>
      </c>
      <c r="AA179" s="115">
        <f>IF(B179="","",SMALL(Z$6:Z$185,ROWS(AD$6:AD179)))</f>
        <v>23.000159789999998</v>
      </c>
      <c r="AB179" s="272"/>
      <c r="AC179" s="4">
        <f>IF(OR(B179="",U179=""),"",INDEX($B$6:$B$185,MATCH(AA179,$Z$6:Z$185,0)))</f>
        <v>0</v>
      </c>
      <c r="AD179" s="4">
        <f t="shared" si="43"/>
        <v>0</v>
      </c>
      <c r="AE179" s="4">
        <f t="shared" si="44"/>
        <v>0</v>
      </c>
      <c r="AF179" s="113">
        <f t="shared" si="38"/>
        <v>0</v>
      </c>
      <c r="AG179" s="271">
        <f>IF(AA179="","",IF(AND(AD178=AD179,AE178=AE179,AF178=AF179),AG178,$AG$6+173))</f>
        <v>23</v>
      </c>
      <c r="AH179" s="34"/>
      <c r="AI179" s="92"/>
    </row>
    <row r="180" spans="1:36" s="23" customFormat="1" ht="18" customHeight="1">
      <c r="A180" s="282">
        <v>175</v>
      </c>
      <c r="B180" s="288">
        <f>+'Joueurs et TirageV'!G61</f>
        <v>0</v>
      </c>
      <c r="C180" s="136" t="str">
        <f>IF(ISNA(VLOOKUP(B180,RésultatsV!$B$10:$E$248,3,0)),"0",VLOOKUP(B180,RésultatsV!$B$10:$E$248,3,0))</f>
        <v>0</v>
      </c>
      <c r="D180" s="136">
        <f>IF(ISNA(VLOOKUP(B180,RésultatsV!$B$10:$E$248,4,0)),"0",VLOOKUP(B180,RésultatsV!$B$10:$E$248,4,0))</f>
        <v>0</v>
      </c>
      <c r="E180" s="136">
        <f>IF(ISNA(VLOOKUP(B180,RésultatsV!$B$10:$E$248,2,0)),"0",VLOOKUP(B180,RésultatsV!$B$10:$E$248,2,0))</f>
        <v>0</v>
      </c>
      <c r="F180" s="136">
        <f>IF(ISNA(VLOOKUP(B180,RésultatsV!$G$10:$J$248,3,0)),"0",VLOOKUP(B180,RésultatsV!$G$10:$J$248,3,0))</f>
        <v>0</v>
      </c>
      <c r="G180" s="136">
        <f>IF(ISNA(VLOOKUP(B180,RésultatsV!$G$10:$J$248,4,0)),"0",VLOOKUP(B180,RésultatsV!$G$10:$J$248,4,0))</f>
        <v>0</v>
      </c>
      <c r="H180" s="136">
        <f>IF(ISNA(VLOOKUP(B180,RésultatsV!$G$10:$J$248,2,0)),"0",VLOOKUP(B180,RésultatsV!$G$10:$J$248,2,0))</f>
        <v>0</v>
      </c>
      <c r="I180" s="136">
        <f>IF(ISNA(VLOOKUP(B180,RésultatsV!$L$10:$O$248,3,0)),"0",VLOOKUP(B180,RésultatsV!$L$10:$O$248,3,0))</f>
        <v>0</v>
      </c>
      <c r="J180" s="136">
        <f>IF(ISNA(VLOOKUP(B180,RésultatsV!$L$10:$O$248,4,0)),"0",VLOOKUP(B180,RésultatsV!$L$10:$O$248,4,0))</f>
        <v>0</v>
      </c>
      <c r="K180" s="136">
        <f>IF(ISNA(VLOOKUP(B180,RésultatsV!$L$10:$O$248,2,0)),"0",VLOOKUP(B180,RésultatsV!$L$10:$O$248,2,0))</f>
        <v>0</v>
      </c>
      <c r="L180" s="136">
        <f>IF(ISNA(VLOOKUP(B180,RésultatsV!$Q$10:$T$248,3,0)),"0",VLOOKUP(B180,RésultatsV!$Q$10:$T$248,3,0))</f>
        <v>0</v>
      </c>
      <c r="M180" s="136">
        <f>IF(ISNA(VLOOKUP(B180,RésultatsV!$Q$10:$T$248,4,0)),"0",VLOOKUP(B180,RésultatsV!$Q$10:$T$248,4,0))</f>
        <v>0</v>
      </c>
      <c r="N180" s="136">
        <f>IF(ISNA(VLOOKUP(B180,RésultatsV!$Q$10:$T$248,2,0)),"0",VLOOKUP(B180,RésultatsV!$Q$10:$T$248,2,0))</f>
        <v>0</v>
      </c>
      <c r="O180" s="136">
        <f>IF(ISNA(VLOOKUP(B180,RésultatsV!$V$10:$Y$248,3,0)),"0",VLOOKUP(B180,RésultatsV!$V$10:$Y$248,3,0))</f>
        <v>0</v>
      </c>
      <c r="P180" s="136">
        <f>IF(ISNA(VLOOKUP(B180,RésultatsV!$V$10:$Y$248,4,0)),"0",VLOOKUP(B180,RésultatsV!$V$10:$Y$248,4,0))</f>
        <v>0</v>
      </c>
      <c r="Q180" s="136">
        <f>IF(ISNA(VLOOKUP(E180,RésultatsV!$V$10:$Y$248,2,0)),"0",VLOOKUP(E180,RésultatsV!$V$10:$Y$248,2,0))</f>
        <v>0</v>
      </c>
      <c r="R180" s="136">
        <f>IF(ISNA(VLOOKUP(B180,RésultatsV!$AA$10:$AD$248,3,0)),"0",VLOOKUP(B180,RésultatsV!$AA$10:$AD$248,3,0))</f>
        <v>0</v>
      </c>
      <c r="S180" s="136">
        <f>IF(ISNA(VLOOKUP(B180,RésultatsV!$AA$10:$AD$248,4,0)),"0",VLOOKUP(B180,RésultatsV!$AA$10:$AD$248,4,0))</f>
        <v>0</v>
      </c>
      <c r="T180" s="136">
        <f>IF(ISNA(VLOOKUP(B180,RésultatsV!$AA$10:$AD$248,2,0)),"0",VLOOKUP(B180,RésultatsV!$AA$10:$AD$248,2,0))</f>
        <v>0</v>
      </c>
      <c r="U180" s="110">
        <f t="shared" si="41"/>
        <v>0</v>
      </c>
      <c r="V180" s="103">
        <f t="shared" si="42"/>
        <v>0</v>
      </c>
      <c r="W180" s="106">
        <f t="shared" si="36"/>
        <v>0</v>
      </c>
      <c r="X180" s="61">
        <f t="shared" si="39"/>
        <v>0</v>
      </c>
      <c r="Y180" s="52">
        <f t="shared" si="40"/>
        <v>0</v>
      </c>
      <c r="Z180" s="104">
        <f t="shared" si="37"/>
        <v>23.000159799999999</v>
      </c>
      <c r="AA180" s="115">
        <f>IF(B180="","",SMALL(Z$6:Z$185,ROWS(AD$6:AD180)))</f>
        <v>23.000159799999999</v>
      </c>
      <c r="AB180" s="272"/>
      <c r="AC180" s="4">
        <f>IF(OR(B180="",U180=""),"",INDEX($B$6:$B$185,MATCH(AA180,$Z$6:Z$185,0)))</f>
        <v>0</v>
      </c>
      <c r="AD180" s="4">
        <f t="shared" si="43"/>
        <v>0</v>
      </c>
      <c r="AE180" s="4">
        <f t="shared" si="44"/>
        <v>0</v>
      </c>
      <c r="AF180" s="113">
        <f t="shared" si="38"/>
        <v>0</v>
      </c>
      <c r="AG180" s="271">
        <f>IF(AA180="","",IF(AND(AD179=AD180,AE179=AE180,AF179=AF180),AG179,$AG$6+174))</f>
        <v>23</v>
      </c>
      <c r="AH180" s="34"/>
      <c r="AI180" s="92"/>
    </row>
    <row r="181" spans="1:36" s="23" customFormat="1" ht="18" customHeight="1">
      <c r="A181" s="282">
        <v>176</v>
      </c>
      <c r="B181" s="288">
        <f>+'Joueurs et TirageV'!G62</f>
        <v>0</v>
      </c>
      <c r="C181" s="136" t="str">
        <f>IF(ISNA(VLOOKUP(B181,RésultatsV!$B$10:$E$248,3,0)),"0",VLOOKUP(B181,RésultatsV!$B$10:$E$248,3,0))</f>
        <v>0</v>
      </c>
      <c r="D181" s="136">
        <f>IF(ISNA(VLOOKUP(B181,RésultatsV!$B$10:$E$248,4,0)),"0",VLOOKUP(B181,RésultatsV!$B$10:$E$248,4,0))</f>
        <v>0</v>
      </c>
      <c r="E181" s="136">
        <f>IF(ISNA(VLOOKUP(B181,RésultatsV!$B$10:$E$248,2,0)),"0",VLOOKUP(B181,RésultatsV!$B$10:$E$248,2,0))</f>
        <v>0</v>
      </c>
      <c r="F181" s="136">
        <f>IF(ISNA(VLOOKUP(B181,RésultatsV!$G$10:$J$248,3,0)),"0",VLOOKUP(B181,RésultatsV!$G$10:$J$248,3,0))</f>
        <v>0</v>
      </c>
      <c r="G181" s="136">
        <f>IF(ISNA(VLOOKUP(B181,RésultatsV!$G$10:$J$248,4,0)),"0",VLOOKUP(B181,RésultatsV!$G$10:$J$248,4,0))</f>
        <v>0</v>
      </c>
      <c r="H181" s="136">
        <f>IF(ISNA(VLOOKUP(B181,RésultatsV!$G$10:$J$248,2,0)),"0",VLOOKUP(B181,RésultatsV!$G$10:$J$248,2,0))</f>
        <v>0</v>
      </c>
      <c r="I181" s="136">
        <f>IF(ISNA(VLOOKUP(B181,RésultatsV!$L$10:$O$248,3,0)),"0",VLOOKUP(B181,RésultatsV!$L$10:$O$248,3,0))</f>
        <v>0</v>
      </c>
      <c r="J181" s="136">
        <f>IF(ISNA(VLOOKUP(B181,RésultatsV!$L$10:$O$248,4,0)),"0",VLOOKUP(B181,RésultatsV!$L$10:$O$248,4,0))</f>
        <v>0</v>
      </c>
      <c r="K181" s="136">
        <f>IF(ISNA(VLOOKUP(B181,RésultatsV!$L$10:$O$248,2,0)),"0",VLOOKUP(B181,RésultatsV!$L$10:$O$248,2,0))</f>
        <v>0</v>
      </c>
      <c r="L181" s="136">
        <f>IF(ISNA(VLOOKUP(B181,RésultatsV!$Q$10:$T$248,3,0)),"0",VLOOKUP(B181,RésultatsV!$Q$10:$T$248,3,0))</f>
        <v>0</v>
      </c>
      <c r="M181" s="136">
        <f>IF(ISNA(VLOOKUP(B181,RésultatsV!$Q$10:$T$248,4,0)),"0",VLOOKUP(B181,RésultatsV!$Q$10:$T$248,4,0))</f>
        <v>0</v>
      </c>
      <c r="N181" s="136">
        <f>IF(ISNA(VLOOKUP(B181,RésultatsV!$Q$10:$T$248,2,0)),"0",VLOOKUP(B181,RésultatsV!$Q$10:$T$248,2,0))</f>
        <v>0</v>
      </c>
      <c r="O181" s="136">
        <f>IF(ISNA(VLOOKUP(B181,RésultatsV!$V$10:$Y$248,3,0)),"0",VLOOKUP(B181,RésultatsV!$V$10:$Y$248,3,0))</f>
        <v>0</v>
      </c>
      <c r="P181" s="136">
        <f>IF(ISNA(VLOOKUP(B181,RésultatsV!$V$10:$Y$248,4,0)),"0",VLOOKUP(B181,RésultatsV!$V$10:$Y$248,4,0))</f>
        <v>0</v>
      </c>
      <c r="Q181" s="136">
        <f>IF(ISNA(VLOOKUP(E181,RésultatsV!$V$10:$Y$248,2,0)),"0",VLOOKUP(E181,RésultatsV!$V$10:$Y$248,2,0))</f>
        <v>0</v>
      </c>
      <c r="R181" s="136">
        <f>IF(ISNA(VLOOKUP(B181,RésultatsV!$AA$10:$AD$248,3,0)),"0",VLOOKUP(B181,RésultatsV!$AA$10:$AD$248,3,0))</f>
        <v>0</v>
      </c>
      <c r="S181" s="136">
        <f>IF(ISNA(VLOOKUP(B181,RésultatsV!$AA$10:$AD$248,4,0)),"0",VLOOKUP(B181,RésultatsV!$AA$10:$AD$248,4,0))</f>
        <v>0</v>
      </c>
      <c r="T181" s="136">
        <f>IF(ISNA(VLOOKUP(B181,RésultatsV!$AA$10:$AD$248,2,0)),"0",VLOOKUP(B181,RésultatsV!$AA$10:$AD$248,2,0))</f>
        <v>0</v>
      </c>
      <c r="U181" s="110">
        <f t="shared" si="41"/>
        <v>0</v>
      </c>
      <c r="V181" s="103">
        <f t="shared" si="42"/>
        <v>0</v>
      </c>
      <c r="W181" s="106">
        <f t="shared" si="36"/>
        <v>0</v>
      </c>
      <c r="X181" s="61">
        <f t="shared" si="39"/>
        <v>0</v>
      </c>
      <c r="Y181" s="52">
        <f t="shared" si="40"/>
        <v>0</v>
      </c>
      <c r="Z181" s="104">
        <f t="shared" si="37"/>
        <v>23.00015981</v>
      </c>
      <c r="AA181" s="115">
        <f>IF(B181="","",SMALL(Z$6:Z$185,ROWS(AD$6:AD181)))</f>
        <v>23.00015981</v>
      </c>
      <c r="AB181" s="272"/>
      <c r="AC181" s="4">
        <f>IF(OR(B181="",U181=""),"",INDEX($B$6:$B$185,MATCH(AA181,$Z$6:Z$185,0)))</f>
        <v>0</v>
      </c>
      <c r="AD181" s="4">
        <f t="shared" si="43"/>
        <v>0</v>
      </c>
      <c r="AE181" s="4">
        <f t="shared" si="44"/>
        <v>0</v>
      </c>
      <c r="AF181" s="113">
        <f t="shared" si="38"/>
        <v>0</v>
      </c>
      <c r="AG181" s="271">
        <f>IF(AA181="","",IF(AND(AD180=AD181,AE180=AE181,AF180=AF181),AG180,$AG$6+175))</f>
        <v>23</v>
      </c>
      <c r="AH181" s="34"/>
      <c r="AI181" s="92"/>
    </row>
    <row r="182" spans="1:36" s="23" customFormat="1" ht="18" customHeight="1">
      <c r="A182" s="282">
        <v>177</v>
      </c>
      <c r="B182" s="288">
        <f>+'Joueurs et TirageV'!G63</f>
        <v>0</v>
      </c>
      <c r="C182" s="136" t="str">
        <f>IF(ISNA(VLOOKUP(B182,RésultatsV!$B$10:$E$248,3,0)),"0",VLOOKUP(B182,RésultatsV!$B$10:$E$248,3,0))</f>
        <v>0</v>
      </c>
      <c r="D182" s="136">
        <f>IF(ISNA(VLOOKUP(B182,RésultatsV!$B$10:$E$248,4,0)),"0",VLOOKUP(B182,RésultatsV!$B$10:$E$248,4,0))</f>
        <v>0</v>
      </c>
      <c r="E182" s="136">
        <f>IF(ISNA(VLOOKUP(B182,RésultatsV!$B$10:$E$248,2,0)),"0",VLOOKUP(B182,RésultatsV!$B$10:$E$248,2,0))</f>
        <v>0</v>
      </c>
      <c r="F182" s="136">
        <f>IF(ISNA(VLOOKUP(B182,RésultatsV!$G$10:$J$248,3,0)),"0",VLOOKUP(B182,RésultatsV!$G$10:$J$248,3,0))</f>
        <v>0</v>
      </c>
      <c r="G182" s="136">
        <f>IF(ISNA(VLOOKUP(B182,RésultatsV!$G$10:$J$248,4,0)),"0",VLOOKUP(B182,RésultatsV!$G$10:$J$248,4,0))</f>
        <v>0</v>
      </c>
      <c r="H182" s="136">
        <f>IF(ISNA(VLOOKUP(B182,RésultatsV!$G$10:$J$248,2,0)),"0",VLOOKUP(B182,RésultatsV!$G$10:$J$248,2,0))</f>
        <v>0</v>
      </c>
      <c r="I182" s="136">
        <f>IF(ISNA(VLOOKUP(B182,RésultatsV!$L$10:$O$248,3,0)),"0",VLOOKUP(B182,RésultatsV!$L$10:$O$248,3,0))</f>
        <v>0</v>
      </c>
      <c r="J182" s="136">
        <f>IF(ISNA(VLOOKUP(B182,RésultatsV!$L$10:$O$248,4,0)),"0",VLOOKUP(B182,RésultatsV!$L$10:$O$248,4,0))</f>
        <v>0</v>
      </c>
      <c r="K182" s="136">
        <f>IF(ISNA(VLOOKUP(B182,RésultatsV!$L$10:$O$248,2,0)),"0",VLOOKUP(B182,RésultatsV!$L$10:$O$248,2,0))</f>
        <v>0</v>
      </c>
      <c r="L182" s="136">
        <f>IF(ISNA(VLOOKUP(B182,RésultatsV!$Q$10:$T$248,3,0)),"0",VLOOKUP(B182,RésultatsV!$Q$10:$T$248,3,0))</f>
        <v>0</v>
      </c>
      <c r="M182" s="136">
        <f>IF(ISNA(VLOOKUP(B182,RésultatsV!$Q$10:$T$248,4,0)),"0",VLOOKUP(B182,RésultatsV!$Q$10:$T$248,4,0))</f>
        <v>0</v>
      </c>
      <c r="N182" s="136">
        <f>IF(ISNA(VLOOKUP(B182,RésultatsV!$Q$10:$T$248,2,0)),"0",VLOOKUP(B182,RésultatsV!$Q$10:$T$248,2,0))</f>
        <v>0</v>
      </c>
      <c r="O182" s="136">
        <f>IF(ISNA(VLOOKUP(B182,RésultatsV!$V$10:$Y$248,3,0)),"0",VLOOKUP(B182,RésultatsV!$V$10:$Y$248,3,0))</f>
        <v>0</v>
      </c>
      <c r="P182" s="136">
        <f>IF(ISNA(VLOOKUP(B182,RésultatsV!$V$10:$Y$248,4,0)),"0",VLOOKUP(B182,RésultatsV!$V$10:$Y$248,4,0))</f>
        <v>0</v>
      </c>
      <c r="Q182" s="136">
        <f>IF(ISNA(VLOOKUP(E182,RésultatsV!$V$10:$Y$248,2,0)),"0",VLOOKUP(E182,RésultatsV!$V$10:$Y$248,2,0))</f>
        <v>0</v>
      </c>
      <c r="R182" s="136">
        <f>IF(ISNA(VLOOKUP(B182,RésultatsV!$AA$10:$AD$248,3,0)),"0",VLOOKUP(B182,RésultatsV!$AA$10:$AD$248,3,0))</f>
        <v>0</v>
      </c>
      <c r="S182" s="136">
        <f>IF(ISNA(VLOOKUP(B182,RésultatsV!$AA$10:$AD$248,4,0)),"0",VLOOKUP(B182,RésultatsV!$AA$10:$AD$248,4,0))</f>
        <v>0</v>
      </c>
      <c r="T182" s="136">
        <f>IF(ISNA(VLOOKUP(B182,RésultatsV!$AA$10:$AD$248,2,0)),"0",VLOOKUP(B182,RésultatsV!$AA$10:$AD$248,2,0))</f>
        <v>0</v>
      </c>
      <c r="U182" s="110">
        <f t="shared" si="41"/>
        <v>0</v>
      </c>
      <c r="V182" s="103">
        <f t="shared" si="42"/>
        <v>0</v>
      </c>
      <c r="W182" s="106">
        <f t="shared" si="36"/>
        <v>0</v>
      </c>
      <c r="X182" s="61">
        <f t="shared" si="39"/>
        <v>0</v>
      </c>
      <c r="Y182" s="52">
        <f t="shared" si="40"/>
        <v>0</v>
      </c>
      <c r="Z182" s="104">
        <f t="shared" si="37"/>
        <v>23.00015982</v>
      </c>
      <c r="AA182" s="115">
        <f>IF(B182="","",SMALL(Z$6:Z$185,ROWS(AD$6:AD182)))</f>
        <v>23.00015982</v>
      </c>
      <c r="AB182" s="272"/>
      <c r="AC182" s="4">
        <f>IF(OR(B182="",U182=""),"",INDEX($B$6:$B$185,MATCH(AA182,$Z$6:Z$185,0)))</f>
        <v>0</v>
      </c>
      <c r="AD182" s="4">
        <f t="shared" si="43"/>
        <v>0</v>
      </c>
      <c r="AE182" s="4">
        <f t="shared" si="44"/>
        <v>0</v>
      </c>
      <c r="AF182" s="113">
        <f t="shared" si="38"/>
        <v>0</v>
      </c>
      <c r="AG182" s="271">
        <f>IF(AA182="","",IF(AND(AD181=AD182,AE181=AE182,AF181=AF182),AG181,$AG$6+176))</f>
        <v>23</v>
      </c>
      <c r="AH182" s="34"/>
      <c r="AI182" s="92"/>
    </row>
    <row r="183" spans="1:36" s="23" customFormat="1" ht="18" customHeight="1">
      <c r="A183" s="282">
        <v>178</v>
      </c>
      <c r="B183" s="288">
        <f>+'Joueurs et TirageV'!G64</f>
        <v>0</v>
      </c>
      <c r="C183" s="136" t="str">
        <f>IF(ISNA(VLOOKUP(B183,RésultatsV!$B$10:$E$248,3,0)),"0",VLOOKUP(B183,RésultatsV!$B$10:$E$248,3,0))</f>
        <v>0</v>
      </c>
      <c r="D183" s="136">
        <f>IF(ISNA(VLOOKUP(B183,RésultatsV!$B$10:$E$248,4,0)),"0",VLOOKUP(B183,RésultatsV!$B$10:$E$248,4,0))</f>
        <v>0</v>
      </c>
      <c r="E183" s="136">
        <f>IF(ISNA(VLOOKUP(B183,RésultatsV!$B$10:$E$248,2,0)),"0",VLOOKUP(B183,RésultatsV!$B$10:$E$248,2,0))</f>
        <v>0</v>
      </c>
      <c r="F183" s="136">
        <f>IF(ISNA(VLOOKUP(B183,RésultatsV!$G$10:$J$248,3,0)),"0",VLOOKUP(B183,RésultatsV!$G$10:$J$248,3,0))</f>
        <v>0</v>
      </c>
      <c r="G183" s="136">
        <f>IF(ISNA(VLOOKUP(B183,RésultatsV!$G$10:$J$248,4,0)),"0",VLOOKUP(B183,RésultatsV!$G$10:$J$248,4,0))</f>
        <v>0</v>
      </c>
      <c r="H183" s="136">
        <f>IF(ISNA(VLOOKUP(B183,RésultatsV!$G$10:$J$248,2,0)),"0",VLOOKUP(B183,RésultatsV!$G$10:$J$248,2,0))</f>
        <v>0</v>
      </c>
      <c r="I183" s="136">
        <f>IF(ISNA(VLOOKUP(B183,RésultatsV!$L$10:$O$248,3,0)),"0",VLOOKUP(B183,RésultatsV!$L$10:$O$248,3,0))</f>
        <v>0</v>
      </c>
      <c r="J183" s="136">
        <f>IF(ISNA(VLOOKUP(B183,RésultatsV!$L$10:$O$248,4,0)),"0",VLOOKUP(B183,RésultatsV!$L$10:$O$248,4,0))</f>
        <v>0</v>
      </c>
      <c r="K183" s="136">
        <f>IF(ISNA(VLOOKUP(B183,RésultatsV!$L$10:$O$248,2,0)),"0",VLOOKUP(B183,RésultatsV!$L$10:$O$248,2,0))</f>
        <v>0</v>
      </c>
      <c r="L183" s="136">
        <f>IF(ISNA(VLOOKUP(B183,RésultatsV!$Q$10:$T$248,3,0)),"0",VLOOKUP(B183,RésultatsV!$Q$10:$T$248,3,0))</f>
        <v>0</v>
      </c>
      <c r="M183" s="136">
        <f>IF(ISNA(VLOOKUP(B183,RésultatsV!$Q$10:$T$248,4,0)),"0",VLOOKUP(B183,RésultatsV!$Q$10:$T$248,4,0))</f>
        <v>0</v>
      </c>
      <c r="N183" s="136">
        <f>IF(ISNA(VLOOKUP(B183,RésultatsV!$Q$10:$T$248,2,0)),"0",VLOOKUP(B183,RésultatsV!$Q$10:$T$248,2,0))</f>
        <v>0</v>
      </c>
      <c r="O183" s="136">
        <f>IF(ISNA(VLOOKUP(B183,RésultatsV!$V$10:$Y$248,3,0)),"0",VLOOKUP(B183,RésultatsV!$V$10:$Y$248,3,0))</f>
        <v>0</v>
      </c>
      <c r="P183" s="136">
        <f>IF(ISNA(VLOOKUP(B183,RésultatsV!$V$10:$Y$248,4,0)),"0",VLOOKUP(B183,RésultatsV!$V$10:$Y$248,4,0))</f>
        <v>0</v>
      </c>
      <c r="Q183" s="136">
        <f>IF(ISNA(VLOOKUP(E183,RésultatsV!$V$10:$Y$248,2,0)),"0",VLOOKUP(E183,RésultatsV!$V$10:$Y$248,2,0))</f>
        <v>0</v>
      </c>
      <c r="R183" s="136">
        <f>IF(ISNA(VLOOKUP(B183,RésultatsV!$AA$10:$AD$248,3,0)),"0",VLOOKUP(B183,RésultatsV!$AA$10:$AD$248,3,0))</f>
        <v>0</v>
      </c>
      <c r="S183" s="136">
        <f>IF(ISNA(VLOOKUP(B183,RésultatsV!$AA$10:$AD$248,4,0)),"0",VLOOKUP(B183,RésultatsV!$AA$10:$AD$248,4,0))</f>
        <v>0</v>
      </c>
      <c r="T183" s="136">
        <f>IF(ISNA(VLOOKUP(B183,RésultatsV!$AA$10:$AD$248,2,0)),"0",VLOOKUP(B183,RésultatsV!$AA$10:$AD$248,2,0))</f>
        <v>0</v>
      </c>
      <c r="U183" s="110">
        <f t="shared" si="41"/>
        <v>0</v>
      </c>
      <c r="V183" s="103">
        <f t="shared" si="42"/>
        <v>0</v>
      </c>
      <c r="W183" s="106">
        <f t="shared" si="36"/>
        <v>0</v>
      </c>
      <c r="X183" s="61">
        <f t="shared" si="39"/>
        <v>0</v>
      </c>
      <c r="Y183" s="52">
        <f t="shared" si="40"/>
        <v>0</v>
      </c>
      <c r="Z183" s="104">
        <f t="shared" si="37"/>
        <v>23.000159829999998</v>
      </c>
      <c r="AA183" s="115">
        <f>IF(B183="","",SMALL(Z$6:Z$185,ROWS(AD$6:AD183)))</f>
        <v>23.000159829999998</v>
      </c>
      <c r="AB183" s="272"/>
      <c r="AC183" s="4">
        <f>IF(OR(B183="",U183=""),"",INDEX($B$6:$B$185,MATCH(AA183,$Z$6:Z$185,0)))</f>
        <v>0</v>
      </c>
      <c r="AD183" s="4">
        <f t="shared" si="43"/>
        <v>0</v>
      </c>
      <c r="AE183" s="4">
        <f t="shared" si="44"/>
        <v>0</v>
      </c>
      <c r="AF183" s="113">
        <f t="shared" si="38"/>
        <v>0</v>
      </c>
      <c r="AG183" s="271">
        <f>IF(AA183="","",IF(AND(AD182=AD183,AE182=AE183,AF182=AF183),AG182,$AG$6+177))</f>
        <v>23</v>
      </c>
      <c r="AH183" s="34"/>
      <c r="AI183" s="92"/>
    </row>
    <row r="184" spans="1:36" s="23" customFormat="1" ht="18" customHeight="1">
      <c r="A184" s="282">
        <v>179</v>
      </c>
      <c r="B184" s="288">
        <f>+'Joueurs et TirageV'!G65</f>
        <v>0</v>
      </c>
      <c r="C184" s="136" t="str">
        <f>IF(ISNA(VLOOKUP(B184,RésultatsV!$B$10:$E$248,3,0)),"0",VLOOKUP(B184,RésultatsV!$B$10:$E$248,3,0))</f>
        <v>0</v>
      </c>
      <c r="D184" s="136">
        <f>IF(ISNA(VLOOKUP(B184,RésultatsV!$B$10:$E$248,4,0)),"0",VLOOKUP(B184,RésultatsV!$B$10:$E$248,4,0))</f>
        <v>0</v>
      </c>
      <c r="E184" s="136">
        <f>IF(ISNA(VLOOKUP(B184,RésultatsV!$B$10:$E$248,2,0)),"0",VLOOKUP(B184,RésultatsV!$B$10:$E$248,2,0))</f>
        <v>0</v>
      </c>
      <c r="F184" s="136">
        <f>IF(ISNA(VLOOKUP(B184,RésultatsV!$G$10:$J$248,3,0)),"0",VLOOKUP(B184,RésultatsV!$G$10:$J$248,3,0))</f>
        <v>0</v>
      </c>
      <c r="G184" s="136">
        <f>IF(ISNA(VLOOKUP(B184,RésultatsV!$G$10:$J$248,4,0)),"0",VLOOKUP(B184,RésultatsV!$G$10:$J$248,4,0))</f>
        <v>0</v>
      </c>
      <c r="H184" s="136">
        <f>IF(ISNA(VLOOKUP(B184,RésultatsV!$G$10:$J$248,2,0)),"0",VLOOKUP(B184,RésultatsV!$G$10:$J$248,2,0))</f>
        <v>0</v>
      </c>
      <c r="I184" s="136">
        <f>IF(ISNA(VLOOKUP(B184,RésultatsV!$L$10:$O$248,3,0)),"0",VLOOKUP(B184,RésultatsV!$L$10:$O$248,3,0))</f>
        <v>0</v>
      </c>
      <c r="J184" s="136">
        <f>IF(ISNA(VLOOKUP(B184,RésultatsV!$L$10:$O$248,4,0)),"0",VLOOKUP(B184,RésultatsV!$L$10:$O$248,4,0))</f>
        <v>0</v>
      </c>
      <c r="K184" s="136">
        <f>IF(ISNA(VLOOKUP(B184,RésultatsV!$L$10:$O$248,2,0)),"0",VLOOKUP(B184,RésultatsV!$L$10:$O$248,2,0))</f>
        <v>0</v>
      </c>
      <c r="L184" s="136">
        <f>IF(ISNA(VLOOKUP(B184,RésultatsV!$Q$10:$T$248,3,0)),"0",VLOOKUP(B184,RésultatsV!$Q$10:$T$248,3,0))</f>
        <v>0</v>
      </c>
      <c r="M184" s="136">
        <f>IF(ISNA(VLOOKUP(B184,RésultatsV!$Q$10:$T$248,4,0)),"0",VLOOKUP(B184,RésultatsV!$Q$10:$T$248,4,0))</f>
        <v>0</v>
      </c>
      <c r="N184" s="136">
        <f>IF(ISNA(VLOOKUP(B184,RésultatsV!$Q$10:$T$248,2,0)),"0",VLOOKUP(B184,RésultatsV!$Q$10:$T$248,2,0))</f>
        <v>0</v>
      </c>
      <c r="O184" s="136">
        <f>IF(ISNA(VLOOKUP(B184,RésultatsV!$V$10:$Y$248,3,0)),"0",VLOOKUP(B184,RésultatsV!$V$10:$Y$248,3,0))</f>
        <v>0</v>
      </c>
      <c r="P184" s="136">
        <f>IF(ISNA(VLOOKUP(B184,RésultatsV!$V$10:$Y$248,4,0)),"0",VLOOKUP(B184,RésultatsV!$V$10:$Y$248,4,0))</f>
        <v>0</v>
      </c>
      <c r="Q184" s="136">
        <f>IF(ISNA(VLOOKUP(E184,RésultatsV!$V$10:$Y$248,2,0)),"0",VLOOKUP(E184,RésultatsV!$V$10:$Y$248,2,0))</f>
        <v>0</v>
      </c>
      <c r="R184" s="136">
        <f>IF(ISNA(VLOOKUP(B184,RésultatsV!$AA$10:$AD$248,3,0)),"0",VLOOKUP(B184,RésultatsV!$AA$10:$AD$248,3,0))</f>
        <v>0</v>
      </c>
      <c r="S184" s="136">
        <f>IF(ISNA(VLOOKUP(B184,RésultatsV!$AA$10:$AD$248,4,0)),"0",VLOOKUP(B184,RésultatsV!$AA$10:$AD$248,4,0))</f>
        <v>0</v>
      </c>
      <c r="T184" s="136">
        <f>IF(ISNA(VLOOKUP(B184,RésultatsV!$AA$10:$AD$248,2,0)),"0",VLOOKUP(B184,RésultatsV!$AA$10:$AD$248,2,0))</f>
        <v>0</v>
      </c>
      <c r="U184" s="110">
        <f t="shared" si="41"/>
        <v>0</v>
      </c>
      <c r="V184" s="103">
        <f t="shared" si="42"/>
        <v>0</v>
      </c>
      <c r="W184" s="106">
        <f t="shared" si="36"/>
        <v>0</v>
      </c>
      <c r="X184" s="61">
        <f t="shared" si="39"/>
        <v>0</v>
      </c>
      <c r="Y184" s="52">
        <f t="shared" si="40"/>
        <v>0</v>
      </c>
      <c r="Z184" s="104">
        <f t="shared" si="37"/>
        <v>23.000159839999998</v>
      </c>
      <c r="AA184" s="115">
        <f>IF(B184="","",SMALL(Z$6:Z$185,ROWS(AD$6:AD184)))</f>
        <v>23.000159839999998</v>
      </c>
      <c r="AB184" s="272"/>
      <c r="AC184" s="4">
        <f>IF(OR(B184="",U184=""),"",INDEX($B$6:$B$185,MATCH(AA184,$Z$6:Z$185,0)))</f>
        <v>0</v>
      </c>
      <c r="AD184" s="4">
        <f t="shared" si="43"/>
        <v>0</v>
      </c>
      <c r="AE184" s="4">
        <f t="shared" si="44"/>
        <v>0</v>
      </c>
      <c r="AF184" s="113">
        <f t="shared" si="38"/>
        <v>0</v>
      </c>
      <c r="AG184" s="271">
        <f>IF(AA184="","",IF(AND(AD183=AD184,AE183=AE184,AF183=AF184),AG183,$AG$6+178))</f>
        <v>23</v>
      </c>
      <c r="AH184" s="34"/>
      <c r="AI184" s="92"/>
    </row>
    <row r="185" spans="1:36" s="23" customFormat="1" ht="18" customHeight="1" thickBot="1">
      <c r="A185" s="282">
        <v>180</v>
      </c>
      <c r="B185" s="289">
        <f>+'Joueurs et TirageV'!G66</f>
        <v>0</v>
      </c>
      <c r="C185" s="136" t="str">
        <f>IF(ISNA(VLOOKUP(B185,RésultatsV!$B$10:$E$248,3,0)),"0",VLOOKUP(B185,RésultatsV!$B$10:$E$248,3,0))</f>
        <v>0</v>
      </c>
      <c r="D185" s="136">
        <f>IF(ISNA(VLOOKUP(B185,RésultatsV!$B$10:$E$248,4,0)),"0",VLOOKUP(B185,RésultatsV!$B$10:$E$248,4,0))</f>
        <v>0</v>
      </c>
      <c r="E185" s="136">
        <f>IF(ISNA(VLOOKUP(B185,RésultatsV!$B$10:$E$248,2,0)),"0",VLOOKUP(B185,RésultatsV!$B$10:$E$248,2,0))</f>
        <v>0</v>
      </c>
      <c r="F185" s="136">
        <f>IF(ISNA(VLOOKUP(B185,RésultatsV!$G$10:$J$248,3,0)),"0",VLOOKUP(B185,RésultatsV!$G$10:$J$248,3,0))</f>
        <v>0</v>
      </c>
      <c r="G185" s="136">
        <f>IF(ISNA(VLOOKUP(B185,RésultatsV!$G$10:$J$248,4,0)),"0",VLOOKUP(B185,RésultatsV!$G$10:$J$248,4,0))</f>
        <v>0</v>
      </c>
      <c r="H185" s="136">
        <f>IF(ISNA(VLOOKUP(B185,RésultatsV!$G$10:$J$248,2,0)),"0",VLOOKUP(B185,RésultatsV!$G$10:$J$248,2,0))</f>
        <v>0</v>
      </c>
      <c r="I185" s="136">
        <f>IF(ISNA(VLOOKUP(B185,RésultatsV!$L$10:$O$248,3,0)),"0",VLOOKUP(B185,RésultatsV!$L$10:$O$248,3,0))</f>
        <v>0</v>
      </c>
      <c r="J185" s="136">
        <f>IF(ISNA(VLOOKUP(B185,RésultatsV!$L$10:$O$248,4,0)),"0",VLOOKUP(B185,RésultatsV!$L$10:$O$248,4,0))</f>
        <v>0</v>
      </c>
      <c r="K185" s="136">
        <f>IF(ISNA(VLOOKUP(B185,RésultatsV!$L$10:$O$248,2,0)),"0",VLOOKUP(B185,RésultatsV!$L$10:$O$248,2,0))</f>
        <v>0</v>
      </c>
      <c r="L185" s="136">
        <f>IF(ISNA(VLOOKUP(B185,RésultatsV!$Q$10:$T$248,3,0)),"0",VLOOKUP(B185,RésultatsV!$Q$10:$T$248,3,0))</f>
        <v>0</v>
      </c>
      <c r="M185" s="136">
        <f>IF(ISNA(VLOOKUP(B185,RésultatsV!$Q$10:$T$248,4,0)),"0",VLOOKUP(B185,RésultatsV!$Q$10:$T$248,4,0))</f>
        <v>0</v>
      </c>
      <c r="N185" s="136">
        <f>IF(ISNA(VLOOKUP(B185,RésultatsV!$Q$10:$T$248,2,0)),"0",VLOOKUP(B185,RésultatsV!$Q$10:$T$248,2,0))</f>
        <v>0</v>
      </c>
      <c r="O185" s="136">
        <f>IF(ISNA(VLOOKUP(B185,RésultatsV!$V$10:$Y$248,3,0)),"0",VLOOKUP(B185,RésultatsV!$V$10:$Y$248,3,0))</f>
        <v>0</v>
      </c>
      <c r="P185" s="136">
        <f>IF(ISNA(VLOOKUP(B185,RésultatsV!$V$10:$Y$248,4,0)),"0",VLOOKUP(B185,RésultatsV!$V$10:$Y$248,4,0))</f>
        <v>0</v>
      </c>
      <c r="Q185" s="136">
        <f>IF(ISNA(VLOOKUP(E185,RésultatsV!$V$10:$Y$248,2,0)),"0",VLOOKUP(E185,RésultatsV!$V$10:$Y$248,2,0))</f>
        <v>0</v>
      </c>
      <c r="R185" s="136">
        <f>IF(ISNA(VLOOKUP(B185,RésultatsV!$AA$10:$AD$248,3,0)),"0",VLOOKUP(B185,RésultatsV!$AA$10:$AD$248,3,0))</f>
        <v>0</v>
      </c>
      <c r="S185" s="136">
        <f>IF(ISNA(VLOOKUP(B185,RésultatsV!$AA$10:$AD$248,4,0)),"0",VLOOKUP(B185,RésultatsV!$AA$10:$AD$248,4,0))</f>
        <v>0</v>
      </c>
      <c r="T185" s="136">
        <f>IF(ISNA(VLOOKUP(B185,RésultatsV!$AA$10:$AD$248,2,0)),"0",VLOOKUP(B185,RésultatsV!$AA$10:$AD$248,2,0))</f>
        <v>0</v>
      </c>
      <c r="U185" s="111">
        <f t="shared" si="41"/>
        <v>0</v>
      </c>
      <c r="V185" s="112">
        <f t="shared" si="42"/>
        <v>0</v>
      </c>
      <c r="W185" s="108">
        <f t="shared" si="36"/>
        <v>0</v>
      </c>
      <c r="X185" s="89">
        <f t="shared" si="39"/>
        <v>0</v>
      </c>
      <c r="Y185" s="90">
        <f t="shared" si="40"/>
        <v>0</v>
      </c>
      <c r="Z185" s="104">
        <f t="shared" si="37"/>
        <v>23.000159849999999</v>
      </c>
      <c r="AA185" s="115">
        <f>IF(B185="","",SMALL(Z$6:Z$185,ROWS(AD$6:AD185)))</f>
        <v>23.000159849999999</v>
      </c>
      <c r="AB185" s="273"/>
      <c r="AC185" s="91">
        <f>IF(OR(B185="",U185=""),"",INDEX($B$6:$B$185,MATCH(AA185,$Z$6:Z$185,0)))</f>
        <v>0</v>
      </c>
      <c r="AD185" s="91">
        <f t="shared" si="43"/>
        <v>0</v>
      </c>
      <c r="AE185" s="91">
        <f t="shared" si="44"/>
        <v>0</v>
      </c>
      <c r="AF185" s="114">
        <f t="shared" si="38"/>
        <v>0</v>
      </c>
      <c r="AG185" s="271">
        <f>IF(AA185="","",IF(AND(AD184=AD185,AE184=AE185,AF184=AF185),AG184,$AG$6+179))</f>
        <v>23</v>
      </c>
      <c r="AH185" s="254"/>
      <c r="AI185" s="92"/>
      <c r="AJ185" s="23">
        <v>180</v>
      </c>
    </row>
    <row r="186" spans="1:36" s="23" customFormat="1" ht="18" customHeight="1">
      <c r="A186" s="133"/>
      <c r="B186" s="9"/>
      <c r="C186" s="88">
        <f t="array" ref="C186">SUM(IF(ISNA(C6:C185),0,C6:C185))</f>
        <v>44</v>
      </c>
      <c r="D186" s="88">
        <f t="array" ref="D186">SUM(IF(ISNA(D6:D185),0,D6:D185))</f>
        <v>0</v>
      </c>
      <c r="E186" s="88"/>
      <c r="F186" s="88">
        <f t="array" ref="F186">SUM(IF(ISNA(F6:F185),0,F6:F185))</f>
        <v>44</v>
      </c>
      <c r="G186" s="88">
        <f t="array" ref="G186">SUM(IF(ISNA(G6:G185),0,G6:G185))</f>
        <v>0</v>
      </c>
      <c r="H186" s="88"/>
      <c r="I186" s="88">
        <f t="array" ref="I186">SUM(IF(ISNA(I6:I185),0,I6:I185))</f>
        <v>0</v>
      </c>
      <c r="J186" s="88">
        <f t="array" ref="J186">SUM(IF(ISNA(J6:J185),0,J6:J185))</f>
        <v>0</v>
      </c>
      <c r="K186" s="88"/>
      <c r="L186" s="88">
        <f t="array" ref="L186">SUM(IF(ISNA(L6:L185),0,L6:L185))</f>
        <v>0</v>
      </c>
      <c r="M186" s="88">
        <f t="array" ref="M186">SUM(IF(ISNA(M6:M185),0,M6:M185))</f>
        <v>0</v>
      </c>
      <c r="N186" s="88"/>
      <c r="O186" s="88">
        <f t="array" ref="O186">SUM(IF(ISNA(O6:O185),0,O6:O185))</f>
        <v>0</v>
      </c>
      <c r="P186" s="98">
        <f t="array" ref="P186">SUM(IF(ISNA(P6:P185),0,P6:P185))</f>
        <v>0</v>
      </c>
      <c r="Q186" s="88"/>
      <c r="R186" s="88">
        <f t="array" ref="R186">SUM(IF(ISNA(R6:R185),0,R6:R185))</f>
        <v>0</v>
      </c>
      <c r="S186" s="88">
        <f t="array" ref="S186">SUM(IF(ISNA(S6:S185),0,S6:S185))</f>
        <v>0</v>
      </c>
      <c r="T186" s="88"/>
      <c r="U186" s="88">
        <f t="shared" ref="U186:V186" si="45">SUM(U6:U185)</f>
        <v>88</v>
      </c>
      <c r="V186" s="53">
        <f t="shared" si="45"/>
        <v>0</v>
      </c>
      <c r="W186" s="53"/>
      <c r="X186" s="33"/>
      <c r="Y186" s="33"/>
      <c r="Z186" s="33"/>
      <c r="AA186" s="33"/>
      <c r="AB186" s="33"/>
      <c r="AC186" s="33"/>
      <c r="AD186" s="33"/>
      <c r="AE186" s="53">
        <f t="shared" ref="AE186" si="46">SUM(AE6:AE185)</f>
        <v>0</v>
      </c>
      <c r="AF186" s="53"/>
      <c r="AG186" s="33"/>
      <c r="AH186" s="34"/>
    </row>
    <row r="187" spans="1:36" s="23" customFormat="1" ht="18" customHeight="1">
      <c r="A187" s="133"/>
      <c r="B187" s="9"/>
      <c r="C187" s="53"/>
      <c r="D187" s="88" t="str">
        <f>IF(D186=0,"OK","ERREUR")</f>
        <v>OK</v>
      </c>
      <c r="E187" s="10"/>
      <c r="F187" s="53"/>
      <c r="G187" s="88" t="str">
        <f>IF(G186=0,"OK","ERREUR")</f>
        <v>OK</v>
      </c>
      <c r="H187" s="10"/>
      <c r="I187" s="53"/>
      <c r="J187" s="88" t="str">
        <f>IF(J186=0,"OK","ERREUR")</f>
        <v>OK</v>
      </c>
      <c r="K187" s="10"/>
      <c r="L187" s="53"/>
      <c r="M187" s="88" t="str">
        <f>IF(M186=0,"OK","ERREUR")</f>
        <v>OK</v>
      </c>
      <c r="N187" s="10"/>
      <c r="O187" s="53"/>
      <c r="P187" s="98" t="str">
        <f>IF(P186=0,"OK","ERREUR")</f>
        <v>OK</v>
      </c>
      <c r="Q187" s="10"/>
      <c r="R187" s="53"/>
      <c r="S187" s="88" t="str">
        <f>IF(S186=0,"OK","ERREUR")</f>
        <v>OK</v>
      </c>
      <c r="T187" s="10"/>
      <c r="U187" s="9"/>
      <c r="V187" s="11" t="str">
        <f>IF(V186=0,"OK","ERREUR")</f>
        <v>OK</v>
      </c>
      <c r="W187" s="10"/>
      <c r="X187" s="33"/>
      <c r="Y187" s="33"/>
      <c r="Z187" s="33"/>
      <c r="AA187" s="33"/>
      <c r="AB187" s="33"/>
      <c r="AC187" s="33"/>
      <c r="AD187" s="33"/>
      <c r="AE187" s="11" t="str">
        <f>IF(AE186=0,"OK","ERREUR")</f>
        <v>OK</v>
      </c>
      <c r="AF187" s="10"/>
      <c r="AG187" s="33"/>
      <c r="AH187" s="34"/>
    </row>
    <row r="188" spans="1:36" s="23" customFormat="1" ht="18" customHeight="1">
      <c r="A188" s="133"/>
      <c r="B188" s="9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99"/>
      <c r="Q188" s="53"/>
      <c r="R188" s="53"/>
      <c r="S188" s="53"/>
      <c r="T188" s="53"/>
      <c r="U188" s="53"/>
      <c r="V188" s="53"/>
      <c r="W188" s="5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4"/>
    </row>
    <row r="189" spans="1:36" s="23" customFormat="1" ht="18" customHeight="1">
      <c r="A189" s="133"/>
      <c r="B189" s="255" t="s">
        <v>33</v>
      </c>
      <c r="C189" s="256">
        <f>COUNTIF($C$6:$C$185,1)</f>
        <v>11</v>
      </c>
      <c r="D189" s="256"/>
      <c r="E189" s="256"/>
      <c r="F189" s="256">
        <f>COUNTIF($C$6:$C$185,1)</f>
        <v>11</v>
      </c>
      <c r="G189" s="256"/>
      <c r="H189" s="256"/>
      <c r="I189" s="256">
        <f>COUNTIF($C$6:$C$185,1)</f>
        <v>11</v>
      </c>
      <c r="J189" s="256"/>
      <c r="K189" s="256"/>
      <c r="L189" s="256">
        <f>COUNTIF($C$6:$C$185,1)</f>
        <v>11</v>
      </c>
      <c r="M189" s="256"/>
      <c r="N189" s="256"/>
      <c r="O189" s="256">
        <f>COUNTIF($C$6:$C$185,1)</f>
        <v>11</v>
      </c>
      <c r="P189" s="257"/>
      <c r="Q189" s="256"/>
      <c r="R189" s="256">
        <f>COUNTIF($C$6:$C$185,1)</f>
        <v>11</v>
      </c>
      <c r="S189" s="53"/>
      <c r="T189" s="53"/>
      <c r="U189" s="53"/>
      <c r="V189" s="53"/>
      <c r="W189" s="5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4"/>
    </row>
    <row r="190" spans="1:36" s="23" customFormat="1" ht="18" customHeight="1">
      <c r="A190" s="133"/>
      <c r="B190" s="255" t="s">
        <v>34</v>
      </c>
      <c r="C190" s="256">
        <f>COUNTIF($C$6:$C$185,2)</f>
        <v>0</v>
      </c>
      <c r="D190" s="258"/>
      <c r="E190" s="258"/>
      <c r="F190" s="256">
        <f>COUNTIF($C$6:$C$185,2)</f>
        <v>0</v>
      </c>
      <c r="G190" s="256"/>
      <c r="H190" s="256"/>
      <c r="I190" s="256">
        <f>COUNTIF($C$6:$C$185,2)</f>
        <v>0</v>
      </c>
      <c r="J190" s="256"/>
      <c r="K190" s="256"/>
      <c r="L190" s="256">
        <f>COUNTIF($C$6:$C$185,2)</f>
        <v>0</v>
      </c>
      <c r="M190" s="256"/>
      <c r="N190" s="256"/>
      <c r="O190" s="256">
        <f>COUNTIF($C$6:$C$185,2)</f>
        <v>0</v>
      </c>
      <c r="P190" s="257"/>
      <c r="Q190" s="256"/>
      <c r="R190" s="256">
        <f>COUNTIF($C$6:$C$185,2)</f>
        <v>0</v>
      </c>
      <c r="S190" s="53"/>
      <c r="T190" s="53"/>
      <c r="U190" s="53"/>
      <c r="V190" s="53"/>
      <c r="W190" s="5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4"/>
    </row>
    <row r="191" spans="1:36" s="23" customFormat="1" ht="18" customHeight="1">
      <c r="A191" s="133"/>
      <c r="B191" s="255" t="s">
        <v>35</v>
      </c>
      <c r="C191" s="256">
        <f>COUNTIF($C$6:$C$185,3)</f>
        <v>11</v>
      </c>
      <c r="D191" s="258"/>
      <c r="E191" s="258"/>
      <c r="F191" s="256">
        <f>COUNTIF($C$6:$C$185,3)</f>
        <v>11</v>
      </c>
      <c r="G191" s="256"/>
      <c r="H191" s="256"/>
      <c r="I191" s="256">
        <f>COUNTIF($C$6:$C$185,3)</f>
        <v>11</v>
      </c>
      <c r="J191" s="256"/>
      <c r="K191" s="256"/>
      <c r="L191" s="256">
        <f>COUNTIF($C$6:$C$185,3)</f>
        <v>11</v>
      </c>
      <c r="M191" s="256"/>
      <c r="N191" s="256"/>
      <c r="O191" s="256">
        <f>COUNTIF($C$6:$C$185,3)</f>
        <v>11</v>
      </c>
      <c r="P191" s="257"/>
      <c r="Q191" s="256"/>
      <c r="R191" s="256">
        <f>COUNTIF($C$6:$C$185,3)</f>
        <v>11</v>
      </c>
      <c r="S191" s="53"/>
      <c r="T191" s="53"/>
      <c r="U191" s="53"/>
      <c r="V191" s="53"/>
      <c r="W191" s="5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4"/>
    </row>
    <row r="192" spans="1:36">
      <c r="B192" s="255" t="s">
        <v>48</v>
      </c>
      <c r="C192" s="256">
        <f>COUNTIF($C$6:$C$185,0)</f>
        <v>158</v>
      </c>
      <c r="D192" s="258"/>
      <c r="E192" s="258"/>
      <c r="F192" s="256">
        <f>COUNTIF($C$6:$C$185,0)</f>
        <v>158</v>
      </c>
      <c r="G192" s="256"/>
      <c r="H192" s="256"/>
      <c r="I192" s="256">
        <f>COUNTIF($C$6:$C$185,0)</f>
        <v>158</v>
      </c>
      <c r="J192" s="256"/>
      <c r="K192" s="256"/>
      <c r="L192" s="256">
        <f>COUNTIF($C$6:$C$185,0)</f>
        <v>158</v>
      </c>
      <c r="M192" s="256"/>
      <c r="N192" s="256"/>
      <c r="O192" s="256">
        <f>COUNTIF($C$6:$C$185,0)</f>
        <v>158</v>
      </c>
      <c r="P192" s="257"/>
      <c r="Q192" s="256"/>
      <c r="R192" s="256">
        <f>COUNTIF($C$6:$C$185,0)</f>
        <v>158</v>
      </c>
      <c r="S192" s="53"/>
      <c r="T192" s="53"/>
      <c r="U192" s="53"/>
      <c r="V192" s="53"/>
      <c r="W192" s="5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2:33">
      <c r="B193" s="255"/>
      <c r="C193" s="256">
        <f>SUM(C189:C192)</f>
        <v>180</v>
      </c>
      <c r="D193" s="256"/>
      <c r="E193" s="256"/>
      <c r="F193" s="256">
        <f>SUM(F189:F192)</f>
        <v>180</v>
      </c>
      <c r="G193" s="256"/>
      <c r="H193" s="256"/>
      <c r="I193" s="256">
        <f>SUM(I189:I192)</f>
        <v>180</v>
      </c>
      <c r="J193" s="256"/>
      <c r="K193" s="256"/>
      <c r="L193" s="256">
        <f>SUM(L189:L192)</f>
        <v>180</v>
      </c>
      <c r="M193" s="256"/>
      <c r="N193" s="256"/>
      <c r="O193" s="256">
        <f>SUM(O189:O192)</f>
        <v>180</v>
      </c>
      <c r="P193" s="257"/>
      <c r="Q193" s="256"/>
      <c r="R193" s="256">
        <f>SUM(R189:R192)</f>
        <v>180</v>
      </c>
      <c r="S193" s="53"/>
      <c r="T193" s="53"/>
      <c r="U193" s="53"/>
      <c r="V193" s="53"/>
      <c r="W193" s="5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2:33" s="34" customFormat="1" ht="15"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5"/>
      <c r="Q194" s="274"/>
      <c r="R194" s="274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</row>
    <row r="195" spans="2:33">
      <c r="B195" s="9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99"/>
      <c r="Q195" s="53"/>
      <c r="R195" s="53"/>
      <c r="S195" s="53"/>
      <c r="T195" s="53"/>
      <c r="U195" s="53"/>
      <c r="V195" s="53"/>
      <c r="W195" s="5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</sheetData>
  <sheetProtection password="CFC3" sheet="1" objects="1" scenarios="1" formatCells="0" formatColumns="0" formatRows="0" insertColumns="0" insertRows="0" insertHyperlinks="0" deleteColumns="0" deleteRows="0" sort="0"/>
  <sortState ref="AI6:AI65">
    <sortCondition descending="1" ref="AI5"/>
  </sortState>
  <mergeCells count="10">
    <mergeCell ref="R4:T4"/>
    <mergeCell ref="U4:W4"/>
    <mergeCell ref="AC4:AG4"/>
    <mergeCell ref="G1:I1"/>
    <mergeCell ref="C4:E4"/>
    <mergeCell ref="F4:H4"/>
    <mergeCell ref="I4:K4"/>
    <mergeCell ref="L4:N4"/>
    <mergeCell ref="O4:Q4"/>
    <mergeCell ref="C2:T3"/>
  </mergeCells>
  <phoneticPr fontId="1" type="noConversion"/>
  <conditionalFormatting sqref="AG6:AG185">
    <cfRule type="duplicateValues" dxfId="4" priority="44"/>
  </conditionalFormatting>
  <conditionalFormatting sqref="V187:W187 M187:N187 J187:K187 G187:H187 S187:T187 P187:Q187 AE187:AF187">
    <cfRule type="containsText" dxfId="3" priority="32" operator="containsText" text="ERREUR">
      <formula>NOT(ISERROR(SEARCH("ERREUR",G187)))</formula>
    </cfRule>
  </conditionalFormatting>
  <conditionalFormatting sqref="V186:W186 AE186:AF186">
    <cfRule type="colorScale" priority="30">
      <colorScale>
        <cfvo type="num" val="-1"/>
        <cfvo type="num" val="0"/>
        <cfvo type="num" val="1"/>
        <color rgb="FFFF0000"/>
        <color rgb="FF00FF00"/>
        <color rgb="FFFF0000"/>
      </colorScale>
    </cfRule>
  </conditionalFormatting>
  <conditionalFormatting sqref="D187:E187 G187:H187 J187:K187 M187:N187 P187:Q187 S187:T187 V187:W187">
    <cfRule type="containsText" dxfId="2" priority="15" operator="containsText" text="OK">
      <formula>NOT(ISERROR(SEARCH("OK",D187)))</formula>
    </cfRule>
    <cfRule type="containsText" dxfId="1" priority="18" operator="containsText" text="ERREUR">
      <formula>NOT(ISERROR(SEARCH("ERREUR",D187)))</formula>
    </cfRule>
  </conditionalFormatting>
  <conditionalFormatting sqref="C6:T185">
    <cfRule type="cellIs" dxfId="0" priority="2" operator="equal">
      <formula>0</formula>
    </cfRule>
  </conditionalFormatting>
  <pageMargins left="0.13" right="0.2" top="0.43307086614173229" bottom="0.47244094488188981" header="0.19685039370078741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Méthode</vt:lpstr>
      <vt:lpstr>Joueurs et TirageV</vt:lpstr>
      <vt:lpstr>RésultatsV</vt:lpstr>
      <vt:lpstr>ClassementV</vt:lpstr>
      <vt:lpstr>Feuil2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Alain</cp:lastModifiedBy>
  <cp:lastPrinted>2020-02-09T21:51:33Z</cp:lastPrinted>
  <dcterms:created xsi:type="dcterms:W3CDTF">2009-10-17T15:31:04Z</dcterms:created>
  <dcterms:modified xsi:type="dcterms:W3CDTF">2023-03-05T11:36:23Z</dcterms:modified>
</cp:coreProperties>
</file>