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265" yWindow="390" windowWidth="13590" windowHeight="10875" tabRatio="751" firstSheet="1" activeTab="1"/>
  </bookViews>
  <sheets>
    <sheet name="Rens." sheetId="10" state="hidden" r:id="rId1"/>
    <sheet name="Déroulement" sheetId="16" r:id="rId2"/>
    <sheet name="Poule 1 et 2" sheetId="1" state="hidden" r:id="rId3"/>
    <sheet name="Poule 3 et 4" sheetId="2" state="hidden" r:id="rId4"/>
    <sheet name="Poule 5 et 6" sheetId="3" state="hidden" r:id="rId5"/>
    <sheet name="Poule 7 et 8" sheetId="4" state="hidden" r:id="rId6"/>
    <sheet name="Poule 9 et 10" sheetId="5" state="hidden" r:id="rId7"/>
    <sheet name="Poule 11 et 12" sheetId="6" state="hidden" r:id="rId8"/>
    <sheet name="Poule 13 et 14" sheetId="7" state="hidden" r:id="rId9"/>
    <sheet name="Poule 15 et 16" sheetId="8" state="hidden" r:id="rId10"/>
    <sheet name="parties élimin. 1.16ème" sheetId="14" state="hidden" r:id="rId11"/>
    <sheet name="Feuil1" sheetId="15" r:id="rId12"/>
  </sheets>
  <externalReferences>
    <externalReference r:id="rId13"/>
  </externalReferences>
  <definedNames>
    <definedName name="_xlnm.Print_Area" localSheetId="1">Déroulement!$A$1:$BX$39</definedName>
    <definedName name="_xlnm.Print_Area" localSheetId="2">'Poule 1 et 2'!$A$1:$AO$36</definedName>
  </definedNames>
  <calcPr calcId="125725"/>
</workbook>
</file>

<file path=xl/calcChain.xml><?xml version="1.0" encoding="utf-8"?>
<calcChain xmlns="http://schemas.openxmlformats.org/spreadsheetml/2006/main">
  <c r="BI1" i="16"/>
  <c r="AL1"/>
  <c r="P30" i="14" l="1"/>
  <c r="P29"/>
  <c r="P25"/>
  <c r="P24"/>
  <c r="P20"/>
  <c r="P19"/>
  <c r="J26"/>
  <c r="J14"/>
  <c r="D25"/>
  <c r="D14"/>
  <c r="D8"/>
  <c r="AC7" i="16"/>
  <c r="AC6"/>
  <c r="AC5"/>
  <c r="H18"/>
  <c r="Y9" l="1"/>
  <c r="AC9" s="1"/>
  <c r="Y11"/>
  <c r="AC11" s="1"/>
  <c r="Y20" l="1"/>
  <c r="AB19"/>
  <c r="Y19"/>
  <c r="AC19" s="1"/>
  <c r="Y18"/>
  <c r="AC18" s="1"/>
  <c r="G18"/>
  <c r="F18"/>
  <c r="E18"/>
  <c r="Y17"/>
  <c r="AC17" s="1"/>
  <c r="H17"/>
  <c r="G17"/>
  <c r="F17"/>
  <c r="E17"/>
  <c r="Y16"/>
  <c r="Y15"/>
  <c r="AC15" s="1"/>
  <c r="Y14"/>
  <c r="AC14" s="1"/>
  <c r="Y13"/>
  <c r="AC13" s="1"/>
  <c r="Y12"/>
  <c r="AC12" s="1"/>
  <c r="F11"/>
  <c r="BU5" s="1"/>
  <c r="Y10"/>
  <c r="AC10" s="1"/>
  <c r="F10"/>
  <c r="Y8"/>
  <c r="D3"/>
  <c r="C3"/>
  <c r="F19" i="10"/>
  <c r="E19"/>
  <c r="H11"/>
  <c r="H12"/>
  <c r="Z3" i="14" s="1"/>
  <c r="H19" i="10"/>
  <c r="G19"/>
  <c r="AC8" i="16" l="1"/>
  <c r="AB8" s="1"/>
  <c r="AC16"/>
  <c r="AB16" s="1"/>
  <c r="AC20"/>
  <c r="AB20" s="1"/>
  <c r="AB12"/>
  <c r="X10"/>
  <c r="X18"/>
  <c r="D17"/>
  <c r="I8" s="1"/>
  <c r="X14"/>
  <c r="X6"/>
  <c r="D18"/>
  <c r="E18" i="10"/>
  <c r="AH15" i="16" l="1"/>
  <c r="AN15" s="1"/>
  <c r="AH13"/>
  <c r="AS13" s="1"/>
  <c r="AH16"/>
  <c r="AH14"/>
  <c r="AN14" s="1"/>
  <c r="AS14" s="1"/>
  <c r="AH19"/>
  <c r="AH17"/>
  <c r="AS17" s="1"/>
  <c r="AH20"/>
  <c r="AH18"/>
  <c r="AN18" s="1"/>
  <c r="AS18" s="1"/>
  <c r="AH7"/>
  <c r="AN7" s="1"/>
  <c r="AH5"/>
  <c r="AS5" s="1"/>
  <c r="AH8"/>
  <c r="AH6"/>
  <c r="AN6" s="1"/>
  <c r="AS6" s="1"/>
  <c r="AH11"/>
  <c r="AN11" s="1"/>
  <c r="AH9"/>
  <c r="AS9" s="1"/>
  <c r="AH12"/>
  <c r="AH10"/>
  <c r="AN10" s="1"/>
  <c r="AS10" s="1"/>
  <c r="AS11" l="1"/>
  <c r="AS7"/>
  <c r="AN19"/>
  <c r="AX18"/>
  <c r="AX19"/>
  <c r="BE38" s="1"/>
  <c r="BE17"/>
  <c r="AX7"/>
  <c r="BE32" s="1"/>
  <c r="BK32" s="1"/>
  <c r="AX11"/>
  <c r="BE33" s="1"/>
  <c r="N1" i="14"/>
  <c r="BK38" i="16" l="1"/>
  <c r="BK26"/>
  <c r="BT14" s="1"/>
  <c r="AX14"/>
  <c r="BE16" s="1"/>
  <c r="AX15"/>
  <c r="BE37" s="1"/>
  <c r="BK33" s="1"/>
  <c r="BT16" s="1"/>
  <c r="G18" i="10"/>
  <c r="F18"/>
  <c r="X9"/>
  <c r="X12"/>
  <c r="X11"/>
  <c r="X10"/>
  <c r="BT15" i="16" l="1"/>
  <c r="H18" i="10"/>
  <c r="E2" i="1" l="1"/>
  <c r="X16" i="10"/>
  <c r="X15"/>
  <c r="X14"/>
  <c r="X13"/>
  <c r="X21"/>
  <c r="X20"/>
  <c r="X19"/>
  <c r="X18"/>
  <c r="X17"/>
  <c r="V3" i="2" l="1"/>
  <c r="B3"/>
  <c r="V3" i="1"/>
  <c r="B3"/>
  <c r="C4" i="10"/>
  <c r="AB12"/>
  <c r="AB11"/>
  <c r="AB10"/>
  <c r="AB8"/>
  <c r="AB7"/>
  <c r="AB6"/>
  <c r="D8" i="1" l="1"/>
  <c r="AX6" i="16"/>
  <c r="O8" i="1"/>
  <c r="D9"/>
  <c r="X8"/>
  <c r="AX10" i="16"/>
  <c r="BK13" s="1"/>
  <c r="AI8" i="1"/>
  <c r="X9"/>
  <c r="AB13" i="10"/>
  <c r="AA13" s="1"/>
  <c r="AB9"/>
  <c r="AA9" s="1"/>
  <c r="AB21"/>
  <c r="AA21" s="1"/>
  <c r="AB20"/>
  <c r="AB19"/>
  <c r="AB18"/>
  <c r="AB17"/>
  <c r="AA17" s="1"/>
  <c r="AB16"/>
  <c r="AB15"/>
  <c r="AB14"/>
  <c r="BT12" i="16" l="1"/>
  <c r="BE9"/>
  <c r="BK25" s="1"/>
  <c r="BT13" s="1"/>
  <c r="BE8"/>
  <c r="BK12" s="1"/>
  <c r="BT11" s="1"/>
  <c r="D8" i="2"/>
  <c r="O8"/>
  <c r="O14" s="1"/>
  <c r="X8"/>
  <c r="AI8"/>
  <c r="O9" i="1"/>
  <c r="D9" i="2"/>
  <c r="O9"/>
  <c r="D15" s="1"/>
  <c r="X9"/>
  <c r="AI9"/>
  <c r="AI9" i="1"/>
  <c r="H2"/>
  <c r="F3" s="1"/>
  <c r="D19" i="10"/>
  <c r="O14" i="1"/>
  <c r="C2" i="14"/>
  <c r="A2"/>
  <c r="AM31" i="6" l="1"/>
  <c r="Y8"/>
  <c r="AF9"/>
  <c r="AF8"/>
  <c r="AR15" i="8" l="1"/>
  <c r="AQ15"/>
  <c r="AR14"/>
  <c r="AQ14"/>
  <c r="BK37" i="16" l="1"/>
  <c r="BT18" s="1"/>
  <c r="AA1" i="14"/>
  <c r="S1"/>
  <c r="BT17" i="16" l="1"/>
  <c r="V15" i="8"/>
  <c r="U15"/>
  <c r="V14"/>
  <c r="U14"/>
  <c r="AM9"/>
  <c r="Q9"/>
  <c r="V15" i="7"/>
  <c r="U15"/>
  <c r="V14"/>
  <c r="U14"/>
  <c r="AM9"/>
  <c r="Q9"/>
  <c r="V15" i="6"/>
  <c r="U15"/>
  <c r="V14"/>
  <c r="U14"/>
  <c r="AM9"/>
  <c r="Q9"/>
  <c r="AM9" i="5"/>
  <c r="AM9" i="4"/>
  <c r="V15" i="5"/>
  <c r="U15"/>
  <c r="V14"/>
  <c r="U14"/>
  <c r="Q9"/>
  <c r="V15" i="4"/>
  <c r="U15"/>
  <c r="V14"/>
  <c r="U14"/>
  <c r="Q9"/>
  <c r="AM9" i="3"/>
  <c r="X14" i="1"/>
  <c r="AI15"/>
  <c r="AA20" i="10"/>
  <c r="O15" i="1" l="1"/>
  <c r="AI14"/>
  <c r="O15" i="2"/>
  <c r="AI15"/>
  <c r="D14"/>
  <c r="X15"/>
  <c r="C8" i="3"/>
  <c r="J8"/>
  <c r="Y8"/>
  <c r="Y9"/>
  <c r="J8" i="4"/>
  <c r="C15" s="1"/>
  <c r="C8" i="5"/>
  <c r="C9"/>
  <c r="AF8" i="4"/>
  <c r="Y15"/>
  <c r="Y8" i="5"/>
  <c r="Y9"/>
  <c r="Y14" s="1"/>
  <c r="J8" i="6"/>
  <c r="J9"/>
  <c r="C15" s="1"/>
  <c r="Y9"/>
  <c r="Y14" s="1"/>
  <c r="J8" i="7"/>
  <c r="AF8"/>
  <c r="C15"/>
  <c r="Y9"/>
  <c r="Y14" s="1"/>
  <c r="J8" i="8"/>
  <c r="AF8"/>
  <c r="C15"/>
  <c r="Y9"/>
  <c r="Y14" s="1"/>
  <c r="X15" i="1"/>
  <c r="AI14" i="2"/>
  <c r="C9" i="3"/>
  <c r="J9"/>
  <c r="AF8"/>
  <c r="AF9"/>
  <c r="C8" i="4"/>
  <c r="C9"/>
  <c r="J8" i="5"/>
  <c r="J9"/>
  <c r="Y8" i="4"/>
  <c r="Y9"/>
  <c r="Y14" s="1"/>
  <c r="AF8" i="5"/>
  <c r="AF9"/>
  <c r="Y15" s="1"/>
  <c r="C8" i="6"/>
  <c r="C9"/>
  <c r="C14" s="1"/>
  <c r="Y15"/>
  <c r="C8" i="7"/>
  <c r="Y8"/>
  <c r="C9"/>
  <c r="C14" s="1"/>
  <c r="Y15"/>
  <c r="C8" i="8"/>
  <c r="Y8"/>
  <c r="C9"/>
  <c r="C14" s="1"/>
  <c r="Y15"/>
  <c r="AR15" i="7"/>
  <c r="AQ15"/>
  <c r="AR14"/>
  <c r="AQ14"/>
  <c r="AR15" i="6"/>
  <c r="AQ15"/>
  <c r="AR14"/>
  <c r="AQ14"/>
  <c r="AR15" i="5"/>
  <c r="AQ15"/>
  <c r="AR14"/>
  <c r="AQ14"/>
  <c r="AR15" i="4"/>
  <c r="AQ15"/>
  <c r="AR14"/>
  <c r="AQ14"/>
  <c r="AR15" i="3"/>
  <c r="AQ15"/>
  <c r="V15"/>
  <c r="U15"/>
  <c r="AR14"/>
  <c r="AQ14"/>
  <c r="V14"/>
  <c r="U14"/>
  <c r="Q9"/>
  <c r="J19" i="1" l="1"/>
  <c r="X14" i="2"/>
  <c r="C14" i="4"/>
  <c r="C15" i="5"/>
  <c r="C14"/>
  <c r="Y15" i="3"/>
  <c r="C15"/>
  <c r="C14"/>
  <c r="Y14"/>
  <c r="D14" i="1"/>
  <c r="J20" s="1"/>
  <c r="H25" s="1"/>
  <c r="D7" i="14" s="1"/>
  <c r="H27" i="1" l="1"/>
  <c r="H26"/>
  <c r="AP1" i="8"/>
  <c r="AI1"/>
  <c r="AE1"/>
  <c r="AA1" l="1"/>
  <c r="T1"/>
  <c r="M1"/>
  <c r="I1"/>
  <c r="E1"/>
  <c r="AP1" i="7" l="1"/>
  <c r="AI1"/>
  <c r="AE1"/>
  <c r="AA1"/>
  <c r="T1"/>
  <c r="M1"/>
  <c r="I1"/>
  <c r="E1"/>
  <c r="AP1" i="6"/>
  <c r="AI1"/>
  <c r="AE1"/>
  <c r="AA1"/>
  <c r="T1"/>
  <c r="M1"/>
  <c r="I1"/>
  <c r="E1"/>
  <c r="AP1" i="5" l="1"/>
  <c r="AI1"/>
  <c r="AE1"/>
  <c r="AA1"/>
  <c r="T1"/>
  <c r="M1"/>
  <c r="I1"/>
  <c r="E1"/>
  <c r="AP1" i="4" l="1"/>
  <c r="AI1"/>
  <c r="AE1"/>
  <c r="AA1"/>
  <c r="T1"/>
  <c r="M1"/>
  <c r="I1"/>
  <c r="E1"/>
  <c r="AP1" i="3" l="1"/>
  <c r="AI1"/>
  <c r="AE1"/>
  <c r="AA1"/>
  <c r="T1"/>
  <c r="M1"/>
  <c r="I1"/>
  <c r="E1"/>
  <c r="AG1" i="2" l="1"/>
  <c r="AC1"/>
  <c r="Y1"/>
  <c r="M1"/>
  <c r="I1"/>
  <c r="E1"/>
  <c r="D15" i="1" l="1"/>
  <c r="H28" s="1"/>
  <c r="AG1" l="1"/>
  <c r="AC1"/>
  <c r="Y1"/>
  <c r="M1"/>
  <c r="I1"/>
  <c r="E1"/>
  <c r="AD2" i="8" l="1"/>
  <c r="H2"/>
  <c r="AD2" i="7"/>
  <c r="H2"/>
  <c r="AD2" i="6"/>
  <c r="H2"/>
  <c r="AD2" i="5"/>
  <c r="H2"/>
  <c r="AD2" i="4"/>
  <c r="H2"/>
  <c r="AD2" i="3"/>
  <c r="H2"/>
  <c r="AB2" i="2"/>
  <c r="H2"/>
  <c r="AB2" i="1" l="1"/>
  <c r="AA2" i="8"/>
  <c r="E2"/>
  <c r="AA2" i="7"/>
  <c r="E2"/>
  <c r="AA2" i="6"/>
  <c r="E2"/>
  <c r="AA2" i="5"/>
  <c r="E2"/>
  <c r="AA2" i="4"/>
  <c r="F29" i="14" l="1"/>
  <c r="AM8" i="5"/>
  <c r="AM14" s="1"/>
  <c r="AF7"/>
  <c r="AM8" i="6"/>
  <c r="AF7"/>
  <c r="AM8" i="7"/>
  <c r="AF7"/>
  <c r="AM8" i="8"/>
  <c r="AF14" s="1"/>
  <c r="AF7"/>
  <c r="Q8" i="6"/>
  <c r="Q14" s="1"/>
  <c r="J7"/>
  <c r="Q8" i="7"/>
  <c r="Q14" s="1"/>
  <c r="J7"/>
  <c r="Q8" i="8"/>
  <c r="Q14" s="1"/>
  <c r="J7"/>
  <c r="AF7" i="4"/>
  <c r="AM8"/>
  <c r="AM14" s="1"/>
  <c r="Q8" i="5"/>
  <c r="Q14" s="1"/>
  <c r="J7"/>
  <c r="AB3" i="4"/>
  <c r="AB3" i="5"/>
  <c r="AB3" i="6"/>
  <c r="AB3" i="7"/>
  <c r="AB3" i="8"/>
  <c r="AD29" s="1"/>
  <c r="F3"/>
  <c r="F3" i="7"/>
  <c r="F3" i="6"/>
  <c r="F3" i="5"/>
  <c r="E2" i="4"/>
  <c r="AA2" i="3"/>
  <c r="H29" i="6" l="1"/>
  <c r="H30"/>
  <c r="H29" i="7"/>
  <c r="H29" i="8"/>
  <c r="J14" i="7"/>
  <c r="J15" s="1"/>
  <c r="Q15"/>
  <c r="AM15" i="5"/>
  <c r="AB21" s="1"/>
  <c r="AD32" s="1"/>
  <c r="AF14"/>
  <c r="AI20" s="1"/>
  <c r="AD29" s="1"/>
  <c r="J14" i="8"/>
  <c r="J15" s="1"/>
  <c r="Q15"/>
  <c r="F21" s="1"/>
  <c r="H32" s="1"/>
  <c r="J14" i="6"/>
  <c r="J15" s="1"/>
  <c r="Q15"/>
  <c r="J25" s="1"/>
  <c r="AM14" i="8"/>
  <c r="AI21" s="1"/>
  <c r="AM15"/>
  <c r="AM14" i="7"/>
  <c r="AI21" s="1"/>
  <c r="AM15"/>
  <c r="AB21" s="1"/>
  <c r="AD32" s="1"/>
  <c r="AF14"/>
  <c r="AI20" s="1"/>
  <c r="AM14" i="6"/>
  <c r="AI21" s="1"/>
  <c r="AF14"/>
  <c r="AI20" s="1"/>
  <c r="AM15"/>
  <c r="AB21" s="1"/>
  <c r="J14" i="5"/>
  <c r="J15" s="1"/>
  <c r="Q15"/>
  <c r="AM15" i="4"/>
  <c r="AB21" s="1"/>
  <c r="AF14"/>
  <c r="AI20" s="1"/>
  <c r="AD29" s="1"/>
  <c r="Q8"/>
  <c r="Q14" s="1"/>
  <c r="J7"/>
  <c r="AM8" i="3"/>
  <c r="AM14" s="1"/>
  <c r="AF7"/>
  <c r="AI20" i="8"/>
  <c r="AB21"/>
  <c r="AD32" s="1"/>
  <c r="AB20"/>
  <c r="AD33"/>
  <c r="AF26"/>
  <c r="AD31" s="1"/>
  <c r="AD33" i="7"/>
  <c r="AB20"/>
  <c r="AF26" s="1"/>
  <c r="AD31" s="1"/>
  <c r="AD33" i="6"/>
  <c r="AD32"/>
  <c r="AF26"/>
  <c r="AD31" s="1"/>
  <c r="AB20"/>
  <c r="AD33" i="5"/>
  <c r="AI21"/>
  <c r="AB20"/>
  <c r="AF26" s="1"/>
  <c r="AD31" s="1"/>
  <c r="AD33" i="4"/>
  <c r="AD32"/>
  <c r="AF26"/>
  <c r="AD31" s="1"/>
  <c r="AI21"/>
  <c r="AB20"/>
  <c r="AB3" i="3"/>
  <c r="M21" i="5"/>
  <c r="H33"/>
  <c r="F20"/>
  <c r="J26" s="1"/>
  <c r="H31" s="1"/>
  <c r="M21" i="6"/>
  <c r="H33"/>
  <c r="F20"/>
  <c r="J26" s="1"/>
  <c r="H31" s="1"/>
  <c r="M21" i="7"/>
  <c r="H33"/>
  <c r="F20"/>
  <c r="J26" s="1"/>
  <c r="H31" s="1"/>
  <c r="H33" i="8"/>
  <c r="F20"/>
  <c r="J26" s="1"/>
  <c r="H31" s="1"/>
  <c r="M21"/>
  <c r="F3" i="4"/>
  <c r="E2" i="3"/>
  <c r="AD29" i="7" l="1"/>
  <c r="AD29" i="6"/>
  <c r="AF26" i="3"/>
  <c r="J25" i="5"/>
  <c r="H30" s="1"/>
  <c r="J25" i="8"/>
  <c r="J25" i="7"/>
  <c r="F21" i="6"/>
  <c r="H32" s="1"/>
  <c r="Q8" i="3"/>
  <c r="Q14" s="1"/>
  <c r="J14" i="4"/>
  <c r="J15" s="1"/>
  <c r="Q15"/>
  <c r="F21" s="1"/>
  <c r="H32" s="1"/>
  <c r="AF25" i="8"/>
  <c r="AF25" i="4"/>
  <c r="AD30" s="1"/>
  <c r="AF25" i="5"/>
  <c r="AD30" s="1"/>
  <c r="AF25" i="6"/>
  <c r="AF25" i="7"/>
  <c r="M20" i="8"/>
  <c r="F21" i="7"/>
  <c r="H32" s="1"/>
  <c r="M20"/>
  <c r="M20" i="6"/>
  <c r="F21" i="5"/>
  <c r="H32" s="1"/>
  <c r="M20"/>
  <c r="H29" s="1"/>
  <c r="M21" i="4"/>
  <c r="H33"/>
  <c r="AM15" i="3"/>
  <c r="AF14"/>
  <c r="AD33"/>
  <c r="J7"/>
  <c r="F3"/>
  <c r="E2" i="2"/>
  <c r="F3" s="1"/>
  <c r="Y2" i="1"/>
  <c r="J19" i="2" l="1"/>
  <c r="J20"/>
  <c r="Y2"/>
  <c r="AI7" s="1"/>
  <c r="D18" i="10"/>
  <c r="M11" s="1"/>
  <c r="AD30" i="8"/>
  <c r="H30"/>
  <c r="AD30" i="7"/>
  <c r="AD30" i="6"/>
  <c r="H30" i="7"/>
  <c r="AI21" i="3"/>
  <c r="AI7" i="1"/>
  <c r="O7" i="2"/>
  <c r="M20" i="4"/>
  <c r="F20"/>
  <c r="J26" s="1"/>
  <c r="H31" s="1"/>
  <c r="M21" i="3"/>
  <c r="H33"/>
  <c r="J14"/>
  <c r="AI20" s="1"/>
  <c r="Q15"/>
  <c r="F20" s="1"/>
  <c r="J26" s="1"/>
  <c r="H28" i="2" l="1"/>
  <c r="H26"/>
  <c r="H25"/>
  <c r="D19" i="14" s="1"/>
  <c r="H27" i="2"/>
  <c r="Z3"/>
  <c r="T1"/>
  <c r="AN1"/>
  <c r="T1" i="1"/>
  <c r="AN1"/>
  <c r="AB20" i="3"/>
  <c r="AF25" s="1"/>
  <c r="AD29" s="1"/>
  <c r="AB21"/>
  <c r="J25" i="4"/>
  <c r="H30" s="1"/>
  <c r="F21" i="3"/>
  <c r="H32" s="1"/>
  <c r="J15"/>
  <c r="M20"/>
  <c r="H29" i="4"/>
  <c r="J25" i="3"/>
  <c r="Z3" i="1"/>
  <c r="AB25" s="1"/>
  <c r="O7"/>
  <c r="D4" i="10"/>
  <c r="D13" i="14" l="1"/>
  <c r="AD19" i="1"/>
  <c r="AB25" i="2"/>
  <c r="AD19"/>
  <c r="AB28"/>
  <c r="AD20"/>
  <c r="AB28" i="1"/>
  <c r="AD32" i="3"/>
  <c r="AD31"/>
  <c r="AD30"/>
  <c r="H31"/>
  <c r="H30"/>
  <c r="H29"/>
  <c r="AD20" i="1"/>
  <c r="AD1" i="8"/>
  <c r="H1"/>
  <c r="AD1" i="7"/>
  <c r="H1" i="6"/>
  <c r="H1" i="7"/>
  <c r="AD1" i="6"/>
  <c r="H1" i="5"/>
  <c r="AD1"/>
  <c r="AD1" i="4"/>
  <c r="H1"/>
  <c r="AD1" i="3"/>
  <c r="H1"/>
  <c r="AB1" i="2"/>
  <c r="H1"/>
  <c r="AB1" i="1"/>
  <c r="H1"/>
  <c r="AB27" i="2" l="1"/>
  <c r="AB27" i="1"/>
  <c r="AB26" i="2"/>
  <c r="D26" i="14" s="1"/>
  <c r="AB26" i="1"/>
  <c r="D20" i="14" l="1"/>
  <c r="F28"/>
  <c r="H13" l="1"/>
  <c r="J8" s="1"/>
  <c r="H14"/>
  <c r="J25" s="1"/>
  <c r="H8"/>
  <c r="J19" s="1"/>
  <c r="H7"/>
  <c r="J7" s="1"/>
  <c r="N7" l="1"/>
  <c r="P10" s="1"/>
  <c r="H19"/>
  <c r="J13" s="1"/>
  <c r="N8"/>
  <c r="H25"/>
  <c r="H26"/>
  <c r="N14" l="1"/>
  <c r="N13"/>
  <c r="P11" s="1"/>
  <c r="T10" s="1"/>
  <c r="W14" s="1"/>
  <c r="T11" l="1"/>
  <c r="W15" s="1"/>
  <c r="C3" l="1"/>
  <c r="T19" l="1"/>
  <c r="W16" s="1"/>
  <c r="N25"/>
  <c r="T20"/>
  <c r="W17" s="1"/>
  <c r="H20"/>
  <c r="N26" l="1"/>
  <c r="T30" s="1"/>
  <c r="W21" s="1"/>
  <c r="J20"/>
  <c r="N20" s="1"/>
  <c r="N19"/>
  <c r="T25"/>
  <c r="W19" s="1"/>
  <c r="T24" l="1"/>
  <c r="W18" s="1"/>
  <c r="T29"/>
  <c r="W20" s="1"/>
</calcChain>
</file>

<file path=xl/sharedStrings.xml><?xml version="1.0" encoding="utf-8"?>
<sst xmlns="http://schemas.openxmlformats.org/spreadsheetml/2006/main" count="751" uniqueCount="135">
  <si>
    <t>1er de Poule:</t>
  </si>
  <si>
    <t>2ème de Poule:</t>
  </si>
  <si>
    <t>3ème de Poule:</t>
  </si>
  <si>
    <t>4ème de Poule:</t>
  </si>
  <si>
    <t>5ème de Poule:</t>
  </si>
  <si>
    <t>Score</t>
  </si>
  <si>
    <t>Jeu</t>
  </si>
  <si>
    <t>Parties éliminatoires (Championnat et Repêchage)</t>
  </si>
  <si>
    <t>1/4 de Finale</t>
  </si>
  <si>
    <t>Championnat</t>
  </si>
  <si>
    <t>1/2 Finale</t>
  </si>
  <si>
    <t>Repêchage</t>
  </si>
  <si>
    <t xml:space="preserve"> Finale</t>
  </si>
  <si>
    <t>Equipes Qualifiées au Championnat de France:</t>
  </si>
  <si>
    <t>A</t>
  </si>
  <si>
    <t>B</t>
  </si>
  <si>
    <t xml:space="preserve"> </t>
  </si>
  <si>
    <t>Poule 3</t>
  </si>
  <si>
    <t>Poule 4</t>
  </si>
  <si>
    <t>Equipes</t>
  </si>
  <si>
    <t>Qualifiés</t>
  </si>
  <si>
    <t>Type</t>
  </si>
  <si>
    <t>Division(s)</t>
  </si>
  <si>
    <t>Nombre d'équipes participantes</t>
  </si>
  <si>
    <t>Année</t>
  </si>
  <si>
    <t>Nombre équipes participantes:</t>
  </si>
  <si>
    <t>Poule 1</t>
  </si>
  <si>
    <t>Poule 2</t>
  </si>
  <si>
    <t>Poule 5</t>
  </si>
  <si>
    <t>Poule 6</t>
  </si>
  <si>
    <t>Poule 7</t>
  </si>
  <si>
    <t>Poule 8</t>
  </si>
  <si>
    <t>Poule 9</t>
  </si>
  <si>
    <t>Poule 10</t>
  </si>
  <si>
    <t>Poule 11</t>
  </si>
  <si>
    <t>Poule 12</t>
  </si>
  <si>
    <t>Poule 13</t>
  </si>
  <si>
    <t>Poule 14</t>
  </si>
  <si>
    <t>Poule 15</t>
  </si>
  <si>
    <t>Poule 16</t>
  </si>
  <si>
    <t>P1</t>
  </si>
  <si>
    <t>P2</t>
  </si>
  <si>
    <t>P3</t>
  </si>
  <si>
    <t>P4</t>
  </si>
  <si>
    <t>D</t>
  </si>
  <si>
    <t>E</t>
  </si>
  <si>
    <t>Nombre d'équipes qualifiées au Ch de France :</t>
  </si>
  <si>
    <t>Fédéral du Comité de l'Ardèche</t>
  </si>
  <si>
    <t>Année:</t>
  </si>
  <si>
    <t>Type:</t>
  </si>
  <si>
    <t>Division(s):</t>
  </si>
  <si>
    <t>1ère PARTIE</t>
  </si>
  <si>
    <t>C</t>
  </si>
  <si>
    <t>P</t>
  </si>
  <si>
    <t xml:space="preserve">FEDERAL CBD DE </t>
  </si>
  <si>
    <t>TIRAGE</t>
  </si>
  <si>
    <t>NOMS</t>
  </si>
  <si>
    <t>AS</t>
  </si>
  <si>
    <t xml:space="preserve">Nombre d'équipes qualifiées </t>
  </si>
  <si>
    <t>Classement</t>
  </si>
  <si>
    <t>Gagnants</t>
  </si>
  <si>
    <t>Perdants</t>
  </si>
  <si>
    <t>Office</t>
  </si>
  <si>
    <t>ST PERAY</t>
  </si>
  <si>
    <t>4 Div.</t>
  </si>
  <si>
    <t>Vérouillage: AB</t>
  </si>
  <si>
    <t>Nb équ. par poule</t>
  </si>
  <si>
    <r>
      <t xml:space="preserve"> </t>
    </r>
    <r>
      <rPr>
        <u/>
        <sz val="11"/>
        <color theme="1"/>
        <rFont val="Times New Roman"/>
        <family val="1"/>
      </rPr>
      <t>Remarque</t>
    </r>
    <r>
      <rPr>
        <sz val="11"/>
        <color theme="1"/>
        <rFont val="Times New Roman"/>
        <family val="1"/>
      </rPr>
      <t>: Lors de la phase 2, les perdants de la Phase 1 sont sur la gauche de l'écran et les gagnants sur la droite</t>
    </r>
  </si>
  <si>
    <t xml:space="preserve">FEDERAL  DE </t>
  </si>
  <si>
    <t>jeux</t>
  </si>
  <si>
    <t xml:space="preserve"> Quadrettes</t>
  </si>
  <si>
    <t>D7</t>
  </si>
  <si>
    <t>Poules</t>
  </si>
  <si>
    <t>D13</t>
  </si>
  <si>
    <t>.</t>
  </si>
  <si>
    <t>"OFFICE"</t>
  </si>
  <si>
    <t>Nbre Eq.</t>
  </si>
  <si>
    <t>Nbre Q. P.</t>
  </si>
  <si>
    <t>4 à 8 jeux</t>
  </si>
  <si>
    <t>FEDERAL</t>
  </si>
  <si>
    <t>1 à 16</t>
  </si>
  <si>
    <t>Nb de qualifiés Poules</t>
  </si>
  <si>
    <t>Code vérrouillage AB</t>
  </si>
  <si>
    <t>A1</t>
  </si>
  <si>
    <t>B1</t>
  </si>
  <si>
    <t>C1</t>
  </si>
  <si>
    <t>D1</t>
  </si>
  <si>
    <t>A2</t>
  </si>
  <si>
    <t>B2</t>
  </si>
  <si>
    <t>C2</t>
  </si>
  <si>
    <t>D2</t>
  </si>
  <si>
    <t>3ème et 4ème place</t>
  </si>
  <si>
    <t>7ème et 8ème place</t>
  </si>
  <si>
    <t>A3</t>
  </si>
  <si>
    <t>B3</t>
  </si>
  <si>
    <t>C3</t>
  </si>
  <si>
    <t>A4</t>
  </si>
  <si>
    <t>B4</t>
  </si>
  <si>
    <t>C4</t>
  </si>
  <si>
    <t>5ème  et  6ème  place</t>
  </si>
  <si>
    <t>D3</t>
  </si>
  <si>
    <t>D4</t>
  </si>
  <si>
    <t>1er  et  2ème place</t>
  </si>
  <si>
    <t>=SI(OU(A2=83;A2=9;A2=10;A2=87);"OFFICE";SI(ET(Z3=2);P1;SI(ET(G7=G8);"Perdant 1/4";0)))</t>
  </si>
  <si>
    <t xml:space="preserve">FEDERAL DE </t>
  </si>
  <si>
    <t>Barrages</t>
  </si>
  <si>
    <t>1/2  Finale</t>
  </si>
  <si>
    <t>FINALE</t>
  </si>
  <si>
    <t>poules</t>
  </si>
  <si>
    <t>NOM</t>
  </si>
  <si>
    <t>score</t>
  </si>
  <si>
    <t>Jeux</t>
  </si>
  <si>
    <t>Off-D7-A8-B8-C8</t>
  </si>
  <si>
    <t>Off-B7-C7-A8-C7-A7-B7-C7</t>
  </si>
  <si>
    <t>C2-C6-</t>
  </si>
  <si>
    <t>C5</t>
  </si>
  <si>
    <t>Qualifiées au CH. De FR.</t>
  </si>
  <si>
    <t>Repéchâge</t>
  </si>
  <si>
    <t>1/4  de Finale  ou  1/2 finale</t>
  </si>
  <si>
    <t>3ème  et 4ème place</t>
  </si>
  <si>
    <t>Effectuer le tirage en notant les numéros colonne V les noms des équipes s'affichent dans le tableau ainsi que dans l'onglet Classement</t>
  </si>
  <si>
    <t>Dans l'onglet classement enregistrer les résultats jusqu'à la finale et vous obtenez les qualifiés</t>
  </si>
  <si>
    <t xml:space="preserve">13_1aa_Fédéraux Alain_8 à 16 Eq. Poule 3 et 4 </t>
  </si>
  <si>
    <t>de 8 à 16 Equipes</t>
  </si>
  <si>
    <t>AS:/Secteur</t>
  </si>
  <si>
    <t>2ème partie</t>
  </si>
  <si>
    <t>Cellules Jaune et bleue Avec le curseur afficher le nombre d'équipes engagées cellule H11 et le nombre d'équipes qualifiées cellule H12</t>
  </si>
  <si>
    <t>Enregistrer les résultats jusqu'aux parties finales et vous obtenez les qualifiés (Si offices mettre 1 à 0)</t>
  </si>
  <si>
    <t>Lieux:</t>
  </si>
  <si>
    <t>(4ème _ 5ème  ou  6ème  place</t>
  </si>
  <si>
    <t>6ème _ 7ème ou 8ème place</t>
  </si>
  <si>
    <t xml:space="preserve">Avec le curseur afficher le nombre d'équipes engagées cellule F10 </t>
  </si>
  <si>
    <t>et le nombre d'équipes qualifiées cellule F11</t>
  </si>
  <si>
    <t xml:space="preserve">Effectuer le tirage en notant les numéros colonne T les noms des équipes s'affichent </t>
  </si>
  <si>
    <t>dans les poules 1ère partie colonne AC</t>
  </si>
</sst>
</file>

<file path=xl/styles.xml><?xml version="1.0" encoding="utf-8"?>
<styleSheet xmlns="http://schemas.openxmlformats.org/spreadsheetml/2006/main">
  <numFmts count="1">
    <numFmt numFmtId="164" formatCode="[$-40C]d\-mmm;@"/>
  </numFmts>
  <fonts count="53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name val="Times New Roman"/>
      <family val="1"/>
    </font>
    <font>
      <sz val="11"/>
      <color rgb="FFFFFF00"/>
      <name val="Times New Roman"/>
      <family val="1"/>
    </font>
    <font>
      <sz val="11"/>
      <color theme="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B0F0"/>
      <name val="Times New Roman"/>
      <family val="1"/>
    </font>
    <font>
      <b/>
      <sz val="11"/>
      <color theme="1"/>
      <name val="Times New Roman"/>
      <family val="1"/>
    </font>
    <font>
      <sz val="26"/>
      <color theme="1"/>
      <name val="Times New Roman"/>
      <family val="1"/>
    </font>
    <font>
      <sz val="26"/>
      <color rgb="FF0070C0"/>
      <name val="Times New Roman"/>
      <family val="1"/>
    </font>
    <font>
      <b/>
      <sz val="11"/>
      <color theme="0"/>
      <name val="Times New Roman"/>
      <family val="1"/>
    </font>
    <font>
      <sz val="22"/>
      <color theme="1"/>
      <name val="Times New Roman"/>
      <family val="1"/>
    </font>
    <font>
      <sz val="20"/>
      <color theme="1"/>
      <name val="Times New Roman"/>
      <family val="1"/>
    </font>
    <font>
      <sz val="20"/>
      <color rgb="FFFF0000"/>
      <name val="Times New Roman"/>
      <family val="1"/>
    </font>
    <font>
      <b/>
      <sz val="16"/>
      <color rgb="FFFF0000"/>
      <name val="Times New Roman"/>
      <family val="1"/>
    </font>
    <font>
      <sz val="24"/>
      <color rgb="FFFF0000"/>
      <name val="Times New Roman"/>
      <family val="1"/>
    </font>
    <font>
      <sz val="12"/>
      <color theme="1"/>
      <name val="Times New Roman"/>
      <family val="1"/>
    </font>
    <font>
      <b/>
      <sz val="16"/>
      <color theme="0"/>
      <name val="Times New Roman"/>
      <family val="1"/>
    </font>
    <font>
      <sz val="14"/>
      <color theme="0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0"/>
      <name val="Times New Roman"/>
      <family val="1"/>
    </font>
    <font>
      <sz val="11"/>
      <color rgb="FFFF0000"/>
      <name val="Times New Roman"/>
      <family val="1"/>
    </font>
    <font>
      <sz val="14"/>
      <color rgb="FFFF0000"/>
      <name val="Times New Roman"/>
      <family val="1"/>
    </font>
    <font>
      <sz val="16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b/>
      <sz val="20"/>
      <color theme="1"/>
      <name val="Times New Roman"/>
      <family val="1"/>
    </font>
    <font>
      <sz val="26"/>
      <color theme="0"/>
      <name val="Times New Roman"/>
      <family val="1"/>
    </font>
    <font>
      <sz val="18"/>
      <name val="Times New Roman"/>
      <family val="1"/>
    </font>
    <font>
      <sz val="22"/>
      <name val="Times New Roman"/>
      <family val="1"/>
    </font>
    <font>
      <sz val="26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A90ED"/>
        <bgColor indexed="64"/>
      </patternFill>
    </fill>
    <fill>
      <patternFill patternType="solid">
        <fgColor rgb="FF57D3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medium">
        <color indexed="64"/>
      </right>
      <top style="double">
        <color rgb="FFFF0000"/>
      </top>
      <bottom/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 style="thin">
        <color indexed="8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ouble">
        <color rgb="FFFF0000"/>
      </top>
      <bottom/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rgb="FFFF0000"/>
      </bottom>
      <diagonal/>
    </border>
    <border>
      <left style="thin">
        <color indexed="8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double">
        <color rgb="FFFF0000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rgb="FFFF0000"/>
      </bottom>
      <diagonal/>
    </border>
  </borders>
  <cellStyleXfs count="2">
    <xf numFmtId="0" fontId="0" fillId="0" borderId="0"/>
    <xf numFmtId="0" fontId="39" fillId="0" borderId="0"/>
  </cellStyleXfs>
  <cellXfs count="887">
    <xf numFmtId="0" fontId="0" fillId="0" borderId="0" xfId="0"/>
    <xf numFmtId="0" fontId="0" fillId="0" borderId="0" xfId="0" applyProtection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7" borderId="1" xfId="0" applyFill="1" applyBorder="1" applyAlignment="1" applyProtection="1">
      <alignment horizontal="center"/>
    </xf>
    <xf numFmtId="0" fontId="3" fillId="6" borderId="1" xfId="0" applyFont="1" applyFill="1" applyBorder="1" applyAlignment="1" applyProtection="1"/>
    <xf numFmtId="0" fontId="0" fillId="3" borderId="1" xfId="0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2" fillId="3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3" fillId="0" borderId="12" xfId="0" applyFont="1" applyBorder="1" applyProtection="1"/>
    <xf numFmtId="0" fontId="13" fillId="0" borderId="0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3" fillId="0" borderId="0" xfId="0" applyFont="1" applyBorder="1" applyProtection="1"/>
    <xf numFmtId="0" fontId="13" fillId="0" borderId="0" xfId="0" applyFont="1" applyFill="1" applyBorder="1" applyProtection="1"/>
    <xf numFmtId="0" fontId="13" fillId="0" borderId="12" xfId="0" applyFont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</xf>
    <xf numFmtId="0" fontId="13" fillId="0" borderId="20" xfId="0" applyFont="1" applyBorder="1" applyProtection="1"/>
    <xf numFmtId="0" fontId="13" fillId="0" borderId="0" xfId="0" applyFont="1" applyAlignment="1" applyProtection="1">
      <alignment horizontal="right" vertical="center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right"/>
    </xf>
    <xf numFmtId="0" fontId="13" fillId="13" borderId="1" xfId="0" applyFont="1" applyFill="1" applyBorder="1" applyProtection="1"/>
    <xf numFmtId="0" fontId="17" fillId="3" borderId="1" xfId="0" applyFont="1" applyFill="1" applyBorder="1" applyAlignment="1" applyProtection="1">
      <alignment horizontal="center" vertical="center"/>
    </xf>
    <xf numFmtId="0" fontId="13" fillId="0" borderId="16" xfId="0" applyFont="1" applyBorder="1"/>
    <xf numFmtId="0" fontId="13" fillId="0" borderId="0" xfId="0" applyFont="1"/>
    <xf numFmtId="0" fontId="13" fillId="0" borderId="12" xfId="0" applyFont="1" applyBorder="1" applyAlignment="1" applyProtection="1">
      <alignment horizontal="center"/>
      <protection locked="0"/>
    </xf>
    <xf numFmtId="0" fontId="13" fillId="0" borderId="1" xfId="0" applyFont="1" applyBorder="1" applyProtection="1"/>
    <xf numFmtId="0" fontId="13" fillId="0" borderId="8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  <protection locked="0"/>
    </xf>
    <xf numFmtId="0" fontId="18" fillId="0" borderId="0" xfId="0" quotePrefix="1" applyFont="1" applyBorder="1" applyAlignment="1" applyProtection="1">
      <alignment horizontal="center"/>
    </xf>
    <xf numFmtId="0" fontId="13" fillId="0" borderId="24" xfId="0" applyFont="1" applyBorder="1" applyAlignment="1" applyProtection="1">
      <alignment horizontal="center"/>
    </xf>
    <xf numFmtId="0" fontId="13" fillId="0" borderId="36" xfId="0" applyFont="1" applyBorder="1" applyAlignment="1" applyProtection="1">
      <alignment horizontal="center"/>
    </xf>
    <xf numFmtId="0" fontId="19" fillId="0" borderId="0" xfId="0" quotePrefix="1" applyFont="1" applyBorder="1" applyProtection="1"/>
    <xf numFmtId="0" fontId="13" fillId="0" borderId="0" xfId="0" quotePrefix="1" applyFont="1" applyBorder="1" applyProtection="1"/>
    <xf numFmtId="0" fontId="20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13" fillId="0" borderId="16" xfId="0" applyFont="1" applyBorder="1" applyProtection="1"/>
    <xf numFmtId="0" fontId="13" fillId="0" borderId="17" xfId="0" applyFont="1" applyBorder="1"/>
    <xf numFmtId="0" fontId="13" fillId="0" borderId="17" xfId="0" applyFont="1" applyBorder="1" applyProtection="1"/>
    <xf numFmtId="0" fontId="13" fillId="0" borderId="18" xfId="0" applyFont="1" applyBorder="1" applyProtection="1"/>
    <xf numFmtId="0" fontId="24" fillId="4" borderId="0" xfId="0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21" fillId="0" borderId="0" xfId="0" applyFont="1" applyBorder="1" applyProtection="1"/>
    <xf numFmtId="0" fontId="12" fillId="6" borderId="1" xfId="0" applyFont="1" applyFill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1" xfId="0" quotePrefix="1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35" xfId="0" quotePrefix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/>
    </xf>
    <xf numFmtId="0" fontId="26" fillId="0" borderId="0" xfId="0" applyFont="1" applyFill="1" applyBorder="1" applyProtection="1">
      <protection locked="0"/>
    </xf>
    <xf numFmtId="0" fontId="26" fillId="0" borderId="0" xfId="0" applyFont="1" applyProtection="1"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31" xfId="0" applyFont="1" applyBorder="1" applyAlignment="1" applyProtection="1">
      <alignment horizontal="center"/>
      <protection locked="0"/>
    </xf>
    <xf numFmtId="0" fontId="28" fillId="3" borderId="1" xfId="0" applyFont="1" applyFill="1" applyBorder="1" applyAlignment="1" applyProtection="1">
      <alignment horizontal="center" vertical="center"/>
    </xf>
    <xf numFmtId="0" fontId="27" fillId="3" borderId="1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30" fillId="0" borderId="0" xfId="0" applyNumberFormat="1" applyFont="1" applyAlignment="1" applyProtection="1"/>
    <xf numFmtId="0" fontId="30" fillId="0" borderId="0" xfId="0" applyNumberFormat="1" applyFont="1" applyAlignment="1" applyProtection="1">
      <alignment horizontal="center" vertical="center" wrapText="1"/>
    </xf>
    <xf numFmtId="0" fontId="28" fillId="10" borderId="1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3" fillId="0" borderId="12" xfId="0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26" fillId="0" borderId="12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26" fillId="0" borderId="20" xfId="0" applyFont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3" fillId="0" borderId="20" xfId="0" applyFont="1" applyBorder="1" applyProtection="1">
      <protection locked="0"/>
    </xf>
    <xf numFmtId="0" fontId="13" fillId="0" borderId="16" xfId="0" applyFont="1" applyBorder="1" applyProtection="1">
      <protection locked="0"/>
    </xf>
    <xf numFmtId="0" fontId="19" fillId="0" borderId="0" xfId="0" quotePrefix="1" applyFont="1" applyBorder="1" applyProtection="1">
      <protection locked="0"/>
    </xf>
    <xf numFmtId="0" fontId="13" fillId="0" borderId="0" xfId="0" quotePrefix="1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17" xfId="0" applyFont="1" applyBorder="1" applyProtection="1">
      <protection locked="0"/>
    </xf>
    <xf numFmtId="0" fontId="13" fillId="0" borderId="18" xfId="0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quotePrefix="1" applyFont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26" fillId="17" borderId="1" xfId="0" applyFont="1" applyFill="1" applyBorder="1" applyAlignment="1" applyProtection="1">
      <alignment horizontal="center" vertical="center"/>
      <protection locked="0"/>
    </xf>
    <xf numFmtId="0" fontId="18" fillId="0" borderId="0" xfId="0" quotePrefix="1" applyFont="1" applyFill="1" applyBorder="1" applyAlignment="1" applyProtection="1">
      <alignment horizontal="center"/>
      <protection locked="0"/>
    </xf>
    <xf numFmtId="0" fontId="13" fillId="0" borderId="0" xfId="0" applyNumberFormat="1" applyFont="1" applyAlignment="1" applyProtection="1">
      <alignment wrapText="1"/>
      <protection locked="0"/>
    </xf>
    <xf numFmtId="0" fontId="13" fillId="0" borderId="0" xfId="0" quotePrefix="1" applyNumberFormat="1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 vertical="center"/>
    </xf>
    <xf numFmtId="0" fontId="10" fillId="16" borderId="1" xfId="0" applyFont="1" applyFill="1" applyBorder="1" applyAlignment="1" applyProtection="1">
      <alignment horizontal="center" vertical="center"/>
    </xf>
    <xf numFmtId="0" fontId="13" fillId="0" borderId="9" xfId="0" quotePrefix="1" applyNumberFormat="1" applyFont="1" applyBorder="1" applyAlignment="1" applyProtection="1">
      <alignment horizontal="center" vertical="center"/>
    </xf>
    <xf numFmtId="0" fontId="13" fillId="0" borderId="1" xfId="0" quotePrefix="1" applyFont="1" applyBorder="1" applyAlignment="1" applyProtection="1">
      <alignment horizontal="center" vertical="center"/>
    </xf>
    <xf numFmtId="0" fontId="10" fillId="15" borderId="1" xfId="0" applyFont="1" applyFill="1" applyBorder="1" applyAlignment="1" applyProtection="1">
      <alignment horizontal="center" vertical="center"/>
    </xf>
    <xf numFmtId="0" fontId="13" fillId="0" borderId="1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14" fillId="0" borderId="14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30" fillId="0" borderId="0" xfId="0" applyNumberFormat="1" applyFont="1" applyAlignment="1" applyProtection="1">
      <protection locked="0"/>
    </xf>
    <xf numFmtId="0" fontId="13" fillId="0" borderId="0" xfId="0" quotePrefix="1" applyNumberFormat="1" applyFont="1" applyProtection="1">
      <protection locked="0"/>
    </xf>
    <xf numFmtId="0" fontId="10" fillId="0" borderId="0" xfId="0" applyNumberFormat="1" applyFont="1" applyAlignment="1" applyProtection="1">
      <alignment vertical="center" wrapText="1"/>
      <protection locked="0"/>
    </xf>
    <xf numFmtId="0" fontId="13" fillId="0" borderId="0" xfId="0" quotePrefix="1" applyNumberFormat="1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3" fillId="19" borderId="1" xfId="0" applyFont="1" applyFill="1" applyBorder="1" applyAlignment="1" applyProtection="1">
      <alignment horizontal="center" vertical="center"/>
    </xf>
    <xf numFmtId="0" fontId="14" fillId="19" borderId="1" xfId="0" applyFont="1" applyFill="1" applyBorder="1" applyAlignment="1" applyProtection="1">
      <alignment horizontal="center"/>
    </xf>
    <xf numFmtId="0" fontId="0" fillId="0" borderId="17" xfId="0" applyBorder="1"/>
    <xf numFmtId="0" fontId="18" fillId="0" borderId="0" xfId="0" quotePrefix="1" applyFont="1" applyFill="1" applyProtection="1"/>
    <xf numFmtId="0" fontId="13" fillId="0" borderId="31" xfId="0" applyFont="1" applyBorder="1" applyAlignment="1" applyProtection="1">
      <alignment horizontal="center"/>
    </xf>
    <xf numFmtId="0" fontId="13" fillId="0" borderId="34" xfId="0" applyFont="1" applyBorder="1" applyAlignment="1" applyProtection="1">
      <alignment horizontal="center"/>
    </xf>
    <xf numFmtId="0" fontId="13" fillId="0" borderId="35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</xf>
    <xf numFmtId="0" fontId="16" fillId="0" borderId="0" xfId="0" applyFont="1" applyBorder="1" applyProtection="1">
      <protection locked="0"/>
    </xf>
    <xf numFmtId="0" fontId="0" fillId="0" borderId="0" xfId="0" applyBorder="1"/>
    <xf numFmtId="0" fontId="13" fillId="0" borderId="14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  <protection locked="0"/>
    </xf>
    <xf numFmtId="0" fontId="0" fillId="0" borderId="12" xfId="0" applyBorder="1"/>
    <xf numFmtId="0" fontId="0" fillId="0" borderId="20" xfId="0" applyBorder="1"/>
    <xf numFmtId="0" fontId="0" fillId="0" borderId="0" xfId="0" applyBorder="1" applyProtection="1">
      <protection locked="0"/>
    </xf>
    <xf numFmtId="0" fontId="13" fillId="0" borderId="14" xfId="0" applyFont="1" applyFill="1" applyBorder="1" applyAlignment="1" applyProtection="1">
      <alignment horizontal="center"/>
    </xf>
    <xf numFmtId="0" fontId="13" fillId="0" borderId="0" xfId="0" quotePrefix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</xf>
    <xf numFmtId="0" fontId="33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right"/>
      <protection locked="0"/>
    </xf>
    <xf numFmtId="0" fontId="18" fillId="0" borderId="12" xfId="0" applyFont="1" applyBorder="1" applyAlignment="1" applyProtection="1">
      <alignment horizontal="right" vertical="center"/>
      <protection locked="0"/>
    </xf>
    <xf numFmtId="0" fontId="18" fillId="0" borderId="12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3" fillId="0" borderId="10" xfId="0" quotePrefix="1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protection locked="0"/>
    </xf>
    <xf numFmtId="0" fontId="11" fillId="0" borderId="0" xfId="0" applyFont="1" applyProtection="1">
      <protection locked="0"/>
    </xf>
    <xf numFmtId="0" fontId="14" fillId="11" borderId="19" xfId="0" applyFont="1" applyFill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0" xfId="0" applyNumberFormat="1" applyFont="1" applyBorder="1" applyProtection="1"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13" fillId="0" borderId="0" xfId="0" quotePrefix="1" applyFont="1" applyProtection="1">
      <protection locked="0"/>
    </xf>
    <xf numFmtId="0" fontId="35" fillId="0" borderId="0" xfId="0" applyFo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3" fillId="0" borderId="11" xfId="0" applyFont="1" applyFill="1" applyBorder="1" applyAlignment="1" applyProtection="1">
      <alignment horizontal="center"/>
      <protection locked="0"/>
    </xf>
    <xf numFmtId="0" fontId="13" fillId="0" borderId="1" xfId="0" quotePrefix="1" applyNumberFormat="1" applyFont="1" applyFill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/>
      <protection locked="0"/>
    </xf>
    <xf numFmtId="0" fontId="16" fillId="0" borderId="35" xfId="0" quotePrefix="1" applyFont="1" applyFill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6" fillId="0" borderId="0" xfId="0" quotePrefix="1" applyFont="1" applyFill="1" applyProtection="1"/>
    <xf numFmtId="0" fontId="16" fillId="0" borderId="0" xfId="0" applyFont="1" applyFill="1" applyProtection="1"/>
    <xf numFmtId="0" fontId="2" fillId="0" borderId="0" xfId="0" applyFont="1"/>
    <xf numFmtId="0" fontId="5" fillId="0" borderId="0" xfId="0" applyFont="1" applyFill="1" applyProtection="1"/>
    <xf numFmtId="0" fontId="9" fillId="0" borderId="47" xfId="0" applyFont="1" applyFill="1" applyBorder="1" applyAlignment="1" applyProtection="1">
      <alignment horizontal="center" vertical="center"/>
      <protection locked="0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49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7" fillId="0" borderId="0" xfId="0" quotePrefix="1" applyNumberFormat="1" applyFont="1" applyAlignment="1">
      <alignment vertical="center"/>
    </xf>
    <xf numFmtId="0" fontId="13" fillId="0" borderId="48" xfId="0" applyFont="1" applyBorder="1" applyAlignment="1" applyProtection="1">
      <alignment horizontal="center" vertical="center"/>
      <protection locked="0"/>
    </xf>
    <xf numFmtId="0" fontId="6" fillId="14" borderId="19" xfId="0" quotePrefix="1" applyFont="1" applyFill="1" applyBorder="1" applyAlignment="1" applyProtection="1">
      <alignment horizontal="center" vertical="center"/>
      <protection locked="0"/>
    </xf>
    <xf numFmtId="0" fontId="6" fillId="14" borderId="34" xfId="0" quotePrefix="1" applyFont="1" applyFill="1" applyBorder="1" applyAlignment="1" applyProtection="1">
      <alignment horizontal="center" vertical="center"/>
      <protection locked="0"/>
    </xf>
    <xf numFmtId="0" fontId="5" fillId="0" borderId="11" xfId="0" quotePrefix="1" applyFont="1" applyBorder="1" applyAlignment="1" applyProtection="1">
      <alignment horizontal="center" vertical="center"/>
      <protection locked="0"/>
    </xf>
    <xf numFmtId="0" fontId="6" fillId="0" borderId="19" xfId="0" quotePrefix="1" applyFont="1" applyFill="1" applyBorder="1" applyAlignment="1" applyProtection="1">
      <alignment horizontal="center" vertical="center"/>
      <protection locked="0"/>
    </xf>
    <xf numFmtId="0" fontId="6" fillId="0" borderId="34" xfId="0" quotePrefix="1" applyFont="1" applyFill="1" applyBorder="1" applyAlignment="1" applyProtection="1">
      <alignment horizontal="center" vertical="center"/>
      <protection locked="0"/>
    </xf>
    <xf numFmtId="0" fontId="5" fillId="0" borderId="21" xfId="0" quotePrefix="1" applyFont="1" applyBorder="1" applyAlignment="1" applyProtection="1">
      <alignment horizontal="center" vertical="center"/>
      <protection locked="0"/>
    </xf>
    <xf numFmtId="0" fontId="6" fillId="0" borderId="31" xfId="0" quotePrefix="1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13" fillId="14" borderId="19" xfId="0" applyFont="1" applyFill="1" applyBorder="1" applyAlignment="1" applyProtection="1">
      <alignment horizontal="center" vertical="center"/>
      <protection locked="0"/>
    </xf>
    <xf numFmtId="0" fontId="13" fillId="14" borderId="14" xfId="0" applyFont="1" applyFill="1" applyBorder="1" applyAlignment="1" applyProtection="1">
      <alignment horizontal="center" vertical="center"/>
      <protection locked="0"/>
    </xf>
    <xf numFmtId="0" fontId="13" fillId="14" borderId="15" xfId="0" applyFont="1" applyFill="1" applyBorder="1" applyAlignment="1" applyProtection="1">
      <alignment horizontal="center" vertical="center"/>
      <protection locked="0"/>
    </xf>
    <xf numFmtId="0" fontId="13" fillId="0" borderId="25" xfId="0" applyFont="1" applyBorder="1" applyProtection="1">
      <protection locked="0"/>
    </xf>
    <xf numFmtId="0" fontId="13" fillId="0" borderId="26" xfId="0" applyFont="1" applyBorder="1" applyProtection="1">
      <protection locked="0"/>
    </xf>
    <xf numFmtId="0" fontId="13" fillId="0" borderId="27" xfId="0" applyFont="1" applyBorder="1" applyProtection="1">
      <protection locked="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35" xfId="0" quotePrefix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quotePrefix="1" applyFont="1" applyAlignment="1" applyProtection="1">
      <alignment horizontal="center"/>
    </xf>
    <xf numFmtId="0" fontId="18" fillId="0" borderId="0" xfId="0" quotePrefix="1" applyFont="1" applyFill="1" applyBorder="1" applyAlignment="1" applyProtection="1">
      <alignment horizontal="center"/>
    </xf>
    <xf numFmtId="0" fontId="13" fillId="0" borderId="34" xfId="0" applyFont="1" applyFill="1" applyBorder="1" applyAlignment="1" applyProtection="1">
      <alignment horizontal="center"/>
    </xf>
    <xf numFmtId="0" fontId="18" fillId="0" borderId="0" xfId="0" quotePrefix="1" applyFont="1" applyFill="1" applyBorder="1" applyAlignment="1" applyProtection="1">
      <alignment horizontal="left" vertical="center"/>
      <protection locked="0"/>
    </xf>
    <xf numFmtId="0" fontId="38" fillId="0" borderId="5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55" xfId="1" applyFont="1" applyFill="1" applyBorder="1" applyAlignment="1" applyProtection="1">
      <alignment horizontal="center" vertical="center" wrapText="1"/>
    </xf>
    <xf numFmtId="0" fontId="38" fillId="0" borderId="56" xfId="1" applyFont="1" applyFill="1" applyBorder="1" applyAlignment="1" applyProtection="1">
      <alignment horizontal="center" vertical="center" wrapText="1"/>
    </xf>
    <xf numFmtId="0" fontId="40" fillId="0" borderId="57" xfId="0" applyFont="1" applyFill="1" applyBorder="1" applyAlignment="1" applyProtection="1">
      <alignment horizontal="center" wrapText="1"/>
      <protection locked="0"/>
    </xf>
    <xf numFmtId="0" fontId="41" fillId="0" borderId="57" xfId="0" applyFont="1" applyFill="1" applyBorder="1" applyAlignment="1" applyProtection="1">
      <alignment horizont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Protection="1">
      <protection locked="0"/>
    </xf>
    <xf numFmtId="0" fontId="38" fillId="0" borderId="60" xfId="1" quotePrefix="1" applyFont="1" applyFill="1" applyBorder="1" applyAlignment="1" applyProtection="1">
      <alignment horizontal="center" vertical="center" wrapText="1"/>
    </xf>
    <xf numFmtId="0" fontId="38" fillId="0" borderId="62" xfId="1" applyFont="1" applyFill="1" applyBorder="1" applyAlignment="1" applyProtection="1">
      <alignment horizontal="center" vertical="center" wrapText="1"/>
    </xf>
    <xf numFmtId="0" fontId="38" fillId="0" borderId="65" xfId="1" applyFont="1" applyFill="1" applyBorder="1" applyAlignment="1" applyProtection="1">
      <alignment horizontal="center" vertical="center" wrapText="1"/>
    </xf>
    <xf numFmtId="0" fontId="38" fillId="0" borderId="66" xfId="1" applyFont="1" applyFill="1" applyBorder="1" applyAlignment="1" applyProtection="1">
      <alignment horizontal="center" vertical="center" wrapText="1"/>
    </xf>
    <xf numFmtId="0" fontId="38" fillId="0" borderId="75" xfId="1" applyFont="1" applyFill="1" applyBorder="1" applyAlignment="1" applyProtection="1">
      <alignment horizontal="center" vertical="center" wrapText="1"/>
    </xf>
    <xf numFmtId="0" fontId="41" fillId="0" borderId="5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Protection="1"/>
    <xf numFmtId="0" fontId="40" fillId="0" borderId="0" xfId="0" applyFont="1" applyFill="1" applyBorder="1" applyAlignment="1" applyProtection="1">
      <alignment horizontal="center" wrapText="1"/>
      <protection locked="0"/>
    </xf>
    <xf numFmtId="0" fontId="38" fillId="0" borderId="57" xfId="0" applyFont="1" applyFill="1" applyBorder="1" applyAlignment="1" applyProtection="1">
      <alignment horizontal="center" wrapText="1"/>
      <protection locked="0"/>
    </xf>
    <xf numFmtId="0" fontId="38" fillId="0" borderId="67" xfId="1" quotePrefix="1" applyFont="1" applyFill="1" applyBorder="1" applyAlignment="1" applyProtection="1">
      <alignment horizontal="center" vertical="center" wrapText="1"/>
    </xf>
    <xf numFmtId="0" fontId="38" fillId="0" borderId="62" xfId="1" quotePrefix="1" applyFont="1" applyFill="1" applyBorder="1" applyAlignment="1" applyProtection="1">
      <alignment horizontal="center" vertical="center" wrapText="1"/>
    </xf>
    <xf numFmtId="0" fontId="38" fillId="0" borderId="77" xfId="1" quotePrefix="1" applyFont="1" applyFill="1" applyBorder="1" applyAlignment="1" applyProtection="1">
      <alignment horizontal="center" vertical="center" wrapText="1"/>
    </xf>
    <xf numFmtId="0" fontId="38" fillId="0" borderId="62" xfId="1" quotePrefix="1" applyNumberFormat="1" applyFont="1" applyFill="1" applyBorder="1" applyAlignment="1" applyProtection="1">
      <alignment horizontal="center" vertical="center" wrapText="1"/>
    </xf>
    <xf numFmtId="0" fontId="36" fillId="0" borderId="48" xfId="0" applyFont="1" applyFill="1" applyBorder="1" applyAlignment="1" applyProtection="1">
      <alignment horizontal="center" vertical="center"/>
      <protection locked="0"/>
    </xf>
    <xf numFmtId="0" fontId="36" fillId="0" borderId="24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6" xfId="0" quotePrefix="1" applyFont="1" applyFill="1" applyBorder="1" applyAlignment="1" applyProtection="1">
      <alignment horizontal="center" vertical="center"/>
    </xf>
    <xf numFmtId="0" fontId="26" fillId="3" borderId="19" xfId="0" quotePrefix="1" applyFont="1" applyFill="1" applyBorder="1" applyAlignment="1" applyProtection="1">
      <alignment horizontal="center" vertical="center"/>
      <protection locked="0"/>
    </xf>
    <xf numFmtId="0" fontId="12" fillId="0" borderId="0" xfId="0" quotePrefix="1" applyFont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16" fillId="0" borderId="0" xfId="0" quotePrefix="1" applyFont="1" applyAlignment="1" applyProtection="1">
      <alignment vertical="center"/>
      <protection locked="0"/>
    </xf>
    <xf numFmtId="0" fontId="42" fillId="0" borderId="0" xfId="0" quotePrefix="1" applyFont="1" applyProtection="1"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13" fillId="3" borderId="1" xfId="0" quotePrefix="1" applyNumberFormat="1" applyFont="1" applyFill="1" applyBorder="1" applyAlignment="1" applyProtection="1">
      <alignment horizontal="center" vertical="center"/>
    </xf>
    <xf numFmtId="0" fontId="13" fillId="3" borderId="9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8" fillId="0" borderId="67" xfId="1" quotePrefix="1" applyNumberFormat="1" applyFont="1" applyFill="1" applyBorder="1" applyAlignment="1" applyProtection="1">
      <alignment horizontal="center" vertical="center" wrapText="1"/>
    </xf>
    <xf numFmtId="0" fontId="38" fillId="0" borderId="85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Protection="1"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16" fillId="0" borderId="0" xfId="0" quotePrefix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left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38" fillId="0" borderId="53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/>
      <protection locked="0"/>
    </xf>
    <xf numFmtId="0" fontId="38" fillId="0" borderId="59" xfId="0" applyFont="1" applyFill="1" applyBorder="1" applyAlignment="1" applyProtection="1">
      <alignment horizontal="center" vertical="center" wrapText="1"/>
      <protection locked="0"/>
    </xf>
    <xf numFmtId="0" fontId="38" fillId="0" borderId="76" xfId="0" applyFont="1" applyFill="1" applyBorder="1" applyAlignment="1" applyProtection="1">
      <alignment horizontal="center" vertical="center" wrapText="1"/>
      <protection locked="0"/>
    </xf>
    <xf numFmtId="0" fontId="38" fillId="0" borderId="61" xfId="0" applyFont="1" applyFill="1" applyBorder="1" applyAlignment="1" applyProtection="1">
      <alignment horizontal="center" vertical="center" wrapText="1"/>
      <protection locked="0"/>
    </xf>
    <xf numFmtId="0" fontId="38" fillId="0" borderId="64" xfId="0" applyFont="1" applyFill="1" applyBorder="1" applyAlignment="1" applyProtection="1">
      <alignment horizontal="center" vertical="center" wrapText="1"/>
      <protection locked="0"/>
    </xf>
    <xf numFmtId="0" fontId="38" fillId="0" borderId="69" xfId="0" applyFont="1" applyFill="1" applyBorder="1" applyAlignment="1" applyProtection="1">
      <alignment horizontal="center" vertical="center" wrapText="1"/>
      <protection locked="0"/>
    </xf>
    <xf numFmtId="0" fontId="38" fillId="0" borderId="74" xfId="0" applyFont="1" applyFill="1" applyBorder="1" applyAlignment="1" applyProtection="1">
      <alignment horizontal="center" vertical="center" wrapText="1"/>
      <protection locked="0"/>
    </xf>
    <xf numFmtId="0" fontId="38" fillId="0" borderId="50" xfId="1" applyFont="1" applyFill="1" applyBorder="1" applyAlignment="1" applyProtection="1">
      <alignment horizontal="center" vertical="center" wrapText="1"/>
    </xf>
    <xf numFmtId="0" fontId="38" fillId="0" borderId="87" xfId="0" applyFont="1" applyFill="1" applyBorder="1" applyAlignment="1" applyProtection="1">
      <alignment horizontal="center" vertical="center" wrapText="1"/>
      <protection locked="0"/>
    </xf>
    <xf numFmtId="0" fontId="38" fillId="0" borderId="0" xfId="1" applyFont="1" applyFill="1" applyBorder="1" applyAlignment="1" applyProtection="1">
      <alignment horizontal="center" wrapText="1"/>
    </xf>
    <xf numFmtId="0" fontId="38" fillId="0" borderId="57" xfId="1" applyFont="1" applyFill="1" applyBorder="1" applyAlignment="1" applyProtection="1">
      <alignment horizontal="center" wrapText="1"/>
    </xf>
    <xf numFmtId="0" fontId="45" fillId="0" borderId="0" xfId="0" applyFont="1" applyFill="1" applyAlignment="1" applyProtection="1">
      <alignment vertical="center"/>
      <protection locked="0"/>
    </xf>
    <xf numFmtId="0" fontId="46" fillId="0" borderId="0" xfId="0" applyFont="1" applyFill="1" applyBorder="1" applyAlignment="1" applyProtection="1"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48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Border="1" applyProtection="1">
      <protection locked="0"/>
    </xf>
    <xf numFmtId="0" fontId="48" fillId="0" borderId="0" xfId="0" quotePrefix="1" applyFont="1" applyFill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protection locked="0"/>
    </xf>
    <xf numFmtId="0" fontId="42" fillId="0" borderId="1" xfId="0" applyFont="1" applyFill="1" applyBorder="1" applyAlignment="1" applyProtection="1">
      <alignment horizontal="center" vertical="center"/>
      <protection locked="0"/>
    </xf>
    <xf numFmtId="0" fontId="9" fillId="0" borderId="81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/>
      <protection locked="0"/>
    </xf>
    <xf numFmtId="0" fontId="16" fillId="0" borderId="58" xfId="0" quotePrefix="1" applyFont="1" applyFill="1" applyBorder="1" applyAlignment="1" applyProtection="1">
      <alignment horizontal="center" vertical="center"/>
    </xf>
    <xf numFmtId="0" fontId="9" fillId="0" borderId="49" xfId="0" quotePrefix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34" xfId="0" quotePrefix="1" applyFont="1" applyFill="1" applyBorder="1" applyAlignment="1" applyProtection="1">
      <alignment horizontal="center" vertical="center"/>
    </xf>
    <xf numFmtId="0" fontId="16" fillId="0" borderId="31" xfId="0" quotePrefix="1" applyFont="1" applyFill="1" applyBorder="1" applyAlignment="1" applyProtection="1">
      <alignment horizontal="center" vertical="center"/>
    </xf>
    <xf numFmtId="0" fontId="9" fillId="0" borderId="35" xfId="0" quotePrefix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84" xfId="0" quotePrefix="1" applyFont="1" applyFill="1" applyBorder="1" applyAlignment="1" applyProtection="1">
      <alignment horizontal="center" vertical="center"/>
    </xf>
    <xf numFmtId="0" fontId="16" fillId="0" borderId="25" xfId="0" applyFont="1" applyFill="1" applyBorder="1" applyProtection="1">
      <protection locked="0"/>
    </xf>
    <xf numFmtId="0" fontId="16" fillId="0" borderId="26" xfId="0" applyFont="1" applyFill="1" applyBorder="1" applyProtection="1">
      <protection locked="0"/>
    </xf>
    <xf numFmtId="0" fontId="16" fillId="0" borderId="27" xfId="0" applyFont="1" applyFill="1" applyBorder="1" applyProtection="1"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16" fillId="0" borderId="49" xfId="0" quotePrefix="1" applyFont="1" applyFill="1" applyBorder="1" applyAlignment="1" applyProtection="1">
      <alignment horizontal="center" vertical="center"/>
    </xf>
    <xf numFmtId="0" fontId="9" fillId="0" borderId="31" xfId="0" quotePrefix="1" applyFont="1" applyFill="1" applyBorder="1" applyAlignment="1" applyProtection="1">
      <alignment horizontal="center" vertical="center"/>
    </xf>
    <xf numFmtId="0" fontId="16" fillId="0" borderId="1" xfId="0" quotePrefix="1" applyNumberFormat="1" applyFont="1" applyFill="1" applyBorder="1" applyAlignment="1" applyProtection="1">
      <alignment horizontal="center" vertical="center" wrapText="1"/>
    </xf>
    <xf numFmtId="0" fontId="16" fillId="0" borderId="9" xfId="0" quotePrefix="1" applyNumberFormat="1" applyFont="1" applyFill="1" applyBorder="1" applyAlignment="1" applyProtection="1">
      <alignment horizontal="center" vertical="center"/>
    </xf>
    <xf numFmtId="0" fontId="16" fillId="0" borderId="1" xfId="0" quotePrefix="1" applyFont="1" applyFill="1" applyBorder="1" applyAlignment="1" applyProtection="1">
      <alignment horizontal="center" vertical="center"/>
    </xf>
    <xf numFmtId="0" fontId="16" fillId="0" borderId="0" xfId="0" quotePrefix="1" applyFont="1" applyFill="1" applyBorder="1" applyAlignment="1" applyProtection="1">
      <alignment horizontal="center"/>
      <protection locked="0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Protection="1">
      <protection locked="0"/>
    </xf>
    <xf numFmtId="0" fontId="16" fillId="0" borderId="1" xfId="0" quotePrefix="1" applyNumberFormat="1" applyFont="1" applyFill="1" applyBorder="1" applyAlignment="1" applyProtection="1">
      <alignment horizontal="center" vertical="center"/>
    </xf>
    <xf numFmtId="0" fontId="16" fillId="0" borderId="9" xfId="0" quotePrefix="1" applyFont="1" applyFill="1" applyBorder="1" applyAlignment="1" applyProtection="1">
      <alignment horizontal="center" vertical="center"/>
    </xf>
    <xf numFmtId="0" fontId="16" fillId="0" borderId="10" xfId="0" quotePrefix="1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wrapText="1"/>
      <protection locked="0"/>
    </xf>
    <xf numFmtId="0" fontId="9" fillId="0" borderId="37" xfId="0" applyFont="1" applyFill="1" applyBorder="1" applyAlignment="1" applyProtection="1">
      <alignment horizontal="center" vertical="center"/>
      <protection locked="0"/>
    </xf>
    <xf numFmtId="0" fontId="16" fillId="0" borderId="48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45" xfId="0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horizontal="center" wrapText="1"/>
      <protection locked="0"/>
    </xf>
    <xf numFmtId="0" fontId="45" fillId="0" borderId="0" xfId="0" quotePrefix="1" applyFont="1" applyFill="1" applyProtection="1"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48" fillId="0" borderId="0" xfId="0" applyFont="1" applyFill="1" applyAlignment="1" applyProtection="1">
      <alignment horizontal="center"/>
      <protection locked="0"/>
    </xf>
    <xf numFmtId="0" fontId="9" fillId="21" borderId="1" xfId="0" applyFont="1" applyFill="1" applyBorder="1" applyAlignment="1" applyProtection="1">
      <alignment horizontal="center" vertical="center"/>
    </xf>
    <xf numFmtId="0" fontId="9" fillId="12" borderId="1" xfId="0" applyFont="1" applyFill="1" applyBorder="1" applyAlignment="1" applyProtection="1">
      <alignment horizontal="center" vertical="center"/>
    </xf>
    <xf numFmtId="0" fontId="5" fillId="14" borderId="1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52" fillId="0" borderId="0" xfId="0" applyFont="1" applyAlignment="1">
      <alignment horizontal="center" vertical="center"/>
    </xf>
    <xf numFmtId="0" fontId="35" fillId="0" borderId="0" xfId="0" quotePrefix="1" applyFont="1" applyFill="1" applyAlignment="1" applyProtection="1">
      <alignment horizontal="center" vertical="center"/>
    </xf>
    <xf numFmtId="0" fontId="3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164" fontId="48" fillId="0" borderId="0" xfId="0" applyNumberFormat="1" applyFont="1" applyFill="1" applyAlignment="1" applyProtection="1">
      <alignment horizontal="center" vertical="center"/>
      <protection locked="0"/>
    </xf>
    <xf numFmtId="0" fontId="45" fillId="0" borderId="0" xfId="0" applyFont="1" applyFill="1" applyProtection="1">
      <protection locked="0"/>
    </xf>
    <xf numFmtId="0" fontId="42" fillId="12" borderId="8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0" fontId="48" fillId="0" borderId="0" xfId="0" applyFont="1" applyFill="1" applyAlignment="1" applyProtection="1">
      <alignment horizontal="center" vertical="center"/>
      <protection locked="0"/>
    </xf>
    <xf numFmtId="0" fontId="48" fillId="0" borderId="0" xfId="0" applyFont="1" applyFill="1" applyProtection="1">
      <protection locked="0"/>
    </xf>
    <xf numFmtId="0" fontId="48" fillId="0" borderId="0" xfId="0" applyFont="1" applyFill="1" applyBorder="1" applyProtection="1">
      <protection locked="0"/>
    </xf>
    <xf numFmtId="0" fontId="48" fillId="21" borderId="1" xfId="0" applyFont="1" applyFill="1" applyBorder="1" applyAlignment="1" applyProtection="1">
      <alignment horizontal="center" vertical="center"/>
      <protection locked="0"/>
    </xf>
    <xf numFmtId="0" fontId="16" fillId="0" borderId="50" xfId="0" applyFont="1" applyFill="1" applyBorder="1" applyProtection="1">
      <protection locked="0"/>
    </xf>
    <xf numFmtId="0" fontId="9" fillId="0" borderId="50" xfId="0" applyFont="1" applyFill="1" applyBorder="1" applyProtection="1">
      <protection locked="0"/>
    </xf>
    <xf numFmtId="0" fontId="9" fillId="0" borderId="50" xfId="0" applyFont="1" applyFill="1" applyBorder="1" applyAlignment="1" applyProtection="1">
      <alignment vertical="center"/>
      <protection locked="0"/>
    </xf>
    <xf numFmtId="0" fontId="9" fillId="0" borderId="8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6" fillId="0" borderId="78" xfId="0" applyFont="1" applyFill="1" applyBorder="1" applyProtection="1">
      <protection locked="0"/>
    </xf>
    <xf numFmtId="0" fontId="5" fillId="0" borderId="58" xfId="0" applyFont="1" applyFill="1" applyBorder="1" applyAlignment="1" applyProtection="1">
      <alignment horizontal="center" vertical="center"/>
      <protection locked="0"/>
    </xf>
    <xf numFmtId="0" fontId="9" fillId="0" borderId="57" xfId="0" applyFont="1" applyFill="1" applyBorder="1" applyProtection="1">
      <protection locked="0"/>
    </xf>
    <xf numFmtId="0" fontId="9" fillId="0" borderId="49" xfId="0" quotePrefix="1" applyFont="1" applyFill="1" applyBorder="1" applyAlignment="1" applyProtection="1">
      <alignment horizontal="center" vertical="center"/>
      <protection locked="0"/>
    </xf>
    <xf numFmtId="0" fontId="16" fillId="0" borderId="0" xfId="0" quotePrefix="1" applyNumberFormat="1" applyFont="1" applyFill="1" applyAlignment="1" applyProtection="1">
      <alignment horizontal="center" vertical="center"/>
      <protection locked="0"/>
    </xf>
    <xf numFmtId="0" fontId="16" fillId="0" borderId="79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34" xfId="0" quotePrefix="1" applyFont="1" applyFill="1" applyBorder="1" applyAlignment="1" applyProtection="1">
      <alignment horizontal="center" vertical="center"/>
      <protection locked="0"/>
    </xf>
    <xf numFmtId="0" fontId="16" fillId="0" borderId="0" xfId="0" quotePrefix="1" applyFont="1" applyFill="1" applyAlignment="1" applyProtection="1">
      <alignment horizontal="center"/>
      <protection locked="0"/>
    </xf>
    <xf numFmtId="2" fontId="16" fillId="0" borderId="0" xfId="0" quotePrefix="1" applyNumberFormat="1" applyFont="1" applyFill="1" applyProtection="1">
      <protection locked="0"/>
    </xf>
    <xf numFmtId="0" fontId="16" fillId="0" borderId="80" xfId="0" applyFont="1" applyFill="1" applyBorder="1" applyProtection="1">
      <protection locked="0"/>
    </xf>
    <xf numFmtId="0" fontId="38" fillId="0" borderId="50" xfId="1" applyFont="1" applyFill="1" applyBorder="1" applyAlignment="1" applyProtection="1">
      <alignment horizontal="center" vertical="center" wrapText="1"/>
      <protection locked="0"/>
    </xf>
    <xf numFmtId="0" fontId="9" fillId="0" borderId="0" xfId="0" quotePrefix="1" applyFont="1" applyFill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center" wrapText="1"/>
      <protection locked="0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9" fillId="0" borderId="19" xfId="0" quotePrefix="1" applyFont="1" applyFill="1" applyBorder="1" applyAlignment="1" applyProtection="1">
      <alignment horizontal="center" vertical="center"/>
      <protection locked="0"/>
    </xf>
    <xf numFmtId="0" fontId="16" fillId="0" borderId="0" xfId="0" quotePrefix="1" applyFont="1" applyFill="1" applyProtection="1">
      <protection locked="0"/>
    </xf>
    <xf numFmtId="0" fontId="9" fillId="0" borderId="34" xfId="0" applyFont="1" applyFill="1" applyBorder="1" applyAlignment="1" applyProtection="1">
      <alignment horizontal="center"/>
      <protection locked="0"/>
    </xf>
    <xf numFmtId="0" fontId="38" fillId="0" borderId="0" xfId="0" quotePrefix="1" applyFont="1" applyFill="1" applyBorder="1" applyAlignment="1" applyProtection="1">
      <alignment horizontal="center" vertical="center"/>
      <protection locked="0"/>
    </xf>
    <xf numFmtId="0" fontId="45" fillId="0" borderId="0" xfId="0" quotePrefix="1" applyNumberFormat="1" applyFont="1" applyFill="1" applyAlignment="1" applyProtection="1">
      <alignment horizontal="center" vertical="center"/>
      <protection locked="0"/>
    </xf>
    <xf numFmtId="0" fontId="27" fillId="3" borderId="19" xfId="0" quotePrefix="1" applyFont="1" applyFill="1" applyBorder="1" applyAlignment="1" applyProtection="1">
      <alignment horizontal="center" vertical="center"/>
    </xf>
    <xf numFmtId="0" fontId="42" fillId="10" borderId="1" xfId="0" applyFont="1" applyFill="1" applyBorder="1" applyAlignment="1" applyProtection="1">
      <alignment horizontal="center" vertical="center"/>
    </xf>
    <xf numFmtId="0" fontId="5" fillId="21" borderId="13" xfId="0" applyFont="1" applyFill="1" applyBorder="1" applyAlignment="1" applyProtection="1">
      <alignment horizontal="center" vertical="center" wrapText="1"/>
      <protection locked="0"/>
    </xf>
    <xf numFmtId="0" fontId="5" fillId="21" borderId="16" xfId="0" applyFont="1" applyFill="1" applyBorder="1" applyAlignment="1" applyProtection="1">
      <alignment horizontal="center" vertical="center" wrapText="1"/>
      <protection locked="0"/>
    </xf>
    <xf numFmtId="0" fontId="51" fillId="14" borderId="54" xfId="0" applyFont="1" applyFill="1" applyBorder="1" applyAlignment="1" applyProtection="1">
      <alignment horizontal="center" vertical="center" wrapText="1"/>
      <protection locked="0"/>
    </xf>
    <xf numFmtId="0" fontId="51" fillId="14" borderId="24" xfId="0" applyFont="1" applyFill="1" applyBorder="1" applyAlignment="1" applyProtection="1">
      <alignment horizontal="center" vertical="center" wrapText="1"/>
      <protection locked="0"/>
    </xf>
    <xf numFmtId="0" fontId="51" fillId="23" borderId="22" xfId="0" applyFont="1" applyFill="1" applyBorder="1" applyAlignment="1" applyProtection="1">
      <alignment horizontal="center" vertical="center" wrapText="1"/>
      <protection locked="0"/>
    </xf>
    <xf numFmtId="0" fontId="51" fillId="23" borderId="73" xfId="0" applyFont="1" applyFill="1" applyBorder="1" applyAlignment="1" applyProtection="1">
      <alignment horizontal="center" vertical="center" wrapText="1"/>
      <protection locked="0"/>
    </xf>
    <xf numFmtId="0" fontId="51" fillId="14" borderId="82" xfId="0" applyFont="1" applyFill="1" applyBorder="1" applyAlignment="1" applyProtection="1">
      <alignment horizontal="center" vertical="center" wrapText="1"/>
      <protection locked="0"/>
    </xf>
    <xf numFmtId="0" fontId="51" fillId="23" borderId="31" xfId="0" applyFont="1" applyFill="1" applyBorder="1" applyAlignment="1" applyProtection="1">
      <alignment horizontal="center" vertical="center" wrapText="1"/>
      <protection locked="0"/>
    </xf>
    <xf numFmtId="0" fontId="51" fillId="23" borderId="84" xfId="0" applyFont="1" applyFill="1" applyBorder="1" applyAlignment="1" applyProtection="1">
      <alignment horizontal="center" vertical="center" wrapText="1"/>
      <protection locked="0"/>
    </xf>
    <xf numFmtId="0" fontId="51" fillId="23" borderId="83" xfId="0" applyFont="1" applyFill="1" applyBorder="1" applyAlignment="1" applyProtection="1">
      <alignment horizontal="center" vertical="center" wrapText="1"/>
      <protection locked="0"/>
    </xf>
    <xf numFmtId="0" fontId="38" fillId="0" borderId="50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0" fontId="50" fillId="24" borderId="1" xfId="0" applyFont="1" applyFill="1" applyBorder="1" applyAlignment="1" applyProtection="1">
      <alignment horizontal="center" vertical="center"/>
    </xf>
    <xf numFmtId="0" fontId="38" fillId="25" borderId="85" xfId="0" applyFont="1" applyFill="1" applyBorder="1" applyAlignment="1" applyProtection="1">
      <alignment horizontal="center" vertical="center" wrapText="1"/>
      <protection locked="0"/>
    </xf>
    <xf numFmtId="0" fontId="16" fillId="0" borderId="57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5" fillId="0" borderId="52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72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horizontal="center" vertical="center"/>
      <protection locked="0"/>
    </xf>
    <xf numFmtId="0" fontId="45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5" fillId="14" borderId="51" xfId="0" quotePrefix="1" applyFont="1" applyFill="1" applyBorder="1" applyAlignment="1" applyProtection="1">
      <alignment horizontal="center" vertical="center"/>
      <protection locked="0"/>
    </xf>
    <xf numFmtId="0" fontId="5" fillId="14" borderId="89" xfId="0" quotePrefix="1" applyFont="1" applyFill="1" applyBorder="1" applyAlignment="1" applyProtection="1">
      <alignment horizontal="center" vertical="center"/>
      <protection locked="0"/>
    </xf>
    <xf numFmtId="0" fontId="5" fillId="0" borderId="71" xfId="0" quotePrefix="1" applyFont="1" applyFill="1" applyBorder="1" applyAlignment="1" applyProtection="1">
      <alignment horizontal="center" vertical="center"/>
      <protection locked="0"/>
    </xf>
    <xf numFmtId="0" fontId="5" fillId="0" borderId="21" xfId="0" quotePrefix="1" applyFont="1" applyFill="1" applyBorder="1" applyAlignment="1" applyProtection="1">
      <alignment horizontal="center" vertical="center"/>
      <protection locked="0"/>
    </xf>
    <xf numFmtId="0" fontId="5" fillId="0" borderId="34" xfId="0" quotePrefix="1" applyFont="1" applyFill="1" applyBorder="1" applyAlignment="1" applyProtection="1">
      <alignment horizontal="center" vertical="center"/>
      <protection locked="0"/>
    </xf>
    <xf numFmtId="0" fontId="5" fillId="0" borderId="31" xfId="0" quotePrefix="1" applyFont="1" applyFill="1" applyBorder="1" applyAlignment="1" applyProtection="1">
      <alignment horizontal="center"/>
      <protection locked="0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0" fontId="5" fillId="0" borderId="35" xfId="0" quotePrefix="1" applyFont="1" applyFill="1" applyBorder="1" applyAlignment="1" applyProtection="1">
      <alignment horizontal="center" vertical="center"/>
      <protection locked="0"/>
    </xf>
    <xf numFmtId="0" fontId="16" fillId="0" borderId="88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90" xfId="0" applyFont="1" applyFill="1" applyBorder="1" applyAlignment="1" applyProtection="1">
      <alignment horizontal="center" vertical="center"/>
    </xf>
    <xf numFmtId="0" fontId="16" fillId="0" borderId="86" xfId="0" applyFont="1" applyFill="1" applyBorder="1" applyAlignment="1" applyProtection="1">
      <alignment horizontal="center" vertical="center"/>
    </xf>
    <xf numFmtId="0" fontId="16" fillId="0" borderId="16" xfId="0" quotePrefix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48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3" fillId="20" borderId="0" xfId="0" applyFont="1" applyFill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22" fillId="16" borderId="13" xfId="0" quotePrefix="1" applyNumberFormat="1" applyFont="1" applyFill="1" applyBorder="1" applyAlignment="1" applyProtection="1">
      <alignment horizontal="center" vertical="center"/>
    </xf>
    <xf numFmtId="0" fontId="22" fillId="16" borderId="15" xfId="0" applyNumberFormat="1" applyFont="1" applyFill="1" applyBorder="1" applyAlignment="1" applyProtection="1">
      <alignment horizontal="center" vertical="center"/>
    </xf>
    <xf numFmtId="0" fontId="22" fillId="16" borderId="16" xfId="0" applyNumberFormat="1" applyFont="1" applyFill="1" applyBorder="1" applyAlignment="1" applyProtection="1">
      <alignment horizontal="center" vertical="center"/>
    </xf>
    <xf numFmtId="0" fontId="22" fillId="16" borderId="18" xfId="0" applyNumberFormat="1" applyFont="1" applyFill="1" applyBorder="1" applyAlignment="1" applyProtection="1">
      <alignment horizontal="center" vertical="center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7" fillId="3" borderId="8" xfId="0" applyFont="1" applyFill="1" applyBorder="1" applyAlignment="1" applyProtection="1">
      <alignment horizontal="center" vertical="center"/>
      <protection locked="0"/>
    </xf>
    <xf numFmtId="0" fontId="27" fillId="3" borderId="9" xfId="0" applyFont="1" applyFill="1" applyBorder="1" applyAlignment="1" applyProtection="1">
      <alignment horizontal="center" vertical="center"/>
      <protection locked="0"/>
    </xf>
    <xf numFmtId="0" fontId="27" fillId="3" borderId="1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0" fontId="29" fillId="3" borderId="0" xfId="0" applyFont="1" applyFill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center"/>
      <protection locked="0"/>
    </xf>
    <xf numFmtId="0" fontId="25" fillId="0" borderId="17" xfId="0" applyFont="1" applyBorder="1" applyAlignment="1" applyProtection="1">
      <alignment horizontal="center"/>
      <protection locked="0"/>
    </xf>
    <xf numFmtId="0" fontId="25" fillId="0" borderId="18" xfId="0" applyFont="1" applyBorder="1" applyAlignment="1" applyProtection="1">
      <alignment horizontal="center"/>
      <protection locked="0"/>
    </xf>
    <xf numFmtId="0" fontId="25" fillId="0" borderId="8" xfId="0" applyFont="1" applyBorder="1" applyAlignment="1" applyProtection="1">
      <alignment horizontal="center"/>
      <protection locked="0"/>
    </xf>
    <xf numFmtId="0" fontId="25" fillId="0" borderId="9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8" xfId="0" quotePrefix="1" applyFont="1" applyBorder="1" applyAlignment="1" applyProtection="1">
      <alignment horizontal="center" vertical="center"/>
    </xf>
    <xf numFmtId="0" fontId="11" fillId="0" borderId="10" xfId="0" quotePrefix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16" fillId="14" borderId="2" xfId="0" quotePrefix="1" applyFont="1" applyFill="1" applyBorder="1" applyAlignment="1" applyProtection="1">
      <alignment horizontal="center" vertical="center"/>
    </xf>
    <xf numFmtId="0" fontId="16" fillId="14" borderId="3" xfId="0" quotePrefix="1" applyFont="1" applyFill="1" applyBorder="1" applyAlignment="1" applyProtection="1">
      <alignment horizontal="center" vertical="center"/>
    </xf>
    <xf numFmtId="0" fontId="16" fillId="14" borderId="4" xfId="0" quotePrefix="1" applyFont="1" applyFill="1" applyBorder="1" applyAlignment="1" applyProtection="1">
      <alignment horizontal="center" vertical="center"/>
    </xf>
    <xf numFmtId="0" fontId="16" fillId="11" borderId="5" xfId="0" quotePrefix="1" applyFont="1" applyFill="1" applyBorder="1" applyAlignment="1" applyProtection="1">
      <alignment horizontal="center" vertical="center"/>
    </xf>
    <xf numFmtId="0" fontId="16" fillId="11" borderId="6" xfId="0" quotePrefix="1" applyFont="1" applyFill="1" applyBorder="1" applyAlignment="1" applyProtection="1">
      <alignment horizontal="center" vertical="center"/>
    </xf>
    <xf numFmtId="0" fontId="16" fillId="11" borderId="7" xfId="0" quotePrefix="1" applyFont="1" applyFill="1" applyBorder="1" applyAlignment="1" applyProtection="1">
      <alignment horizontal="center" vertical="center"/>
    </xf>
    <xf numFmtId="0" fontId="16" fillId="14" borderId="5" xfId="0" quotePrefix="1" applyFont="1" applyFill="1" applyBorder="1" applyAlignment="1" applyProtection="1">
      <alignment horizontal="center" vertical="center"/>
    </xf>
    <xf numFmtId="0" fontId="16" fillId="14" borderId="6" xfId="0" quotePrefix="1" applyFont="1" applyFill="1" applyBorder="1" applyAlignment="1" applyProtection="1">
      <alignment horizontal="center" vertical="center"/>
    </xf>
    <xf numFmtId="0" fontId="16" fillId="14" borderId="7" xfId="0" quotePrefix="1" applyFont="1" applyFill="1" applyBorder="1" applyAlignment="1" applyProtection="1">
      <alignment horizontal="center" vertical="center"/>
    </xf>
    <xf numFmtId="0" fontId="49" fillId="0" borderId="19" xfId="0" applyFont="1" applyFill="1" applyBorder="1" applyAlignment="1" applyProtection="1">
      <alignment horizontal="center" vertical="center"/>
      <protection locked="0"/>
    </xf>
    <xf numFmtId="0" fontId="49" fillId="0" borderId="11" xfId="0" applyFont="1" applyFill="1" applyBorder="1" applyAlignment="1" applyProtection="1">
      <alignment horizontal="center" vertical="center"/>
      <protection locked="0"/>
    </xf>
    <xf numFmtId="0" fontId="38" fillId="0" borderId="2" xfId="0" quotePrefix="1" applyFont="1" applyFill="1" applyBorder="1" applyAlignment="1" applyProtection="1">
      <alignment horizontal="center" vertical="center"/>
    </xf>
    <xf numFmtId="0" fontId="38" fillId="0" borderId="3" xfId="0" quotePrefix="1" applyFont="1" applyFill="1" applyBorder="1" applyAlignment="1" applyProtection="1">
      <alignment horizontal="center" vertical="center"/>
    </xf>
    <xf numFmtId="0" fontId="38" fillId="0" borderId="63" xfId="0" quotePrefix="1" applyFont="1" applyFill="1" applyBorder="1" applyAlignment="1" applyProtection="1">
      <alignment horizontal="center" vertical="center"/>
    </xf>
    <xf numFmtId="0" fontId="16" fillId="11" borderId="2" xfId="0" quotePrefix="1" applyFont="1" applyFill="1" applyBorder="1" applyAlignment="1" applyProtection="1">
      <alignment horizontal="center" vertical="center"/>
    </xf>
    <xf numFmtId="0" fontId="16" fillId="11" borderId="3" xfId="0" quotePrefix="1" applyFont="1" applyFill="1" applyBorder="1" applyAlignment="1" applyProtection="1">
      <alignment horizontal="center" vertical="center"/>
    </xf>
    <xf numFmtId="0" fontId="16" fillId="11" borderId="4" xfId="0" quotePrefix="1" applyFont="1" applyFill="1" applyBorder="1" applyAlignment="1" applyProtection="1">
      <alignment horizontal="center" vertical="center"/>
    </xf>
    <xf numFmtId="0" fontId="16" fillId="12" borderId="8" xfId="0" applyFont="1" applyFill="1" applyBorder="1" applyAlignment="1" applyProtection="1">
      <alignment horizontal="center" vertical="center"/>
      <protection locked="0"/>
    </xf>
    <xf numFmtId="0" fontId="16" fillId="12" borderId="9" xfId="0" applyFont="1" applyFill="1" applyBorder="1" applyAlignment="1" applyProtection="1">
      <alignment horizontal="center" vertical="center"/>
      <protection locked="0"/>
    </xf>
    <xf numFmtId="0" fontId="16" fillId="12" borderId="10" xfId="0" applyFont="1" applyFill="1" applyBorder="1" applyAlignment="1" applyProtection="1">
      <alignment horizontal="center" vertical="center"/>
      <protection locked="0"/>
    </xf>
    <xf numFmtId="0" fontId="38" fillId="0" borderId="16" xfId="0" applyFont="1" applyFill="1" applyBorder="1" applyAlignment="1" applyProtection="1">
      <alignment horizontal="center" vertical="center"/>
    </xf>
    <xf numFmtId="0" fontId="38" fillId="0" borderId="17" xfId="0" applyFont="1" applyFill="1" applyBorder="1" applyAlignment="1" applyProtection="1">
      <alignment horizontal="center" vertical="center"/>
    </xf>
    <xf numFmtId="0" fontId="38" fillId="0" borderId="70" xfId="0" applyFont="1" applyFill="1" applyBorder="1" applyAlignment="1" applyProtection="1">
      <alignment horizontal="center" vertical="center"/>
    </xf>
    <xf numFmtId="0" fontId="48" fillId="0" borderId="19" xfId="0" applyFont="1" applyFill="1" applyBorder="1" applyAlignment="1" applyProtection="1">
      <alignment horizontal="center" vertical="center"/>
      <protection locked="0"/>
    </xf>
    <xf numFmtId="0" fontId="48" fillId="0" borderId="11" xfId="0" applyFont="1" applyFill="1" applyBorder="1" applyAlignment="1" applyProtection="1">
      <alignment horizontal="center" vertical="center"/>
      <protection locked="0"/>
    </xf>
    <xf numFmtId="0" fontId="31" fillId="24" borderId="8" xfId="0" applyFont="1" applyFill="1" applyBorder="1" applyAlignment="1" applyProtection="1">
      <alignment horizontal="center" vertical="center"/>
      <protection locked="0"/>
    </xf>
    <xf numFmtId="0" fontId="31" fillId="24" borderId="9" xfId="0" applyFont="1" applyFill="1" applyBorder="1" applyAlignment="1" applyProtection="1">
      <alignment horizontal="center" vertical="center"/>
      <protection locked="0"/>
    </xf>
    <xf numFmtId="0" fontId="31" fillId="24" borderId="10" xfId="0" applyFont="1" applyFill="1" applyBorder="1" applyAlignment="1" applyProtection="1">
      <alignment horizontal="center" vertical="center"/>
      <protection locked="0"/>
    </xf>
    <xf numFmtId="0" fontId="16" fillId="3" borderId="2" xfId="0" quotePrefix="1" applyFont="1" applyFill="1" applyBorder="1" applyAlignment="1" applyProtection="1">
      <alignment horizontal="center" vertical="center"/>
    </xf>
    <xf numFmtId="0" fontId="16" fillId="3" borderId="3" xfId="0" quotePrefix="1" applyFont="1" applyFill="1" applyBorder="1" applyAlignment="1" applyProtection="1">
      <alignment horizontal="center" vertical="center"/>
    </xf>
    <xf numFmtId="0" fontId="16" fillId="3" borderId="4" xfId="0" quotePrefix="1" applyFont="1" applyFill="1" applyBorder="1" applyAlignment="1" applyProtection="1">
      <alignment horizontal="center" vertical="center"/>
    </xf>
    <xf numFmtId="0" fontId="16" fillId="3" borderId="5" xfId="0" quotePrefix="1" applyFont="1" applyFill="1" applyBorder="1" applyAlignment="1" applyProtection="1">
      <alignment horizontal="center" vertical="center"/>
    </xf>
    <xf numFmtId="0" fontId="16" fillId="3" borderId="6" xfId="0" quotePrefix="1" applyFont="1" applyFill="1" applyBorder="1" applyAlignment="1" applyProtection="1">
      <alignment horizontal="center" vertical="center"/>
    </xf>
    <xf numFmtId="0" fontId="16" fillId="3" borderId="7" xfId="0" quotePrefix="1" applyFont="1" applyFill="1" applyBorder="1" applyAlignment="1" applyProtection="1">
      <alignment horizontal="center" vertical="center"/>
    </xf>
    <xf numFmtId="0" fontId="38" fillId="21" borderId="8" xfId="0" applyFont="1" applyFill="1" applyBorder="1" applyAlignment="1" applyProtection="1">
      <alignment horizontal="center" vertical="center"/>
      <protection locked="0"/>
    </xf>
    <xf numFmtId="0" fontId="38" fillId="21" borderId="9" xfId="0" applyFont="1" applyFill="1" applyBorder="1" applyAlignment="1" applyProtection="1">
      <alignment horizontal="center" vertical="center"/>
      <protection locked="0"/>
    </xf>
    <xf numFmtId="0" fontId="38" fillId="21" borderId="10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16" fillId="11" borderId="8" xfId="0" applyFont="1" applyFill="1" applyBorder="1" applyAlignment="1" applyProtection="1">
      <alignment horizontal="center" vertical="center"/>
      <protection locked="0"/>
    </xf>
    <xf numFmtId="0" fontId="16" fillId="11" borderId="9" xfId="0" applyFont="1" applyFill="1" applyBorder="1" applyAlignment="1" applyProtection="1">
      <alignment horizontal="center" vertical="center"/>
      <protection locked="0"/>
    </xf>
    <xf numFmtId="0" fontId="16" fillId="11" borderId="10" xfId="0" applyFont="1" applyFill="1" applyBorder="1" applyAlignment="1" applyProtection="1">
      <alignment horizontal="center" vertical="center"/>
      <protection locked="0"/>
    </xf>
    <xf numFmtId="0" fontId="7" fillId="14" borderId="8" xfId="0" applyFont="1" applyFill="1" applyBorder="1" applyAlignment="1" applyProtection="1">
      <alignment horizontal="center" vertical="center"/>
      <protection locked="0"/>
    </xf>
    <xf numFmtId="0" fontId="7" fillId="14" borderId="9" xfId="0" applyFont="1" applyFill="1" applyBorder="1" applyAlignment="1" applyProtection="1">
      <alignment horizontal="center" vertical="center"/>
      <protection locked="0"/>
    </xf>
    <xf numFmtId="0" fontId="7" fillId="14" borderId="10" xfId="0" applyFont="1" applyFill="1" applyBorder="1" applyAlignment="1" applyProtection="1">
      <alignment horizontal="center" vertical="center"/>
      <protection locked="0"/>
    </xf>
    <xf numFmtId="0" fontId="45" fillId="0" borderId="8" xfId="0" applyFont="1" applyFill="1" applyBorder="1" applyAlignment="1" applyProtection="1">
      <alignment horizontal="center" vertical="center"/>
      <protection locked="0"/>
    </xf>
    <xf numFmtId="0" fontId="45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6" fillId="14" borderId="8" xfId="0" applyFont="1" applyFill="1" applyBorder="1" applyAlignment="1" applyProtection="1">
      <alignment horizontal="left"/>
      <protection locked="0"/>
    </xf>
    <xf numFmtId="0" fontId="46" fillId="14" borderId="9" xfId="0" applyFont="1" applyFill="1" applyBorder="1" applyAlignment="1" applyProtection="1">
      <alignment horizontal="left"/>
      <protection locked="0"/>
    </xf>
    <xf numFmtId="0" fontId="46" fillId="14" borderId="10" xfId="0" applyFont="1" applyFill="1" applyBorder="1" applyAlignment="1" applyProtection="1">
      <alignment horizontal="left"/>
      <protection locked="0"/>
    </xf>
    <xf numFmtId="0" fontId="45" fillId="0" borderId="8" xfId="0" quotePrefix="1" applyFont="1" applyFill="1" applyBorder="1" applyAlignment="1" applyProtection="1">
      <alignment horizontal="center" vertical="center"/>
      <protection locked="0"/>
    </xf>
    <xf numFmtId="0" fontId="45" fillId="0" borderId="10" xfId="0" quotePrefix="1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0" fontId="45" fillId="0" borderId="9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72" xfId="0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72" xfId="0" applyFont="1" applyFill="1" applyBorder="1" applyAlignment="1" applyProtection="1">
      <alignment horizontal="center" vertical="center"/>
      <protection locked="0"/>
    </xf>
    <xf numFmtId="0" fontId="46" fillId="10" borderId="8" xfId="0" applyFont="1" applyFill="1" applyBorder="1" applyAlignment="1" applyProtection="1">
      <alignment horizontal="center" vertical="center"/>
      <protection locked="0"/>
    </xf>
    <xf numFmtId="0" fontId="46" fillId="10" borderId="9" xfId="0" applyFont="1" applyFill="1" applyBorder="1" applyAlignment="1" applyProtection="1">
      <alignment horizontal="center" vertical="center"/>
      <protection locked="0"/>
    </xf>
    <xf numFmtId="0" fontId="46" fillId="1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5" fillId="0" borderId="5" xfId="0" quotePrefix="1" applyNumberFormat="1" applyFont="1" applyFill="1" applyBorder="1" applyAlignment="1" applyProtection="1">
      <alignment horizontal="center" vertical="center"/>
    </xf>
    <xf numFmtId="0" fontId="5" fillId="0" borderId="6" xfId="0" quotePrefix="1" applyNumberFormat="1" applyFont="1" applyFill="1" applyBorder="1" applyAlignment="1" applyProtection="1">
      <alignment horizontal="center" vertical="center"/>
    </xf>
    <xf numFmtId="0" fontId="5" fillId="0" borderId="7" xfId="0" quotePrefix="1" applyNumberFormat="1" applyFont="1" applyFill="1" applyBorder="1" applyAlignment="1" applyProtection="1">
      <alignment horizontal="center" vertical="center"/>
    </xf>
    <xf numFmtId="0" fontId="5" fillId="0" borderId="22" xfId="0" quotePrefix="1" applyNumberFormat="1" applyFont="1" applyFill="1" applyBorder="1" applyAlignment="1" applyProtection="1">
      <alignment horizontal="center" vertical="center"/>
    </xf>
    <xf numFmtId="0" fontId="5" fillId="0" borderId="39" xfId="0" quotePrefix="1" applyNumberFormat="1" applyFont="1" applyFill="1" applyBorder="1" applyAlignment="1" applyProtection="1">
      <alignment horizontal="center" vertical="center"/>
    </xf>
    <xf numFmtId="0" fontId="5" fillId="0" borderId="23" xfId="0" quotePrefix="1" applyNumberFormat="1" applyFont="1" applyFill="1" applyBorder="1" applyAlignment="1" applyProtection="1">
      <alignment horizontal="center" vertical="center"/>
    </xf>
    <xf numFmtId="0" fontId="5" fillId="0" borderId="32" xfId="0" quotePrefix="1" applyNumberFormat="1" applyFont="1" applyFill="1" applyBorder="1" applyAlignment="1" applyProtection="1">
      <alignment horizontal="center" vertical="center"/>
    </xf>
    <xf numFmtId="0" fontId="5" fillId="0" borderId="38" xfId="0" quotePrefix="1" applyNumberFormat="1" applyFont="1" applyFill="1" applyBorder="1" applyAlignment="1" applyProtection="1">
      <alignment horizontal="center" vertical="center"/>
    </xf>
    <xf numFmtId="0" fontId="5" fillId="0" borderId="40" xfId="0" quotePrefix="1" applyNumberFormat="1" applyFont="1" applyFill="1" applyBorder="1" applyAlignment="1" applyProtection="1">
      <alignment horizontal="center" vertical="center"/>
    </xf>
    <xf numFmtId="0" fontId="4" fillId="23" borderId="8" xfId="0" applyFont="1" applyFill="1" applyBorder="1" applyAlignment="1" applyProtection="1">
      <alignment horizontal="center" vertical="center" wrapText="1"/>
      <protection locked="0"/>
    </xf>
    <xf numFmtId="0" fontId="4" fillId="23" borderId="9" xfId="0" applyFont="1" applyFill="1" applyBorder="1" applyAlignment="1" applyProtection="1">
      <alignment horizontal="center" vertical="center" wrapText="1"/>
      <protection locked="0"/>
    </xf>
    <xf numFmtId="0" fontId="4" fillId="23" borderId="10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31" fillId="4" borderId="8" xfId="0" applyFont="1" applyFill="1" applyBorder="1" applyAlignment="1" applyProtection="1">
      <alignment horizontal="center" vertical="center"/>
      <protection locked="0"/>
    </xf>
    <xf numFmtId="0" fontId="31" fillId="4" borderId="9" xfId="0" applyFont="1" applyFill="1" applyBorder="1" applyAlignment="1" applyProtection="1">
      <alignment horizontal="center" vertical="center"/>
      <protection locked="0"/>
    </xf>
    <xf numFmtId="0" fontId="31" fillId="4" borderId="1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11" borderId="8" xfId="0" applyFont="1" applyFill="1" applyBorder="1" applyAlignment="1" applyProtection="1">
      <alignment horizontal="center" vertical="center"/>
      <protection locked="0"/>
    </xf>
    <xf numFmtId="0" fontId="4" fillId="11" borderId="9" xfId="0" applyFont="1" applyFill="1" applyBorder="1" applyAlignment="1" applyProtection="1">
      <alignment horizontal="center" vertical="center"/>
      <protection locked="0"/>
    </xf>
    <xf numFmtId="0" fontId="4" fillId="11" borderId="10" xfId="0" applyFont="1" applyFill="1" applyBorder="1" applyAlignment="1" applyProtection="1">
      <alignment horizontal="center" vertical="center"/>
      <protection locked="0"/>
    </xf>
    <xf numFmtId="0" fontId="4" fillId="12" borderId="8" xfId="0" applyFont="1" applyFill="1" applyBorder="1" applyAlignment="1" applyProtection="1">
      <alignment horizontal="center" vertical="center" wrapText="1"/>
      <protection locked="0"/>
    </xf>
    <xf numFmtId="0" fontId="4" fillId="12" borderId="9" xfId="0" applyFont="1" applyFill="1" applyBorder="1" applyAlignment="1" applyProtection="1">
      <alignment horizontal="center" vertical="center" wrapText="1"/>
      <protection locked="0"/>
    </xf>
    <xf numFmtId="0" fontId="4" fillId="12" borderId="10" xfId="0" applyFont="1" applyFill="1" applyBorder="1" applyAlignment="1" applyProtection="1">
      <alignment horizontal="center" vertical="center" wrapText="1"/>
      <protection locked="0"/>
    </xf>
    <xf numFmtId="0" fontId="34" fillId="24" borderId="8" xfId="0" applyFont="1" applyFill="1" applyBorder="1" applyAlignment="1" applyProtection="1">
      <alignment horizontal="center" vertical="center"/>
      <protection locked="0"/>
    </xf>
    <xf numFmtId="0" fontId="34" fillId="24" borderId="9" xfId="0" applyFont="1" applyFill="1" applyBorder="1" applyAlignment="1" applyProtection="1">
      <alignment horizontal="center" vertical="center"/>
      <protection locked="0"/>
    </xf>
    <xf numFmtId="0" fontId="34" fillId="24" borderId="10" xfId="0" applyFont="1" applyFill="1" applyBorder="1" applyAlignment="1" applyProtection="1">
      <alignment horizontal="center" vertical="center"/>
      <protection locked="0"/>
    </xf>
    <xf numFmtId="0" fontId="38" fillId="0" borderId="5" xfId="0" quotePrefix="1" applyFont="1" applyFill="1" applyBorder="1" applyAlignment="1" applyProtection="1">
      <alignment horizontal="center" vertical="center"/>
    </xf>
    <xf numFmtId="0" fontId="38" fillId="0" borderId="6" xfId="0" quotePrefix="1" applyFont="1" applyFill="1" applyBorder="1" applyAlignment="1" applyProtection="1">
      <alignment horizontal="center" vertical="center"/>
    </xf>
    <xf numFmtId="0" fontId="38" fillId="0" borderId="68" xfId="0" quotePrefix="1" applyFont="1" applyFill="1" applyBorder="1" applyAlignment="1" applyProtection="1">
      <alignment horizontal="center" vertical="center"/>
    </xf>
    <xf numFmtId="0" fontId="5" fillId="0" borderId="42" xfId="0" quotePrefix="1" applyNumberFormat="1" applyFont="1" applyFill="1" applyBorder="1" applyAlignment="1" applyProtection="1">
      <alignment horizontal="center" vertical="center"/>
    </xf>
    <xf numFmtId="0" fontId="5" fillId="0" borderId="43" xfId="0" quotePrefix="1" applyNumberFormat="1" applyFont="1" applyFill="1" applyBorder="1" applyAlignment="1" applyProtection="1">
      <alignment horizontal="center" vertical="center"/>
    </xf>
    <xf numFmtId="0" fontId="5" fillId="0" borderId="44" xfId="0" quotePrefix="1" applyNumberFormat="1" applyFont="1" applyFill="1" applyBorder="1" applyAlignment="1" applyProtection="1">
      <alignment horizontal="center" vertical="center"/>
    </xf>
    <xf numFmtId="0" fontId="38" fillId="0" borderId="5" xfId="0" quotePrefix="1" applyFont="1" applyFill="1" applyBorder="1" applyAlignment="1" applyProtection="1">
      <alignment horizontal="center" vertical="center" wrapText="1"/>
    </xf>
    <xf numFmtId="0" fontId="38" fillId="0" borderId="6" xfId="0" quotePrefix="1" applyFont="1" applyFill="1" applyBorder="1" applyAlignment="1" applyProtection="1">
      <alignment horizontal="center" vertical="center" wrapText="1"/>
    </xf>
    <xf numFmtId="0" fontId="38" fillId="0" borderId="68" xfId="0" quotePrefix="1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horizontal="center" vertical="center"/>
      <protection locked="0"/>
    </xf>
    <xf numFmtId="0" fontId="45" fillId="0" borderId="20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47" fillId="0" borderId="12" xfId="0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 applyProtection="1">
      <alignment horizontal="center" vertical="center"/>
      <protection locked="0"/>
    </xf>
    <xf numFmtId="0" fontId="7" fillId="12" borderId="0" xfId="0" applyFont="1" applyFill="1" applyAlignment="1" applyProtection="1">
      <alignment horizontal="center" vertical="center"/>
      <protection locked="0"/>
    </xf>
    <xf numFmtId="0" fontId="44" fillId="0" borderId="0" xfId="0" applyFont="1" applyFill="1" applyAlignment="1" applyProtection="1">
      <alignment horizontal="center" vertical="center"/>
    </xf>
    <xf numFmtId="0" fontId="44" fillId="0" borderId="12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 wrapText="1"/>
      <protection locked="0"/>
    </xf>
    <xf numFmtId="0" fontId="5" fillId="0" borderId="72" xfId="0" applyFont="1" applyFill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 applyProtection="1">
      <alignment horizontal="center" vertical="center"/>
    </xf>
    <xf numFmtId="0" fontId="38" fillId="0" borderId="6" xfId="0" applyFont="1" applyFill="1" applyBorder="1" applyAlignment="1" applyProtection="1">
      <alignment horizontal="center" vertical="center"/>
    </xf>
    <xf numFmtId="0" fontId="38" fillId="0" borderId="68" xfId="0" applyFont="1" applyFill="1" applyBorder="1" applyAlignment="1" applyProtection="1">
      <alignment horizontal="center" vertical="center"/>
    </xf>
    <xf numFmtId="0" fontId="21" fillId="14" borderId="17" xfId="0" applyFont="1" applyFill="1" applyBorder="1" applyAlignment="1" applyProtection="1">
      <alignment horizontal="center" vertical="center"/>
    </xf>
    <xf numFmtId="0" fontId="21" fillId="21" borderId="17" xfId="0" applyFont="1" applyFill="1" applyBorder="1" applyAlignment="1" applyProtection="1">
      <alignment horizontal="center"/>
    </xf>
    <xf numFmtId="0" fontId="21" fillId="0" borderId="32" xfId="0" applyFont="1" applyBorder="1" applyAlignment="1" applyProtection="1">
      <alignment horizontal="center"/>
    </xf>
    <xf numFmtId="0" fontId="21" fillId="0" borderId="38" xfId="0" applyFont="1" applyBorder="1" applyAlignment="1" applyProtection="1">
      <alignment horizontal="center"/>
    </xf>
    <xf numFmtId="0" fontId="21" fillId="0" borderId="40" xfId="0" applyFont="1" applyBorder="1" applyAlignment="1" applyProtection="1">
      <alignment horizontal="center"/>
    </xf>
    <xf numFmtId="0" fontId="21" fillId="0" borderId="22" xfId="0" applyFont="1" applyBorder="1" applyAlignment="1" applyProtection="1">
      <alignment horizontal="center"/>
    </xf>
    <xf numFmtId="0" fontId="21" fillId="0" borderId="39" xfId="0" applyFont="1" applyBorder="1" applyAlignment="1" applyProtection="1">
      <alignment horizontal="center"/>
    </xf>
    <xf numFmtId="0" fontId="21" fillId="0" borderId="23" xfId="0" applyFont="1" applyBorder="1" applyAlignment="1" applyProtection="1">
      <alignment horizontal="center"/>
    </xf>
    <xf numFmtId="0" fontId="13" fillId="0" borderId="5" xfId="0" quotePrefix="1" applyFont="1" applyFill="1" applyBorder="1" applyAlignment="1" applyProtection="1">
      <alignment horizontal="center"/>
    </xf>
    <xf numFmtId="0" fontId="13" fillId="0" borderId="6" xfId="0" quotePrefix="1" applyFont="1" applyFill="1" applyBorder="1" applyAlignment="1" applyProtection="1">
      <alignment horizontal="center"/>
    </xf>
    <xf numFmtId="0" fontId="13" fillId="0" borderId="7" xfId="0" quotePrefix="1" applyFont="1" applyFill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2" xfId="0" quotePrefix="1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13" fillId="0" borderId="22" xfId="0" quotePrefix="1" applyFont="1" applyFill="1" applyBorder="1" applyAlignment="1" applyProtection="1">
      <alignment horizontal="center"/>
    </xf>
    <xf numFmtId="0" fontId="0" fillId="0" borderId="39" xfId="0" applyBorder="1" applyProtection="1"/>
    <xf numFmtId="0" fontId="0" fillId="0" borderId="23" xfId="0" applyBorder="1" applyProtection="1"/>
    <xf numFmtId="0" fontId="13" fillId="0" borderId="32" xfId="0" quotePrefix="1" applyFont="1" applyFill="1" applyBorder="1" applyAlignment="1" applyProtection="1">
      <alignment horizontal="center"/>
    </xf>
    <xf numFmtId="0" fontId="13" fillId="0" borderId="38" xfId="0" quotePrefix="1" applyFont="1" applyFill="1" applyBorder="1" applyAlignment="1" applyProtection="1">
      <alignment horizontal="center"/>
    </xf>
    <xf numFmtId="0" fontId="13" fillId="0" borderId="40" xfId="0" quotePrefix="1" applyFont="1" applyFill="1" applyBorder="1" applyAlignment="1" applyProtection="1">
      <alignment horizontal="center"/>
    </xf>
    <xf numFmtId="0" fontId="13" fillId="0" borderId="42" xfId="0" quotePrefix="1" applyFont="1" applyFill="1" applyBorder="1" applyAlignment="1" applyProtection="1">
      <alignment horizontal="center" vertical="center"/>
    </xf>
    <xf numFmtId="0" fontId="13" fillId="0" borderId="43" xfId="0" quotePrefix="1" applyFont="1" applyFill="1" applyBorder="1" applyAlignment="1" applyProtection="1">
      <alignment horizontal="center" vertical="center"/>
    </xf>
    <xf numFmtId="0" fontId="13" fillId="0" borderId="44" xfId="0" quotePrefix="1" applyFont="1" applyFill="1" applyBorder="1" applyAlignment="1" applyProtection="1">
      <alignment horizontal="center" vertical="center"/>
    </xf>
    <xf numFmtId="0" fontId="13" fillId="0" borderId="42" xfId="0" quotePrefix="1" applyNumberFormat="1" applyFont="1" applyFill="1" applyBorder="1" applyAlignment="1" applyProtection="1">
      <alignment horizontal="center" vertical="center"/>
    </xf>
    <xf numFmtId="0" fontId="13" fillId="0" borderId="43" xfId="0" quotePrefix="1" applyNumberFormat="1" applyFont="1" applyFill="1" applyBorder="1" applyAlignment="1" applyProtection="1">
      <alignment horizontal="center" vertical="center"/>
    </xf>
    <xf numFmtId="0" fontId="13" fillId="0" borderId="44" xfId="0" quotePrefix="1" applyNumberFormat="1" applyFont="1" applyFill="1" applyBorder="1" applyAlignment="1" applyProtection="1">
      <alignment horizontal="center" vertical="center"/>
    </xf>
    <xf numFmtId="0" fontId="16" fillId="12" borderId="8" xfId="0" applyFont="1" applyFill="1" applyBorder="1" applyAlignment="1" applyProtection="1">
      <alignment horizontal="center"/>
    </xf>
    <xf numFmtId="0" fontId="16" fillId="12" borderId="9" xfId="0" applyFont="1" applyFill="1" applyBorder="1" applyAlignment="1" applyProtection="1">
      <alignment horizontal="center"/>
    </xf>
    <xf numFmtId="0" fontId="16" fillId="12" borderId="10" xfId="0" applyFont="1" applyFill="1" applyBorder="1" applyAlignment="1" applyProtection="1">
      <alignment horizontal="center"/>
    </xf>
    <xf numFmtId="0" fontId="21" fillId="0" borderId="24" xfId="0" applyFont="1" applyBorder="1" applyAlignment="1" applyProtection="1">
      <alignment horizontal="center"/>
    </xf>
    <xf numFmtId="0" fontId="21" fillId="0" borderId="41" xfId="0" applyFont="1" applyBorder="1" applyAlignment="1" applyProtection="1">
      <alignment horizontal="center"/>
    </xf>
    <xf numFmtId="0" fontId="21" fillId="0" borderId="36" xfId="0" applyFont="1" applyBorder="1" applyAlignment="1" applyProtection="1">
      <alignment horizontal="center"/>
    </xf>
    <xf numFmtId="0" fontId="13" fillId="0" borderId="24" xfId="0" quotePrefix="1" applyFont="1" applyFill="1" applyBorder="1" applyAlignment="1" applyProtection="1">
      <alignment horizontal="center" vertical="center"/>
    </xf>
    <xf numFmtId="0" fontId="13" fillId="0" borderId="41" xfId="0" quotePrefix="1" applyFont="1" applyFill="1" applyBorder="1" applyAlignment="1" applyProtection="1">
      <alignment horizontal="center" vertical="center"/>
    </xf>
    <xf numFmtId="0" fontId="13" fillId="0" borderId="36" xfId="0" quotePrefix="1" applyFont="1" applyFill="1" applyBorder="1" applyAlignment="1" applyProtection="1">
      <alignment horizontal="center" vertical="center"/>
    </xf>
    <xf numFmtId="0" fontId="16" fillId="0" borderId="20" xfId="0" applyFont="1" applyFill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3" xfId="0" quotePrefix="1" applyFont="1" applyFill="1" applyBorder="1" applyAlignment="1" applyProtection="1">
      <alignment horizontal="center"/>
    </xf>
    <xf numFmtId="0" fontId="13" fillId="0" borderId="4" xfId="0" quotePrefix="1" applyFont="1" applyFill="1" applyBorder="1" applyAlignment="1" applyProtection="1">
      <alignment horizontal="center"/>
    </xf>
    <xf numFmtId="0" fontId="13" fillId="0" borderId="8" xfId="0" quotePrefix="1" applyFont="1" applyFill="1" applyBorder="1" applyAlignment="1" applyProtection="1">
      <alignment horizontal="center"/>
    </xf>
    <xf numFmtId="0" fontId="13" fillId="0" borderId="9" xfId="0" quotePrefix="1" applyFont="1" applyFill="1" applyBorder="1" applyAlignment="1" applyProtection="1">
      <alignment horizontal="center"/>
    </xf>
    <xf numFmtId="0" fontId="13" fillId="0" borderId="10" xfId="0" quotePrefix="1" applyFont="1" applyFill="1" applyBorder="1" applyAlignment="1" applyProtection="1">
      <alignment horizontal="center"/>
    </xf>
    <xf numFmtId="0" fontId="13" fillId="0" borderId="8" xfId="0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0" fontId="21" fillId="14" borderId="17" xfId="0" applyFont="1" applyFill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16" xfId="0" quotePrefix="1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2" xfId="0" quotePrefix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3" xfId="0" quotePrefix="1" applyFont="1" applyFill="1" applyBorder="1" applyAlignment="1" applyProtection="1">
      <alignment horizontal="center" vertical="center"/>
    </xf>
    <xf numFmtId="0" fontId="13" fillId="0" borderId="4" xfId="0" quotePrefix="1" applyFont="1" applyFill="1" applyBorder="1" applyAlignment="1" applyProtection="1">
      <alignment horizontal="center" vertical="center"/>
    </xf>
    <xf numFmtId="0" fontId="21" fillId="14" borderId="17" xfId="0" applyFont="1" applyFill="1" applyBorder="1" applyAlignment="1" applyProtection="1">
      <alignment horizontal="center"/>
    </xf>
    <xf numFmtId="0" fontId="2" fillId="12" borderId="8" xfId="0" applyFont="1" applyFill="1" applyBorder="1" applyAlignment="1" applyProtection="1">
      <alignment horizontal="center"/>
    </xf>
    <xf numFmtId="0" fontId="2" fillId="12" borderId="9" xfId="0" applyFont="1" applyFill="1" applyBorder="1" applyAlignment="1" applyProtection="1">
      <alignment horizontal="center"/>
    </xf>
    <xf numFmtId="0" fontId="2" fillId="12" borderId="10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3" fillId="0" borderId="2" xfId="0" quotePrefix="1" applyNumberFormat="1" applyFont="1" applyFill="1" applyBorder="1" applyAlignment="1" applyProtection="1">
      <alignment horizontal="center" vertical="center"/>
    </xf>
    <xf numFmtId="0" fontId="13" fillId="0" borderId="3" xfId="0" quotePrefix="1" applyNumberFormat="1" applyFont="1" applyFill="1" applyBorder="1" applyAlignment="1" applyProtection="1">
      <alignment horizontal="center" vertical="center"/>
    </xf>
    <xf numFmtId="0" fontId="13" fillId="0" borderId="4" xfId="0" quotePrefix="1" applyNumberFormat="1" applyFont="1" applyFill="1" applyBorder="1" applyAlignment="1" applyProtection="1">
      <alignment horizontal="center" vertical="center"/>
    </xf>
    <xf numFmtId="0" fontId="13" fillId="0" borderId="5" xfId="0" quotePrefix="1" applyFont="1" applyFill="1" applyBorder="1" applyAlignment="1" applyProtection="1">
      <alignment horizontal="center" vertical="center"/>
    </xf>
    <xf numFmtId="0" fontId="13" fillId="0" borderId="6" xfId="0" quotePrefix="1" applyFont="1" applyFill="1" applyBorder="1" applyAlignment="1" applyProtection="1">
      <alignment horizontal="center" vertical="center"/>
    </xf>
    <xf numFmtId="0" fontId="13" fillId="0" borderId="7" xfId="0" quotePrefix="1" applyFont="1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0" fontId="13" fillId="10" borderId="8" xfId="0" applyFont="1" applyFill="1" applyBorder="1" applyAlignment="1" applyProtection="1">
      <alignment horizontal="center"/>
    </xf>
    <xf numFmtId="0" fontId="13" fillId="10" borderId="9" xfId="0" quotePrefix="1" applyFont="1" applyFill="1" applyBorder="1" applyAlignment="1" applyProtection="1">
      <alignment horizontal="center"/>
    </xf>
    <xf numFmtId="0" fontId="13" fillId="10" borderId="10" xfId="0" quotePrefix="1" applyFont="1" applyFill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16" fillId="0" borderId="20" xfId="0" applyFont="1" applyFill="1" applyBorder="1" applyAlignment="1" applyProtection="1">
      <alignment horizontal="center"/>
    </xf>
    <xf numFmtId="0" fontId="13" fillId="0" borderId="8" xfId="0" quotePrefix="1" applyFont="1" applyFill="1" applyBorder="1" applyAlignment="1" applyProtection="1">
      <alignment horizontal="center" vertical="center"/>
    </xf>
    <xf numFmtId="0" fontId="13" fillId="0" borderId="9" xfId="0" quotePrefix="1" applyFont="1" applyFill="1" applyBorder="1" applyAlignment="1" applyProtection="1">
      <alignment horizontal="center" vertical="center"/>
    </xf>
    <xf numFmtId="0" fontId="13" fillId="0" borderId="10" xfId="0" quotePrefix="1" applyFont="1" applyFill="1" applyBorder="1" applyAlignment="1" applyProtection="1">
      <alignment horizontal="center" vertical="center"/>
    </xf>
    <xf numFmtId="0" fontId="13" fillId="9" borderId="8" xfId="0" quotePrefix="1" applyFont="1" applyFill="1" applyBorder="1" applyAlignment="1" applyProtection="1">
      <alignment horizontal="center"/>
    </xf>
    <xf numFmtId="0" fontId="13" fillId="9" borderId="9" xfId="0" quotePrefix="1" applyFont="1" applyFill="1" applyBorder="1" applyAlignment="1" applyProtection="1">
      <alignment horizontal="center"/>
    </xf>
    <xf numFmtId="0" fontId="13" fillId="9" borderId="10" xfId="0" quotePrefix="1" applyFont="1" applyFill="1" applyBorder="1" applyAlignment="1" applyProtection="1">
      <alignment horizontal="center"/>
    </xf>
    <xf numFmtId="0" fontId="13" fillId="11" borderId="8" xfId="0" quotePrefix="1" applyFont="1" applyFill="1" applyBorder="1" applyAlignment="1" applyProtection="1">
      <alignment horizontal="center"/>
    </xf>
    <xf numFmtId="0" fontId="13" fillId="11" borderId="9" xfId="0" applyFont="1" applyFill="1" applyBorder="1" applyAlignment="1" applyProtection="1">
      <alignment horizontal="center"/>
    </xf>
    <xf numFmtId="0" fontId="13" fillId="11" borderId="10" xfId="0" applyFont="1" applyFill="1" applyBorder="1" applyAlignment="1" applyProtection="1">
      <alignment horizontal="center"/>
    </xf>
    <xf numFmtId="0" fontId="13" fillId="9" borderId="2" xfId="0" quotePrefix="1" applyFont="1" applyFill="1" applyBorder="1" applyAlignment="1" applyProtection="1">
      <alignment horizontal="center"/>
    </xf>
    <xf numFmtId="0" fontId="13" fillId="9" borderId="3" xfId="0" applyFont="1" applyFill="1" applyBorder="1" applyAlignment="1" applyProtection="1">
      <alignment horizontal="center"/>
    </xf>
    <xf numFmtId="0" fontId="13" fillId="9" borderId="4" xfId="0" applyFont="1" applyFill="1" applyBorder="1" applyAlignment="1" applyProtection="1">
      <alignment horizontal="center"/>
    </xf>
    <xf numFmtId="0" fontId="13" fillId="11" borderId="8" xfId="0" applyFont="1" applyFill="1" applyBorder="1" applyAlignment="1" applyProtection="1">
      <alignment horizontal="center"/>
    </xf>
    <xf numFmtId="0" fontId="13" fillId="0" borderId="5" xfId="0" quotePrefix="1" applyNumberFormat="1" applyFont="1" applyFill="1" applyBorder="1" applyAlignment="1" applyProtection="1">
      <alignment horizontal="center" vertical="center"/>
    </xf>
    <xf numFmtId="0" fontId="13" fillId="0" borderId="6" xfId="0" quotePrefix="1" applyNumberFormat="1" applyFont="1" applyFill="1" applyBorder="1" applyAlignment="1" applyProtection="1">
      <alignment horizontal="center" vertical="center"/>
    </xf>
    <xf numFmtId="0" fontId="13" fillId="0" borderId="7" xfId="0" quotePrefix="1" applyNumberFormat="1" applyFont="1" applyFill="1" applyBorder="1" applyAlignment="1" applyProtection="1">
      <alignment horizontal="center" vertical="center"/>
    </xf>
    <xf numFmtId="0" fontId="0" fillId="0" borderId="39" xfId="0" applyBorder="1"/>
    <xf numFmtId="0" fontId="0" fillId="0" borderId="23" xfId="0" applyBorder="1"/>
    <xf numFmtId="0" fontId="13" fillId="0" borderId="32" xfId="0" quotePrefix="1" applyFont="1" applyFill="1" applyBorder="1" applyAlignment="1" applyProtection="1">
      <alignment horizontal="center" vertical="center"/>
    </xf>
    <xf numFmtId="0" fontId="13" fillId="0" borderId="38" xfId="0" quotePrefix="1" applyFont="1" applyFill="1" applyBorder="1" applyAlignment="1" applyProtection="1">
      <alignment horizontal="center" vertical="center"/>
    </xf>
    <xf numFmtId="0" fontId="13" fillId="0" borderId="40" xfId="0" quotePrefix="1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/>
      <protection locked="0"/>
    </xf>
    <xf numFmtId="0" fontId="13" fillId="0" borderId="11" xfId="0" applyFont="1" applyFill="1" applyBorder="1" applyAlignment="1" applyProtection="1">
      <alignment horizontal="center"/>
      <protection locked="0"/>
    </xf>
    <xf numFmtId="0" fontId="13" fillId="5" borderId="2" xfId="0" quotePrefix="1" applyFont="1" applyFill="1" applyBorder="1" applyAlignment="1" applyProtection="1">
      <alignment horizontal="center"/>
    </xf>
    <xf numFmtId="0" fontId="13" fillId="5" borderId="3" xfId="0" applyFont="1" applyFill="1" applyBorder="1" applyAlignment="1" applyProtection="1">
      <alignment horizontal="center"/>
    </xf>
    <xf numFmtId="0" fontId="13" fillId="5" borderId="4" xfId="0" applyFont="1" applyFill="1" applyBorder="1" applyAlignment="1" applyProtection="1">
      <alignment horizontal="center"/>
    </xf>
    <xf numFmtId="0" fontId="13" fillId="5" borderId="16" xfId="0" quotePrefix="1" applyFont="1" applyFill="1" applyBorder="1" applyAlignment="1" applyProtection="1">
      <alignment horizontal="center"/>
    </xf>
    <xf numFmtId="0" fontId="13" fillId="5" borderId="17" xfId="0" applyFont="1" applyFill="1" applyBorder="1" applyAlignment="1" applyProtection="1">
      <alignment horizontal="center"/>
    </xf>
    <xf numFmtId="0" fontId="13" fillId="5" borderId="18" xfId="0" applyFont="1" applyFill="1" applyBorder="1" applyAlignment="1" applyProtection="1">
      <alignment horizontal="center"/>
    </xf>
    <xf numFmtId="0" fontId="13" fillId="10" borderId="2" xfId="0" quotePrefix="1" applyFont="1" applyFill="1" applyBorder="1" applyAlignment="1" applyProtection="1">
      <alignment horizontal="center"/>
    </xf>
    <xf numFmtId="0" fontId="13" fillId="10" borderId="3" xfId="0" quotePrefix="1" applyFont="1" applyFill="1" applyBorder="1" applyAlignment="1" applyProtection="1">
      <alignment horizontal="center"/>
    </xf>
    <xf numFmtId="0" fontId="13" fillId="10" borderId="4" xfId="0" quotePrefix="1" applyFont="1" applyFill="1" applyBorder="1" applyAlignment="1" applyProtection="1">
      <alignment horizontal="center"/>
    </xf>
    <xf numFmtId="0" fontId="13" fillId="10" borderId="16" xfId="0" quotePrefix="1" applyFont="1" applyFill="1" applyBorder="1" applyAlignment="1" applyProtection="1">
      <alignment horizontal="center" vertical="center"/>
    </xf>
    <xf numFmtId="0" fontId="13" fillId="10" borderId="17" xfId="0" quotePrefix="1" applyFont="1" applyFill="1" applyBorder="1" applyAlignment="1" applyProtection="1">
      <alignment horizontal="center" vertical="center"/>
    </xf>
    <xf numFmtId="0" fontId="13" fillId="10" borderId="18" xfId="0" quotePrefix="1" applyFont="1" applyFill="1" applyBorder="1" applyAlignment="1" applyProtection="1">
      <alignment horizontal="center" vertical="center"/>
    </xf>
    <xf numFmtId="0" fontId="13" fillId="5" borderId="5" xfId="0" quotePrefix="1" applyFont="1" applyFill="1" applyBorder="1" applyAlignment="1" applyProtection="1">
      <alignment horizontal="center" vertical="center"/>
    </xf>
    <xf numFmtId="0" fontId="13" fillId="5" borderId="6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10" borderId="2" xfId="0" applyFont="1" applyFill="1" applyBorder="1" applyAlignment="1" applyProtection="1">
      <alignment horizontal="center"/>
    </xf>
    <xf numFmtId="0" fontId="13" fillId="10" borderId="3" xfId="0" applyFont="1" applyFill="1" applyBorder="1" applyAlignment="1" applyProtection="1">
      <alignment horizontal="center"/>
    </xf>
    <xf numFmtId="0" fontId="13" fillId="10" borderId="4" xfId="0" applyFont="1" applyFill="1" applyBorder="1" applyAlignment="1" applyProtection="1">
      <alignment horizontal="center"/>
    </xf>
    <xf numFmtId="0" fontId="13" fillId="10" borderId="16" xfId="0" quotePrefix="1" applyFont="1" applyFill="1" applyBorder="1" applyAlignment="1" applyProtection="1">
      <alignment horizontal="center"/>
    </xf>
    <xf numFmtId="0" fontId="13" fillId="10" borderId="17" xfId="0" quotePrefix="1" applyFont="1" applyFill="1" applyBorder="1" applyAlignment="1" applyProtection="1">
      <alignment horizontal="center"/>
    </xf>
    <xf numFmtId="0" fontId="13" fillId="10" borderId="18" xfId="0" quotePrefix="1" applyFont="1" applyFill="1" applyBorder="1" applyAlignment="1" applyProtection="1">
      <alignment horizontal="center"/>
    </xf>
    <xf numFmtId="0" fontId="13" fillId="11" borderId="16" xfId="0" quotePrefix="1" applyFont="1" applyFill="1" applyBorder="1" applyAlignment="1" applyProtection="1">
      <alignment horizontal="center"/>
    </xf>
    <xf numFmtId="0" fontId="13" fillId="11" borderId="17" xfId="0" quotePrefix="1" applyFont="1" applyFill="1" applyBorder="1" applyAlignment="1" applyProtection="1">
      <alignment horizontal="center"/>
    </xf>
    <xf numFmtId="0" fontId="13" fillId="11" borderId="18" xfId="0" quotePrefix="1" applyFont="1" applyFill="1" applyBorder="1" applyAlignment="1" applyProtection="1">
      <alignment horizontal="center"/>
    </xf>
    <xf numFmtId="0" fontId="13" fillId="11" borderId="2" xfId="0" quotePrefix="1" applyFont="1" applyFill="1" applyBorder="1" applyAlignment="1" applyProtection="1">
      <alignment horizontal="center"/>
    </xf>
    <xf numFmtId="0" fontId="13" fillId="11" borderId="3" xfId="0" applyFont="1" applyFill="1" applyBorder="1" applyAlignment="1" applyProtection="1">
      <alignment horizontal="center"/>
    </xf>
    <xf numFmtId="0" fontId="13" fillId="11" borderId="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</xf>
    <xf numFmtId="0" fontId="13" fillId="3" borderId="19" xfId="0" applyFont="1" applyFill="1" applyBorder="1" applyAlignment="1" applyProtection="1">
      <alignment horizontal="center"/>
      <protection locked="0"/>
    </xf>
    <xf numFmtId="0" fontId="13" fillId="3" borderId="11" xfId="0" applyFont="1" applyFill="1" applyBorder="1" applyAlignment="1" applyProtection="1">
      <alignment horizontal="center"/>
      <protection locked="0"/>
    </xf>
    <xf numFmtId="0" fontId="13" fillId="11" borderId="5" xfId="0" quotePrefix="1" applyFont="1" applyFill="1" applyBorder="1" applyAlignment="1" applyProtection="1">
      <alignment horizontal="center"/>
    </xf>
    <xf numFmtId="0" fontId="13" fillId="11" borderId="6" xfId="0" quotePrefix="1" applyFont="1" applyFill="1" applyBorder="1" applyAlignment="1" applyProtection="1">
      <alignment horizontal="center"/>
    </xf>
    <xf numFmtId="0" fontId="13" fillId="11" borderId="7" xfId="0" quotePrefix="1" applyFont="1" applyFill="1" applyBorder="1" applyAlignment="1" applyProtection="1">
      <alignment horizontal="center"/>
    </xf>
    <xf numFmtId="0" fontId="13" fillId="3" borderId="2" xfId="0" quotePrefix="1" applyFont="1" applyFill="1" applyBorder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3" fillId="3" borderId="16" xfId="0" quotePrefix="1" applyFont="1" applyFill="1" applyBorder="1" applyAlignment="1" applyProtection="1">
      <alignment horizontal="center"/>
    </xf>
    <xf numFmtId="0" fontId="13" fillId="3" borderId="17" xfId="0" applyFont="1" applyFill="1" applyBorder="1" applyAlignment="1" applyProtection="1">
      <alignment horizontal="center"/>
    </xf>
    <xf numFmtId="0" fontId="13" fillId="3" borderId="18" xfId="0" applyFont="1" applyFill="1" applyBorder="1" applyAlignment="1" applyProtection="1">
      <alignment horizontal="center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21" fillId="3" borderId="9" xfId="0" applyFont="1" applyFill="1" applyBorder="1" applyAlignment="1" applyProtection="1">
      <alignment horizontal="center" vertical="center"/>
      <protection locked="0"/>
    </xf>
    <xf numFmtId="0" fontId="21" fillId="3" borderId="10" xfId="0" applyFont="1" applyFill="1" applyBorder="1" applyAlignment="1" applyProtection="1">
      <alignment horizontal="center" vertical="center"/>
      <protection locked="0"/>
    </xf>
    <xf numFmtId="0" fontId="24" fillId="18" borderId="2" xfId="0" quotePrefix="1" applyFont="1" applyFill="1" applyBorder="1" applyAlignment="1" applyProtection="1">
      <alignment horizontal="center"/>
    </xf>
    <xf numFmtId="0" fontId="24" fillId="18" borderId="3" xfId="0" applyFont="1" applyFill="1" applyBorder="1" applyAlignment="1" applyProtection="1">
      <alignment horizontal="center"/>
    </xf>
    <xf numFmtId="0" fontId="24" fillId="18" borderId="4" xfId="0" applyFont="1" applyFill="1" applyBorder="1" applyAlignment="1" applyProtection="1">
      <alignment horizontal="center"/>
    </xf>
    <xf numFmtId="0" fontId="24" fillId="18" borderId="16" xfId="0" quotePrefix="1" applyFont="1" applyFill="1" applyBorder="1" applyAlignment="1" applyProtection="1">
      <alignment horizontal="center"/>
    </xf>
    <xf numFmtId="0" fontId="24" fillId="18" borderId="17" xfId="0" applyFont="1" applyFill="1" applyBorder="1" applyAlignment="1" applyProtection="1">
      <alignment horizontal="center"/>
    </xf>
    <xf numFmtId="0" fontId="24" fillId="18" borderId="18" xfId="0" applyFont="1" applyFill="1" applyBorder="1" applyAlignment="1" applyProtection="1">
      <alignment horizontal="center"/>
    </xf>
    <xf numFmtId="0" fontId="6" fillId="14" borderId="8" xfId="0" applyFont="1" applyFill="1" applyBorder="1" applyAlignment="1" applyProtection="1">
      <alignment horizontal="center"/>
      <protection locked="0"/>
    </xf>
    <xf numFmtId="0" fontId="6" fillId="14" borderId="9" xfId="0" applyFont="1" applyFill="1" applyBorder="1" applyAlignment="1" applyProtection="1">
      <alignment horizontal="center"/>
      <protection locked="0"/>
    </xf>
    <xf numFmtId="0" fontId="6" fillId="14" borderId="10" xfId="0" applyFont="1" applyFill="1" applyBorder="1" applyAlignment="1" applyProtection="1">
      <alignment horizontal="center"/>
      <protection locked="0"/>
    </xf>
    <xf numFmtId="0" fontId="13" fillId="11" borderId="16" xfId="0" applyFont="1" applyFill="1" applyBorder="1" applyAlignment="1" applyProtection="1">
      <alignment horizontal="center"/>
      <protection locked="0"/>
    </xf>
    <xf numFmtId="0" fontId="13" fillId="11" borderId="17" xfId="0" applyFont="1" applyFill="1" applyBorder="1" applyAlignment="1" applyProtection="1">
      <alignment horizontal="center"/>
      <protection locked="0"/>
    </xf>
    <xf numFmtId="0" fontId="13" fillId="11" borderId="18" xfId="0" applyFont="1" applyFill="1" applyBorder="1" applyAlignment="1" applyProtection="1">
      <alignment horizontal="center"/>
      <protection locked="0"/>
    </xf>
    <xf numFmtId="0" fontId="13" fillId="14" borderId="2" xfId="0" quotePrefix="1" applyFont="1" applyFill="1" applyBorder="1" applyAlignment="1" applyProtection="1">
      <alignment horizontal="center"/>
    </xf>
    <xf numFmtId="0" fontId="13" fillId="14" borderId="3" xfId="0" applyFont="1" applyFill="1" applyBorder="1" applyAlignment="1" applyProtection="1">
      <alignment horizontal="center"/>
    </xf>
    <xf numFmtId="0" fontId="13" fillId="14" borderId="4" xfId="0" applyFont="1" applyFill="1" applyBorder="1" applyAlignment="1" applyProtection="1">
      <alignment horizontal="center"/>
    </xf>
    <xf numFmtId="0" fontId="13" fillId="14" borderId="16" xfId="0" quotePrefix="1" applyFont="1" applyFill="1" applyBorder="1" applyAlignment="1" applyProtection="1">
      <alignment horizontal="center"/>
    </xf>
    <xf numFmtId="0" fontId="13" fillId="14" borderId="17" xfId="0" applyFont="1" applyFill="1" applyBorder="1" applyAlignment="1" applyProtection="1">
      <alignment horizontal="center"/>
    </xf>
    <xf numFmtId="0" fontId="13" fillId="14" borderId="18" xfId="0" applyFont="1" applyFill="1" applyBorder="1" applyAlignment="1" applyProtection="1">
      <alignment horizontal="center"/>
    </xf>
    <xf numFmtId="0" fontId="21" fillId="12" borderId="8" xfId="0" applyFont="1" applyFill="1" applyBorder="1" applyAlignment="1" applyProtection="1">
      <alignment horizontal="center" vertical="center"/>
      <protection locked="0"/>
    </xf>
    <xf numFmtId="0" fontId="21" fillId="12" borderId="9" xfId="0" applyFont="1" applyFill="1" applyBorder="1" applyAlignment="1" applyProtection="1">
      <alignment horizontal="center" vertical="center"/>
      <protection locked="0"/>
    </xf>
    <xf numFmtId="0" fontId="21" fillId="12" borderId="10" xfId="0" applyFont="1" applyFill="1" applyBorder="1" applyAlignment="1" applyProtection="1">
      <alignment horizontal="center" vertical="center"/>
      <protection locked="0"/>
    </xf>
    <xf numFmtId="0" fontId="13" fillId="12" borderId="8" xfId="0" quotePrefix="1" applyFont="1" applyFill="1" applyBorder="1" applyAlignment="1" applyProtection="1">
      <alignment horizontal="center" vertical="center"/>
    </xf>
    <xf numFmtId="0" fontId="13" fillId="12" borderId="9" xfId="0" quotePrefix="1" applyFont="1" applyFill="1" applyBorder="1" applyAlignment="1" applyProtection="1">
      <alignment horizontal="center" vertical="center"/>
    </xf>
    <xf numFmtId="0" fontId="13" fillId="12" borderId="10" xfId="0" quotePrefix="1" applyFont="1" applyFill="1" applyBorder="1" applyAlignment="1" applyProtection="1">
      <alignment horizontal="center" vertical="center"/>
    </xf>
    <xf numFmtId="0" fontId="13" fillId="11" borderId="3" xfId="0" quotePrefix="1" applyFont="1" applyFill="1" applyBorder="1" applyAlignment="1" applyProtection="1">
      <alignment horizontal="center"/>
    </xf>
    <xf numFmtId="0" fontId="13" fillId="11" borderId="4" xfId="0" quotePrefix="1" applyFont="1" applyFill="1" applyBorder="1" applyAlignment="1" applyProtection="1">
      <alignment horizontal="center"/>
    </xf>
    <xf numFmtId="0" fontId="5" fillId="0" borderId="24" xfId="0" quotePrefix="1" applyNumberFormat="1" applyFont="1" applyFill="1" applyBorder="1" applyAlignment="1" applyProtection="1">
      <alignment horizontal="center" vertical="center"/>
    </xf>
    <xf numFmtId="0" fontId="5" fillId="0" borderId="41" xfId="0" quotePrefix="1" applyNumberFormat="1" applyFont="1" applyFill="1" applyBorder="1" applyAlignment="1" applyProtection="1">
      <alignment horizontal="center" vertical="center"/>
    </xf>
    <xf numFmtId="0" fontId="5" fillId="0" borderId="36" xfId="0" quotePrefix="1" applyNumberFormat="1" applyFont="1" applyFill="1" applyBorder="1" applyAlignment="1" applyProtection="1">
      <alignment horizontal="center" vertical="center"/>
    </xf>
    <xf numFmtId="0" fontId="13" fillId="12" borderId="2" xfId="0" quotePrefix="1" applyFont="1" applyFill="1" applyBorder="1" applyAlignment="1" applyProtection="1">
      <alignment horizontal="center"/>
    </xf>
    <xf numFmtId="0" fontId="13" fillId="12" borderId="3" xfId="0" quotePrefix="1" applyFont="1" applyFill="1" applyBorder="1" applyAlignment="1" applyProtection="1">
      <alignment horizontal="center"/>
    </xf>
    <xf numFmtId="0" fontId="13" fillId="12" borderId="4" xfId="0" quotePrefix="1" applyFont="1" applyFill="1" applyBorder="1" applyAlignment="1" applyProtection="1">
      <alignment horizontal="center"/>
    </xf>
    <xf numFmtId="0" fontId="21" fillId="14" borderId="8" xfId="0" applyFont="1" applyFill="1" applyBorder="1" applyAlignment="1" applyProtection="1">
      <alignment horizontal="center" vertical="center"/>
      <protection locked="0"/>
    </xf>
    <xf numFmtId="0" fontId="21" fillId="14" borderId="9" xfId="0" applyFont="1" applyFill="1" applyBorder="1" applyAlignment="1" applyProtection="1">
      <alignment horizontal="center" vertical="center"/>
      <protection locked="0"/>
    </xf>
    <xf numFmtId="0" fontId="21" fillId="14" borderId="10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31" fillId="2" borderId="8" xfId="0" applyFont="1" applyFill="1" applyBorder="1" applyAlignment="1" applyProtection="1">
      <alignment horizontal="center" vertical="center"/>
      <protection locked="0"/>
    </xf>
    <xf numFmtId="0" fontId="31" fillId="2" borderId="9" xfId="0" applyFont="1" applyFill="1" applyBorder="1" applyAlignment="1" applyProtection="1">
      <alignment horizontal="center" vertical="center"/>
      <protection locked="0"/>
    </xf>
    <xf numFmtId="0" fontId="31" fillId="2" borderId="10" xfId="0" applyFont="1" applyFill="1" applyBorder="1" applyAlignment="1" applyProtection="1">
      <alignment horizontal="center" vertical="center"/>
      <protection locked="0"/>
    </xf>
    <xf numFmtId="0" fontId="6" fillId="10" borderId="8" xfId="0" applyFont="1" applyFill="1" applyBorder="1" applyAlignment="1" applyProtection="1">
      <alignment horizontal="center"/>
      <protection locked="0"/>
    </xf>
    <xf numFmtId="0" fontId="6" fillId="10" borderId="9" xfId="0" applyFont="1" applyFill="1" applyBorder="1" applyAlignment="1" applyProtection="1">
      <alignment horizontal="center"/>
      <protection locked="0"/>
    </xf>
    <xf numFmtId="0" fontId="6" fillId="10" borderId="10" xfId="0" applyFont="1" applyFill="1" applyBorder="1" applyAlignment="1" applyProtection="1">
      <alignment horizontal="center"/>
      <protection locked="0"/>
    </xf>
    <xf numFmtId="0" fontId="6" fillId="5" borderId="8" xfId="0" applyFont="1" applyFill="1" applyBorder="1" applyAlignment="1" applyProtection="1">
      <alignment horizontal="center"/>
      <protection locked="0"/>
    </xf>
    <xf numFmtId="0" fontId="6" fillId="5" borderId="9" xfId="0" applyFont="1" applyFill="1" applyBorder="1" applyAlignment="1" applyProtection="1">
      <alignment horizontal="center"/>
      <protection locked="0"/>
    </xf>
    <xf numFmtId="0" fontId="6" fillId="5" borderId="10" xfId="0" applyFont="1" applyFill="1" applyBorder="1" applyAlignment="1" applyProtection="1">
      <alignment horizontal="center"/>
      <protection locked="0"/>
    </xf>
    <xf numFmtId="0" fontId="34" fillId="22" borderId="16" xfId="0" applyFont="1" applyFill="1" applyBorder="1" applyAlignment="1" applyProtection="1">
      <alignment horizontal="center"/>
      <protection locked="0"/>
    </xf>
    <xf numFmtId="0" fontId="34" fillId="22" borderId="17" xfId="0" applyFont="1" applyFill="1" applyBorder="1" applyAlignment="1" applyProtection="1">
      <alignment horizontal="center"/>
      <protection locked="0"/>
    </xf>
    <xf numFmtId="0" fontId="34" fillId="22" borderId="18" xfId="0" applyFont="1" applyFill="1" applyBorder="1" applyAlignment="1" applyProtection="1">
      <alignment horizontal="center"/>
      <protection locked="0"/>
    </xf>
    <xf numFmtId="0" fontId="12" fillId="12" borderId="8" xfId="0" applyFont="1" applyFill="1" applyBorder="1" applyAlignment="1" applyProtection="1">
      <alignment horizontal="center" vertical="center"/>
      <protection locked="0"/>
    </xf>
    <xf numFmtId="0" fontId="12" fillId="12" borderId="9" xfId="0" applyFont="1" applyFill="1" applyBorder="1" applyAlignment="1" applyProtection="1">
      <alignment horizontal="center" vertical="center"/>
      <protection locked="0"/>
    </xf>
    <xf numFmtId="0" fontId="12" fillId="12" borderId="10" xfId="0" applyFont="1" applyFill="1" applyBorder="1" applyAlignment="1" applyProtection="1">
      <alignment horizontal="center" vertical="center"/>
      <protection locked="0"/>
    </xf>
    <xf numFmtId="0" fontId="24" fillId="18" borderId="8" xfId="0" applyFont="1" applyFill="1" applyBorder="1" applyAlignment="1" applyProtection="1">
      <alignment horizontal="center" vertical="center"/>
      <protection locked="0"/>
    </xf>
    <xf numFmtId="0" fontId="24" fillId="18" borderId="9" xfId="0" applyFont="1" applyFill="1" applyBorder="1" applyAlignment="1" applyProtection="1">
      <alignment horizontal="center" vertical="center"/>
      <protection locked="0"/>
    </xf>
    <xf numFmtId="0" fontId="24" fillId="18" borderId="10" xfId="0" applyFont="1" applyFill="1" applyBorder="1" applyAlignment="1" applyProtection="1">
      <alignment horizontal="center" vertical="center"/>
      <protection locked="0"/>
    </xf>
    <xf numFmtId="0" fontId="32" fillId="2" borderId="8" xfId="0" applyFont="1" applyFill="1" applyBorder="1" applyAlignment="1" applyProtection="1">
      <alignment horizontal="center"/>
      <protection locked="0"/>
    </xf>
    <xf numFmtId="0" fontId="32" fillId="2" borderId="9" xfId="0" applyFont="1" applyFill="1" applyBorder="1" applyAlignment="1" applyProtection="1">
      <alignment horizontal="center"/>
      <protection locked="0"/>
    </xf>
    <xf numFmtId="0" fontId="32" fillId="2" borderId="10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667"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lightUp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lightUp"/>
      </fill>
    </dxf>
    <dxf>
      <fill>
        <patternFill>
          <bgColor theme="9" tint="0.59996337778862885"/>
        </patternFill>
      </fill>
    </dxf>
    <dxf>
      <fill>
        <patternFill patternType="gray125"/>
      </fill>
    </dxf>
    <dxf>
      <fill>
        <patternFill>
          <bgColor rgb="FFFA90ED"/>
        </patternFill>
      </fill>
    </dxf>
    <dxf>
      <fill>
        <patternFill>
          <bgColor rgb="FFF7B3EA"/>
        </patternFill>
      </fill>
    </dxf>
    <dxf>
      <fill>
        <patternFill>
          <bgColor rgb="FFFFCC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 patternType="lightUp"/>
      </fill>
    </dxf>
    <dxf>
      <fill>
        <patternFill>
          <bgColor rgb="FF00FFFF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ont>
        <color theme="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FFFF"/>
      <color rgb="FF66FF33"/>
      <color rgb="FF66CCFF"/>
      <color rgb="FFCC99FF"/>
      <color rgb="FFFF99FF"/>
      <color rgb="FF66FFFF"/>
      <color rgb="FFD7FCC4"/>
      <color rgb="FFFF3300"/>
      <color rgb="FF0099FF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t%20final/Nouveau%20dossier/Projet%20F&#233;d&#233;ral%20Alain/Projet%20Bertrand/Essais/Projet%20F&#233;d&#233;raux%20Bertrand_Alain%20-%20Copi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nseignements"/>
      <sheetName val="Poule 1 et 2"/>
      <sheetName val="Poule 3 et 4"/>
      <sheetName val="Poule 5 et 6"/>
      <sheetName val="Poule 7 et 8"/>
      <sheetName val="Poule 9 et 10"/>
      <sheetName val="Poule 11 et 12"/>
      <sheetName val="Poule 13 et 14"/>
      <sheetName val="Poule 15 et 16"/>
      <sheetName val="Parties éliminatoires"/>
      <sheetName val="Feuil2"/>
    </sheetNames>
    <sheetDataSet>
      <sheetData sheetId="0" refreshError="1">
        <row r="6">
          <cell r="E6">
            <v>0</v>
          </cell>
          <cell r="K6" t="str">
            <v>Quadrettes</v>
          </cell>
        </row>
        <row r="9">
          <cell r="E9" t="str">
            <v xml:space="preserve"> Div.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FFFF00"/>
  </sheetPr>
  <dimension ref="A1:AM85"/>
  <sheetViews>
    <sheetView topLeftCell="A4" zoomScale="70" zoomScaleNormal="70" workbookViewId="0">
      <selection activeCell="J11" sqref="J11:K12"/>
    </sheetView>
  </sheetViews>
  <sheetFormatPr baseColWidth="10" defaultRowHeight="18.75"/>
  <cols>
    <col min="1" max="1" width="8.42578125" style="40" customWidth="1"/>
    <col min="2" max="2" width="7.85546875" style="40" customWidth="1"/>
    <col min="3" max="3" width="14.7109375" style="40" customWidth="1"/>
    <col min="4" max="4" width="6.5703125" style="40" customWidth="1"/>
    <col min="5" max="5" width="6.7109375" style="40" customWidth="1"/>
    <col min="6" max="6" width="6" style="40" customWidth="1"/>
    <col min="7" max="7" width="6.7109375" style="40" customWidth="1"/>
    <col min="8" max="8" width="6.85546875" style="40" customWidth="1"/>
    <col min="9" max="9" width="6.28515625" style="40" customWidth="1"/>
    <col min="10" max="10" width="6.7109375" style="40" customWidth="1"/>
    <col min="11" max="11" width="8" style="40" customWidth="1"/>
    <col min="12" max="12" width="7.7109375" style="40" customWidth="1"/>
    <col min="13" max="13" width="6.140625" style="40" customWidth="1"/>
    <col min="14" max="14" width="6.7109375" style="40" customWidth="1"/>
    <col min="15" max="15" width="6.140625" style="40" customWidth="1"/>
    <col min="16" max="16" width="6.5703125" style="40" customWidth="1"/>
    <col min="17" max="19" width="5.85546875" style="40" customWidth="1"/>
    <col min="20" max="20" width="23.42578125" style="40" customWidth="1"/>
    <col min="21" max="21" width="24.140625" style="40" customWidth="1"/>
    <col min="22" max="22" width="12" style="40" customWidth="1"/>
    <col min="23" max="23" width="4.5703125" style="40" customWidth="1"/>
    <col min="24" max="24" width="8.7109375" style="40" customWidth="1"/>
    <col min="25" max="25" width="12.7109375" style="40" customWidth="1"/>
    <col min="26" max="26" width="10.28515625" style="40" customWidth="1"/>
    <col min="27" max="27" width="9" style="40" customWidth="1"/>
    <col min="28" max="28" width="31.7109375" style="135" customWidth="1"/>
    <col min="29" max="29" width="12.85546875" style="40" customWidth="1"/>
    <col min="30" max="30" width="5.7109375" style="132" customWidth="1"/>
    <col min="31" max="31" width="7.5703125" style="132" customWidth="1"/>
    <col min="32" max="32" width="32" style="40" customWidth="1"/>
    <col min="33" max="33" width="5.7109375" style="40" customWidth="1"/>
    <col min="34" max="34" width="10.7109375" style="40" customWidth="1"/>
    <col min="35" max="37" width="5.7109375" style="40" customWidth="1"/>
    <col min="38" max="38" width="15.7109375" style="40" customWidth="1"/>
    <col min="39" max="43" width="5.7109375" style="40" customWidth="1"/>
    <col min="44" max="16384" width="11.42578125" style="40"/>
  </cols>
  <sheetData>
    <row r="1" spans="1:38" s="296" customFormat="1" ht="48" customHeight="1" thickBot="1">
      <c r="G1" s="500" t="s">
        <v>122</v>
      </c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2"/>
      <c r="AE1" s="297"/>
    </row>
    <row r="2" spans="1:38" ht="36" customHeight="1" thickBot="1">
      <c r="A2" s="509" t="s">
        <v>79</v>
      </c>
      <c r="B2" s="510"/>
      <c r="C2" s="510"/>
      <c r="D2" s="510"/>
      <c r="E2" s="510"/>
      <c r="F2" s="510"/>
      <c r="G2" s="507"/>
      <c r="H2" s="507"/>
      <c r="I2" s="508"/>
      <c r="J2" s="506" t="s">
        <v>63</v>
      </c>
      <c r="K2" s="507"/>
      <c r="L2" s="507"/>
      <c r="M2" s="507"/>
      <c r="N2" s="508"/>
      <c r="T2" s="225"/>
      <c r="U2" s="292"/>
      <c r="V2" s="225"/>
      <c r="W2" s="293"/>
      <c r="X2" s="225"/>
      <c r="Y2" s="294"/>
      <c r="Z2" s="225"/>
      <c r="AA2" s="295"/>
      <c r="AB2" s="295"/>
      <c r="AD2" s="40"/>
      <c r="AE2" s="40"/>
    </row>
    <row r="3" spans="1:38" ht="30" customHeight="1" thickBot="1">
      <c r="W3" s="133"/>
      <c r="AB3" s="134"/>
    </row>
    <row r="4" spans="1:38" ht="30" customHeight="1" thickBot="1">
      <c r="A4" s="139" t="s">
        <v>24</v>
      </c>
      <c r="C4" s="256">
        <f ca="1">TODAY()</f>
        <v>44191</v>
      </c>
      <c r="D4" s="515">
        <f ca="1">YEAR(NOW())</f>
        <v>2020</v>
      </c>
      <c r="E4" s="516"/>
      <c r="F4" s="82"/>
      <c r="G4" s="511" t="s">
        <v>21</v>
      </c>
      <c r="H4" s="511"/>
      <c r="I4" s="82"/>
      <c r="J4" s="512" t="s">
        <v>70</v>
      </c>
      <c r="K4" s="513"/>
      <c r="L4" s="513"/>
      <c r="M4" s="513"/>
      <c r="N4" s="514"/>
      <c r="O4" s="82"/>
      <c r="P4" s="82"/>
      <c r="Q4" s="121"/>
      <c r="R4" s="21"/>
      <c r="S4" s="22"/>
      <c r="T4" s="22"/>
      <c r="U4" s="22"/>
      <c r="V4" s="23" t="s">
        <v>55</v>
      </c>
      <c r="W4" s="22"/>
      <c r="X4" s="135"/>
      <c r="Z4" s="132"/>
      <c r="AA4" s="132"/>
      <c r="AB4" s="40"/>
      <c r="AD4" s="40"/>
      <c r="AE4" s="40"/>
    </row>
    <row r="5" spans="1:38" ht="30" customHeight="1" thickBot="1">
      <c r="R5" s="24"/>
      <c r="S5" s="83" t="s">
        <v>53</v>
      </c>
      <c r="T5" s="25" t="s">
        <v>56</v>
      </c>
      <c r="U5" s="26" t="s">
        <v>57</v>
      </c>
      <c r="V5" s="27" t="s">
        <v>80</v>
      </c>
      <c r="W5" s="28"/>
      <c r="X5" s="135"/>
      <c r="Z5" s="136" t="s">
        <v>6</v>
      </c>
      <c r="AA5" s="137"/>
      <c r="AB5" s="199" t="s">
        <v>19</v>
      </c>
      <c r="AD5" s="40"/>
      <c r="AE5" s="40"/>
    </row>
    <row r="6" spans="1:38" s="142" customFormat="1" ht="30" customHeight="1" thickBot="1">
      <c r="A6" s="138"/>
      <c r="B6" s="139" t="s">
        <v>22</v>
      </c>
      <c r="C6" s="139"/>
      <c r="D6" s="139"/>
      <c r="E6" s="512" t="s">
        <v>64</v>
      </c>
      <c r="F6" s="513"/>
      <c r="G6" s="514"/>
      <c r="H6" s="140"/>
      <c r="I6" s="141"/>
      <c r="J6" s="141"/>
      <c r="K6" s="215"/>
      <c r="R6" s="32">
        <v>1</v>
      </c>
      <c r="S6" s="232"/>
      <c r="T6" s="230" t="s">
        <v>83</v>
      </c>
      <c r="U6" s="84"/>
      <c r="V6" s="29">
        <v>1</v>
      </c>
      <c r="W6" s="40"/>
      <c r="X6" s="239">
        <v>1</v>
      </c>
      <c r="Y6" s="489" t="s">
        <v>26</v>
      </c>
      <c r="Z6" s="483">
        <v>1</v>
      </c>
      <c r="AA6" s="85" t="s">
        <v>14</v>
      </c>
      <c r="AB6" s="86" t="str">
        <f>IF(ISNA(MATCH(X6,$V$6:$V$21,0)),"",INDEX($T$6:$T$27,MATCH(X6,$V$6:$V$21,0)))</f>
        <v>A1</v>
      </c>
      <c r="AD6" s="40"/>
      <c r="AE6" s="40"/>
      <c r="AF6" s="40"/>
      <c r="AG6" s="40"/>
      <c r="AH6" s="40"/>
      <c r="AI6" s="40"/>
      <c r="AJ6" s="40"/>
      <c r="AK6" s="40"/>
      <c r="AL6" s="40"/>
    </row>
    <row r="7" spans="1:38" ht="30" customHeight="1" thickBot="1">
      <c r="R7" s="33">
        <v>2</v>
      </c>
      <c r="S7" s="233"/>
      <c r="T7" s="231" t="s">
        <v>84</v>
      </c>
      <c r="U7" s="87"/>
      <c r="V7" s="30">
        <v>2</v>
      </c>
      <c r="X7" s="240">
        <v>2</v>
      </c>
      <c r="Y7" s="490"/>
      <c r="Z7" s="484"/>
      <c r="AA7" s="88" t="s">
        <v>15</v>
      </c>
      <c r="AB7" s="89" t="str">
        <f>IF(ISNA(MATCH(X7,$V$6:$V$21,0)),"",INDEX($T$6:$T$27,MATCH(X7,$V$6:$V$21,0)))</f>
        <v>B1</v>
      </c>
      <c r="AD7" s="40"/>
      <c r="AE7" s="40"/>
    </row>
    <row r="8" spans="1:38" ht="30" customHeight="1">
      <c r="A8" s="139"/>
      <c r="B8" s="139"/>
      <c r="C8" s="139"/>
      <c r="D8" s="155" t="s">
        <v>123</v>
      </c>
      <c r="I8" s="121"/>
      <c r="J8" s="121"/>
      <c r="R8" s="33">
        <v>3</v>
      </c>
      <c r="S8" s="233"/>
      <c r="T8" s="231" t="s">
        <v>85</v>
      </c>
      <c r="U8" s="87"/>
      <c r="V8" s="30">
        <v>3</v>
      </c>
      <c r="X8" s="240">
        <v>3</v>
      </c>
      <c r="Y8" s="490"/>
      <c r="Z8" s="483">
        <v>2</v>
      </c>
      <c r="AA8" s="85" t="s">
        <v>52</v>
      </c>
      <c r="AB8" s="86" t="str">
        <f>IF(ISNA(MATCH(X8,$V$6:$V$21,0)),"",INDEX($T$6:$T$27,MATCH(X8,$V$6:$V$21,0)))</f>
        <v>C1</v>
      </c>
      <c r="AD8" s="40"/>
      <c r="AE8" s="40"/>
    </row>
    <row r="9" spans="1:38" ht="30" customHeight="1" thickBot="1">
      <c r="A9" s="290"/>
      <c r="C9" s="139"/>
      <c r="D9" s="143"/>
      <c r="F9" s="132"/>
      <c r="J9" s="144"/>
      <c r="L9" s="505" t="s">
        <v>78</v>
      </c>
      <c r="M9" s="505"/>
      <c r="N9" s="505"/>
      <c r="O9" s="505"/>
      <c r="R9" s="34">
        <v>4</v>
      </c>
      <c r="S9" s="233"/>
      <c r="T9" s="283" t="s">
        <v>86</v>
      </c>
      <c r="V9" s="30">
        <v>4</v>
      </c>
      <c r="W9" s="90"/>
      <c r="X9" s="241">
        <f>IF(OR(AND($J$11&gt;79,$J$11&lt;90),AND($J$11&gt;99,$J$11&lt;160),AND($J$11&gt;159,$J$11&lt;170),AND($J$11&gt;189,$J$11&lt;210),AND($J$11&gt;219,$J$11&lt;820),),4,0)</f>
        <v>4</v>
      </c>
      <c r="Y9" s="491"/>
      <c r="Z9" s="484"/>
      <c r="AA9" s="88" t="str">
        <f>IF(AB9="Office"," ","D")</f>
        <v>D</v>
      </c>
      <c r="AB9" s="89" t="str">
        <f>IF(ISNA(MATCH(X9,$V$6:$V$21,0)),"OFFICE",INDEX($T$6:$T$27,MATCH(X9,$V$6:$V$21,0)))</f>
        <v>D1</v>
      </c>
      <c r="AD9" s="40"/>
      <c r="AE9" s="40"/>
    </row>
    <row r="10" spans="1:38" ht="30" customHeight="1" thickBot="1">
      <c r="E10" s="291"/>
      <c r="J10" s="144"/>
      <c r="R10" s="33">
        <v>5</v>
      </c>
      <c r="S10" s="233"/>
      <c r="T10" s="231" t="s">
        <v>87</v>
      </c>
      <c r="U10" s="87"/>
      <c r="V10" s="30">
        <v>5</v>
      </c>
      <c r="W10" s="90"/>
      <c r="X10" s="242">
        <f>IF(OR(AND($J$11&gt;89,$J$11&lt;100),AND(J11&gt;0,J11&lt;0)),4,IF(OR(AND($J$11&gt;80,$J$11&lt;90),AND($J$11&gt;99,$J$11&lt;110),AND($J$11&gt;109,$J$11&lt;170)),5,0))</f>
        <v>5</v>
      </c>
      <c r="Y10" s="489" t="s">
        <v>27</v>
      </c>
      <c r="Z10" s="286">
        <v>3</v>
      </c>
      <c r="AA10" s="85" t="s">
        <v>14</v>
      </c>
      <c r="AB10" s="86" t="str">
        <f>IF(ISNA(MATCH(X10,$V$6:$V$21,0)),"",INDEX($T$6:$T$27,MATCH(X10,$V$6:$V$21,0)))</f>
        <v>A2</v>
      </c>
      <c r="AD10" s="40"/>
      <c r="AE10" s="40"/>
    </row>
    <row r="11" spans="1:38" ht="30" customHeight="1" thickBot="1">
      <c r="A11" s="517" t="s">
        <v>23</v>
      </c>
      <c r="B11" s="517"/>
      <c r="C11" s="517"/>
      <c r="D11" s="517"/>
      <c r="E11" s="517"/>
      <c r="F11" s="517"/>
      <c r="G11" s="518"/>
      <c r="H11" s="289" t="str">
        <f>IF(OR(AND(J11&gt;0,J11&lt;100)),LEFT(J11,1),IF(OR(AND(J11&gt;99,J11&lt;1000)),LEFT(J11,2)))</f>
        <v>16</v>
      </c>
      <c r="J11" s="503">
        <v>168</v>
      </c>
      <c r="K11" s="504"/>
      <c r="M11" s="492">
        <f>IF(D18=8,4,IF(D18=9,3,IF(D18=10,4,IF(D18=11,5,IF(D18=12,6,IF(D18=13,5,IF(D18=14,6,IF(D18=15,7,IF(D18=16,8,"0")))))))))</f>
        <v>8</v>
      </c>
      <c r="N11" s="493"/>
      <c r="O11" s="496" t="s">
        <v>69</v>
      </c>
      <c r="P11" s="497"/>
      <c r="R11" s="34">
        <v>6</v>
      </c>
      <c r="S11" s="233"/>
      <c r="T11" s="231" t="s">
        <v>88</v>
      </c>
      <c r="U11" s="87"/>
      <c r="V11" s="30">
        <v>6</v>
      </c>
      <c r="W11" s="90"/>
      <c r="X11" s="243">
        <f>IF(OR(AND($J$11&gt;89,$J$11&lt;100),AND(J11&gt;0,J11&lt;0)),5,IF(OR(AND($J$11&gt;99,$J$11&lt;110),AND($J$11&gt;80,$J$11&lt;90),AND($J$11&gt;109,$J$11&lt;170)),6,0))</f>
        <v>6</v>
      </c>
      <c r="Y11" s="490"/>
      <c r="Z11" s="287"/>
      <c r="AA11" s="88" t="s">
        <v>15</v>
      </c>
      <c r="AB11" s="89" t="str">
        <f>IF(ISNA(MATCH(X11,$V$6:$V$21,0)),"",INDEX($T$6:$T$27,MATCH(X11,$V$6:$V$21,0)))</f>
        <v>B2</v>
      </c>
      <c r="AD11" s="40"/>
      <c r="AE11" s="40"/>
    </row>
    <row r="12" spans="1:38" ht="30" customHeight="1" thickBot="1">
      <c r="A12" s="517" t="s">
        <v>58</v>
      </c>
      <c r="B12" s="517"/>
      <c r="C12" s="517"/>
      <c r="D12" s="517"/>
      <c r="E12" s="517"/>
      <c r="F12" s="517"/>
      <c r="G12" s="518"/>
      <c r="H12" s="145" t="str">
        <f>RIGHT(J11,1)</f>
        <v>8</v>
      </c>
      <c r="J12" s="504"/>
      <c r="K12" s="504"/>
      <c r="M12" s="494"/>
      <c r="N12" s="495"/>
      <c r="O12" s="498"/>
      <c r="P12" s="499"/>
      <c r="R12" s="33">
        <v>7</v>
      </c>
      <c r="S12" s="233"/>
      <c r="T12" s="231" t="s">
        <v>89</v>
      </c>
      <c r="V12" s="30">
        <v>7</v>
      </c>
      <c r="W12" s="90"/>
      <c r="X12" s="243">
        <f>IF(OR(AND($J$11&gt;89,$J$11&lt;100),AND(J11&gt;0,J11&lt;0)),6,IF(OR(AND($J$11&gt;80,$J$11&lt;90),AND($J$11&gt;99,$J$11&lt;110),AND($J$11&gt;109,$J$11&lt;170)),7,0))</f>
        <v>7</v>
      </c>
      <c r="Y12" s="490"/>
      <c r="Z12" s="286">
        <v>4</v>
      </c>
      <c r="AA12" s="85" t="s">
        <v>52</v>
      </c>
      <c r="AB12" s="86" t="str">
        <f>IF(ISNA(MATCH(X12,$V$6:$V$21,0)),"",INDEX($T$6:$T$27,MATCH(X12,$V$6:$V$21,0)))</f>
        <v>C2</v>
      </c>
      <c r="AD12" s="40"/>
      <c r="AE12" s="40"/>
    </row>
    <row r="13" spans="1:38" ht="30" customHeight="1" thickBot="1">
      <c r="A13" s="139"/>
      <c r="R13" s="34">
        <v>8</v>
      </c>
      <c r="S13" s="233"/>
      <c r="T13" s="283" t="s">
        <v>90</v>
      </c>
      <c r="V13" s="30">
        <v>8</v>
      </c>
      <c r="W13" s="90"/>
      <c r="X13" s="244">
        <f>IF(OR(AND($J$11&gt;79,$J$11&lt;90)),8,IF(OR(AND($J$11&gt;109,$J$11&lt;130)),8,IF(OR(AND($J$11&gt;139,$J$11&lt;170)),8,0)))</f>
        <v>8</v>
      </c>
      <c r="Y13" s="491"/>
      <c r="Z13" s="287"/>
      <c r="AA13" s="288" t="str">
        <f>IF(AB13="Office"," ","D")</f>
        <v>D</v>
      </c>
      <c r="AB13" s="224" t="str">
        <f>IF(ISNA(MATCH(X13,$V$6:$V$21,0)),"OFFICE",INDEX($T$6:$T$27,MATCH(X13,$V$6:$V$21,0)))</f>
        <v>D2</v>
      </c>
      <c r="AD13" s="40"/>
      <c r="AE13" s="40"/>
    </row>
    <row r="14" spans="1:38" ht="30" customHeight="1">
      <c r="A14" s="139"/>
      <c r="C14" s="139"/>
      <c r="K14" s="132"/>
      <c r="R14" s="33">
        <v>9</v>
      </c>
      <c r="S14" s="233"/>
      <c r="T14" s="231" t="s">
        <v>93</v>
      </c>
      <c r="U14" s="87"/>
      <c r="V14" s="30">
        <v>9</v>
      </c>
      <c r="W14" s="90"/>
      <c r="X14" s="245">
        <f>IF(OR(AND($J$11&gt;89,$J$11&lt;100)),7,IF(OR(AND($J$11&gt;99,$J$11&lt;110)),8,IF(OR(AND($J$11&gt;109,$J$11&lt;130)),9,IF(OR(AND($J$11&gt;129,$J$11&lt;140)),8,IF(OR(AND($J$11&gt;139,$J$11&lt;170)),9,0)))))</f>
        <v>9</v>
      </c>
      <c r="Y14" s="485" t="s">
        <v>17</v>
      </c>
      <c r="Z14" s="483">
        <v>5</v>
      </c>
      <c r="AA14" s="85" t="s">
        <v>14</v>
      </c>
      <c r="AB14" s="86" t="str">
        <f>IF(ISNA(MATCH(X14,$V$6:$V$21,0)),"",INDEX($T$6:$T$27,MATCH(X14,$V$6:$V$21,0)))</f>
        <v>A3</v>
      </c>
      <c r="AC14" s="132"/>
      <c r="AD14" s="40"/>
      <c r="AE14" s="40"/>
    </row>
    <row r="15" spans="1:38" ht="30" customHeight="1" thickBot="1">
      <c r="R15" s="34">
        <v>10</v>
      </c>
      <c r="S15" s="233"/>
      <c r="T15" s="231" t="s">
        <v>94</v>
      </c>
      <c r="U15" s="87"/>
      <c r="V15" s="30">
        <v>10</v>
      </c>
      <c r="W15" s="90"/>
      <c r="X15" s="246">
        <f>IF(OR(AND($J$11&gt;89,$J$11&lt;100)),8,IF(OR(AND($J$11&gt;99,$J$11&lt;110)),9,IF(OR(AND($J$11&gt;109,$J$11&lt;130)),10,IF(OR(AND($J$11&gt;129,$J$11&lt;140)),9,IF(OR(AND($J$11&gt;139,$J$11&lt;170)),10,0)))))</f>
        <v>10</v>
      </c>
      <c r="Y15" s="486"/>
      <c r="Z15" s="484"/>
      <c r="AA15" s="88" t="s">
        <v>15</v>
      </c>
      <c r="AB15" s="89" t="str">
        <f>IF(ISNA(MATCH(X15,$V$6:$V$21,0)),"",INDEX($T$6:$T$27,MATCH(X15,$V$6:$V$21,0)))</f>
        <v>B3</v>
      </c>
      <c r="AD15" s="40"/>
      <c r="AE15" s="40"/>
    </row>
    <row r="16" spans="1:38" s="132" customFormat="1" ht="30" customHeight="1" thickBot="1">
      <c r="C16" s="478" t="s">
        <v>72</v>
      </c>
      <c r="D16" s="479"/>
      <c r="E16" s="247" t="s">
        <v>40</v>
      </c>
      <c r="F16" s="248" t="s">
        <v>41</v>
      </c>
      <c r="G16" s="247" t="s">
        <v>42</v>
      </c>
      <c r="H16" s="249" t="s">
        <v>43</v>
      </c>
      <c r="I16" s="40"/>
      <c r="J16" s="40"/>
      <c r="K16" s="40"/>
      <c r="L16" s="40"/>
      <c r="M16" s="40"/>
      <c r="N16" s="40"/>
      <c r="O16" s="40"/>
      <c r="P16" s="40"/>
      <c r="Q16" s="40"/>
      <c r="R16" s="33">
        <v>11</v>
      </c>
      <c r="S16" s="233"/>
      <c r="T16" s="231" t="s">
        <v>95</v>
      </c>
      <c r="V16" s="30">
        <v>11</v>
      </c>
      <c r="W16" s="90"/>
      <c r="X16" s="246">
        <f>IF(OR(AND($J$11&gt;89,$J$11&lt;100)),9,IF(OR(AND($J$11&gt;99,$J$11&lt;110)),10,IF(OR(AND($J$11&gt;109,$J$11&lt;130)),11,IF(OR(AND($J$11&gt;129,$J$11&lt;140)),10,IF(OR(AND($J$11&gt;139,$J$11&lt;170)),11,0)))))</f>
        <v>11</v>
      </c>
      <c r="Y16" s="486"/>
      <c r="Z16" s="483">
        <v>6</v>
      </c>
      <c r="AA16" s="85" t="s">
        <v>52</v>
      </c>
      <c r="AB16" s="86" t="str">
        <f>IF(ISNA(MATCH(X16,$V$6:$V$21,0)),"",INDEX($T$6:$T$27,MATCH(X16,$V$6:$V$21,0)))</f>
        <v>C3</v>
      </c>
      <c r="AC16" s="142"/>
      <c r="AD16" s="142"/>
      <c r="AE16" s="40"/>
      <c r="AF16" s="40"/>
      <c r="AG16" s="40"/>
      <c r="AH16" s="40"/>
      <c r="AI16" s="40"/>
      <c r="AJ16" s="40"/>
      <c r="AK16" s="40"/>
      <c r="AL16" s="40"/>
    </row>
    <row r="17" spans="1:31" ht="30" customHeight="1" thickBot="1">
      <c r="E17" s="250"/>
      <c r="F17" s="251"/>
      <c r="G17" s="251"/>
      <c r="H17" s="252"/>
      <c r="R17" s="34">
        <v>12</v>
      </c>
      <c r="S17" s="233"/>
      <c r="T17" s="283" t="s">
        <v>100</v>
      </c>
      <c r="U17" s="87"/>
      <c r="V17" s="30">
        <v>12</v>
      </c>
      <c r="W17" s="90"/>
      <c r="X17" s="253">
        <f>IF(OR(AND($J$11&gt;119,$J$11&lt;130)),12,IF(OR(AND($J$11&gt;149,$J$11&lt;170)),12,0))</f>
        <v>12</v>
      </c>
      <c r="Y17" s="487"/>
      <c r="Z17" s="484"/>
      <c r="AA17" s="288" t="str">
        <f>IF(AB17="Office"," ","D")</f>
        <v>D</v>
      </c>
      <c r="AB17" s="89" t="str">
        <f>IF(ISNA(MATCH(X17,$V$6:$V$21,0)),"OFFICE",INDEX($T$6:$T$27,MATCH(X17,$V$6:$V$21,0)))</f>
        <v>D3</v>
      </c>
      <c r="AC17" s="142"/>
      <c r="AD17" s="142"/>
      <c r="AE17" s="40"/>
    </row>
    <row r="18" spans="1:31" s="142" customFormat="1" ht="30" customHeight="1" thickBot="1">
      <c r="A18" s="480" t="s">
        <v>66</v>
      </c>
      <c r="B18" s="481"/>
      <c r="C18" s="482"/>
      <c r="D18" s="150">
        <f>SUM(E18+F18+G18+H18)</f>
        <v>16</v>
      </c>
      <c r="E18" s="222" t="str">
        <f>IF(OR(AND(J11&gt;90,J11&lt;100),AND($J$11&gt;59,$J$11&lt;70)),"3",IF(OR(AND(J11&gt;39,J11&lt;50),AND(J11&gt;69,J11&lt;90),AND(J11&gt;100,J11&lt;110),AND(J11&gt;109,J11&lt;170)),"4",IF(OR(AND(J11&gt;0,J11&lt;0),AND(J11&gt;0,J11&lt;0)),5,0)))</f>
        <v>4</v>
      </c>
      <c r="F18" s="151">
        <f>IF(OR(AND(J11&gt;89,J11&lt;91)),0,IF(OR(AND(J11&gt;90,J11&lt;100),AND(J11&gt;100,J11&lt;110),AND(J11&gt;129,J11&lt;140)),3,IF(OR(AND(J11&gt;79,J11&lt;100),AND(J11&gt;109,J11&lt;130),AND(J11&gt;139,J11&lt;170)),4,IF(OR(AND(J11&gt;0,J11&lt;0)),"5","0"))))</f>
        <v>4</v>
      </c>
      <c r="G18" s="152" t="str">
        <f>IF(OR(AND(J11&gt;90,J11&lt;100),AND(J11&gt;100,J11&lt;110),AND(J11&gt;109,J11&lt;120),AND(J11&gt;129,J11&lt;150)),"3",IF(OR(AND(J11&gt;119,J11&lt;130),AND(J11&gt;149,J11&lt;170),AND(J11&gt;0,J11&lt;0)),"4",0))</f>
        <v>4</v>
      </c>
      <c r="H18" s="285" t="str">
        <f>IF(OR(AND(J11&gt;129,J11&lt;160)),"3",IF(OR(AND(J11&gt;159,J11&lt;170)),"4","0"))</f>
        <v>4</v>
      </c>
      <c r="I18" s="40"/>
      <c r="J18" s="40"/>
      <c r="K18" s="40"/>
      <c r="L18" s="40"/>
      <c r="M18" s="40"/>
      <c r="N18" s="40"/>
      <c r="O18" s="40"/>
      <c r="P18" s="40"/>
      <c r="Q18" s="40"/>
      <c r="R18" s="33">
        <v>13</v>
      </c>
      <c r="S18" s="233"/>
      <c r="T18" s="231" t="s">
        <v>96</v>
      </c>
      <c r="U18" s="91"/>
      <c r="V18" s="30">
        <v>13</v>
      </c>
      <c r="W18" s="90"/>
      <c r="X18" s="254">
        <f>IF(OR(AND($J$11&gt;129,$J$11&lt;140)),11,IF(OR(AND($J$11&gt;139,$J$11&lt;150)),12,IF(OR(AND($J$11&gt;149,$J$11&lt;170)),13,0)))</f>
        <v>13</v>
      </c>
      <c r="Y18" s="485" t="s">
        <v>18</v>
      </c>
      <c r="Z18" s="483">
        <v>7</v>
      </c>
      <c r="AA18" s="85" t="s">
        <v>14</v>
      </c>
      <c r="AB18" s="86" t="str">
        <f>IF(ISNA(MATCH(X18,$V$6:$V$21,0)),"",INDEX($T$6:$T$27,MATCH(X18,$V$6:$V$21,0)))</f>
        <v>A4</v>
      </c>
      <c r="AC18" s="40"/>
      <c r="AD18" s="40"/>
    </row>
    <row r="19" spans="1:31" s="142" customFormat="1" ht="30" customHeight="1" thickBot="1">
      <c r="A19" s="480" t="s">
        <v>81</v>
      </c>
      <c r="B19" s="481"/>
      <c r="C19" s="482"/>
      <c r="D19" s="153">
        <f>SUM(E19+F19+G19+H19)</f>
        <v>8</v>
      </c>
      <c r="E19" s="298" t="str">
        <f>IF(OR(AND(J11&gt;61,J11&lt;70),AND(J11&gt;69,J11&lt;85),AND(J11&gt;0,J11&lt;0),AND(J11&gt;90,J11&lt;97),AND(J11&gt;100,J11&lt;107),AND(J11&gt;115,J11&lt;116),AND(J11&gt;123,J11&lt;124),AND(J11&gt;130,J11&lt;139),AND(J11&gt;140,J11&lt;149),AND(J11&gt;150,J11&lt;159),AND(J11&gt;160,J11&lt;169)),"2",IF(OR(AND(J11&gt;72,J11&lt;74),AND(J11&gt;74,J11&lt;76),AND(J11&gt;84,J11&lt;87),AND(J11&gt;102,J11&lt;104),AND(J11&gt;106,J11&lt;108),AND(J11&gt;110,J11&lt;116),AND(J11&gt;115,J11&lt;119),AND(J11&gt;120,J11&lt;129),AND(J11&gt;168,J11&lt;170)),"3","0"))</f>
        <v>2</v>
      </c>
      <c r="F19" s="299" t="str">
        <f>IF(OR(AND(J11&gt;61,J11&lt;70),AND(J11&gt;69,J11&lt;75),AND(J11&gt;80,J11&lt;85),AND(J11&gt;83,J11&lt;85),AND(J11&gt;90,J11&lt;97),AND(J11&gt;100,J11&lt;108),AND(J11&gt;115,J11&lt;116),AND(J11&gt;123,J11&lt;124),AND(J11&gt;130,J11&lt;139),AND(J11&gt;140,J11&lt;149),AND(J11&gt;150,J11&lt;159),AND(J11&gt;160,J11&lt;170)),"2",IF(OR(AND(J11&gt;72,J11&lt;74),AND(J11&gt;74,J11&lt;76),AND(J11&gt;84,J11&lt;87),AND(J11&gt;0,J11&lt;0),AND(J11&gt;110,J11&lt;116),AND(J11&gt;102,J11&lt;104),AND(J11&gt;115,J11&lt;119),AND(J11&gt;120,J11&lt;129)),"3","0"))</f>
        <v>2</v>
      </c>
      <c r="G19" s="154" t="str">
        <f>IF(OR(AND(J11&gt;90,J11&lt;96),AND(J11&gt;95,J11&lt;97),AND(J11&gt;100,J11&lt;108),AND(J11&gt;110,J11&lt;119),AND(J11&gt;120,J11&lt;129),AND(J11&gt;130,J11&lt;139),AND(J11&gt;140,J11&lt;149),AND(J11&gt;150,J11&lt;159),AND(J11&gt;160,J11&lt;170)),"2",IF(OR(AND(J11&gt;124,J11&lt;129),AND(J11&gt;288,J11&lt;290)),"3","0"))</f>
        <v>2</v>
      </c>
      <c r="H19" s="196" t="str">
        <f>IF(OR(AND(J11&gt;130,J11&lt;139),AND(J11&gt;140,J11&lt;149),AND(J11&gt;150,J11&lt;159),AND(J11&gt;160,J11&lt;170)),"2","0")</f>
        <v>2</v>
      </c>
      <c r="I19" s="40"/>
      <c r="J19" s="40"/>
      <c r="K19" s="40"/>
      <c r="L19" s="40"/>
      <c r="M19" s="40"/>
      <c r="N19" s="40"/>
      <c r="O19" s="40"/>
      <c r="P19" s="40"/>
      <c r="Q19" s="40"/>
      <c r="R19" s="34">
        <v>14</v>
      </c>
      <c r="S19" s="234"/>
      <c r="T19" s="231" t="s">
        <v>97</v>
      </c>
      <c r="U19" s="92"/>
      <c r="V19" s="30">
        <v>14</v>
      </c>
      <c r="W19" s="90"/>
      <c r="X19" s="246">
        <f>IF(OR(AND($J$11&gt;129,$J$11&lt;140)),12,IF(OR(AND($J$11&gt;139,$J$11&lt;150)),13,IF(OR(AND($J$11&gt;149,$J$11&lt;170)),14,0)))</f>
        <v>14</v>
      </c>
      <c r="Y19" s="486"/>
      <c r="Z19" s="484"/>
      <c r="AA19" s="88" t="s">
        <v>15</v>
      </c>
      <c r="AB19" s="89" t="str">
        <f>IF(ISNA(MATCH(X19,$V$6:$V$21,0)),"",INDEX($T$6:$T$27,MATCH(X19,$V$6:$V$21,0)))</f>
        <v>B4</v>
      </c>
      <c r="AC19" s="40"/>
      <c r="AD19" s="40"/>
    </row>
    <row r="20" spans="1:31" ht="30" customHeight="1">
      <c r="A20" s="44"/>
      <c r="B20" s="44"/>
      <c r="C20" s="257"/>
      <c r="D20" s="258"/>
      <c r="E20" s="149"/>
      <c r="F20" s="36"/>
      <c r="G20" s="36"/>
      <c r="H20" s="259"/>
      <c r="I20" s="146"/>
      <c r="J20" s="146"/>
      <c r="K20" s="146"/>
      <c r="L20" s="146"/>
      <c r="M20" s="146"/>
      <c r="N20" s="146"/>
      <c r="O20" s="146"/>
      <c r="P20" s="146"/>
      <c r="R20" s="33">
        <v>15</v>
      </c>
      <c r="S20" s="233"/>
      <c r="T20" s="238" t="s">
        <v>98</v>
      </c>
      <c r="U20" s="91"/>
      <c r="V20" s="30">
        <v>15</v>
      </c>
      <c r="W20" s="90"/>
      <c r="X20" s="246">
        <f>IF(OR(AND($J$11&gt;129,$J$11&lt;140)),13,IF(OR(AND($J$11&gt;139,$J$11&lt;150)),14,IF(OR(AND($J$11&gt;149,$J$11&lt;170)),15,0)))</f>
        <v>15</v>
      </c>
      <c r="Y20" s="486"/>
      <c r="Z20" s="483">
        <v>8</v>
      </c>
      <c r="AA20" s="85" t="str">
        <f>IF(AO29=2,"","C")</f>
        <v>C</v>
      </c>
      <c r="AB20" s="86" t="str">
        <f>IF(ISNA(MATCH(X20,$V$6:$V$21,0)),"",INDEX($T$6:$T$27,MATCH(X20,$V$6:$V$21,0)))</f>
        <v>C4</v>
      </c>
      <c r="AD20" s="40"/>
      <c r="AE20" s="40"/>
    </row>
    <row r="21" spans="1:31" ht="30" customHeight="1" thickBot="1">
      <c r="A21" s="36"/>
      <c r="B21" s="488" t="s">
        <v>82</v>
      </c>
      <c r="C21" s="488"/>
      <c r="D21" s="488"/>
      <c r="E21" s="36"/>
      <c r="F21" s="36"/>
      <c r="G21" s="36"/>
      <c r="H21" s="36"/>
      <c r="J21" s="132"/>
      <c r="R21" s="163">
        <v>16</v>
      </c>
      <c r="S21" s="235"/>
      <c r="T21" s="284" t="s">
        <v>101</v>
      </c>
      <c r="U21" s="164"/>
      <c r="V21" s="191">
        <v>16</v>
      </c>
      <c r="W21" s="90"/>
      <c r="X21" s="255">
        <f>IF(OR(AND($J$11&gt;159)),16,0)</f>
        <v>16</v>
      </c>
      <c r="Y21" s="487"/>
      <c r="Z21" s="484"/>
      <c r="AA21" s="88" t="str">
        <f>IF(AB21="Office"," ","D")</f>
        <v>D</v>
      </c>
      <c r="AB21" s="89" t="str">
        <f>IF(ISNA(MATCH(X21,$V$6:$V$21,0)),"OFFICE",INDEX($T$6:$T$27,MATCH(X21,$V$6:$V$21,0)))</f>
        <v>D4</v>
      </c>
      <c r="AD21" s="40"/>
      <c r="AE21" s="40"/>
    </row>
    <row r="22" spans="1:31" ht="24.95" customHeight="1">
      <c r="T22" s="58"/>
      <c r="AB22" s="40"/>
      <c r="AD22" s="40"/>
      <c r="AE22" s="40"/>
    </row>
    <row r="23" spans="1:31" ht="24.95" customHeight="1">
      <c r="A23" s="198" t="s">
        <v>126</v>
      </c>
      <c r="B23" s="198"/>
      <c r="C23" s="198"/>
      <c r="D23" s="198"/>
      <c r="E23" s="198"/>
      <c r="AB23" s="40"/>
      <c r="AD23" s="40"/>
      <c r="AE23" s="40"/>
    </row>
    <row r="24" spans="1:31" customFormat="1" ht="24.95" customHeight="1"/>
    <row r="25" spans="1:31" ht="24.95" customHeight="1">
      <c r="A25" s="198" t="s">
        <v>120</v>
      </c>
      <c r="B25" s="198"/>
      <c r="C25" s="198"/>
      <c r="D25" s="198"/>
      <c r="E25" s="198"/>
      <c r="AB25" s="40"/>
      <c r="AD25" s="40"/>
      <c r="AE25" s="40"/>
    </row>
    <row r="26" spans="1:31" ht="24.95" customHeight="1">
      <c r="A26" s="198"/>
      <c r="B26" s="198"/>
      <c r="C26" s="198"/>
      <c r="D26" s="198"/>
      <c r="E26" s="198"/>
      <c r="AB26" s="40"/>
      <c r="AD26" s="40"/>
      <c r="AE26" s="40"/>
    </row>
    <row r="27" spans="1:31" ht="24.95" customHeight="1">
      <c r="A27" s="139" t="s">
        <v>121</v>
      </c>
      <c r="AB27" s="40"/>
      <c r="AD27" s="40"/>
      <c r="AE27" s="40"/>
    </row>
    <row r="28" spans="1:31" ht="24.95" customHeight="1">
      <c r="AB28" s="40"/>
      <c r="AD28" s="40"/>
      <c r="AE28" s="40"/>
    </row>
    <row r="29" spans="1:31" ht="24.95" customHeight="1">
      <c r="AB29" s="40"/>
      <c r="AD29" s="40"/>
      <c r="AE29" s="40"/>
    </row>
    <row r="30" spans="1:31" ht="24.95" customHeight="1">
      <c r="AB30" s="40"/>
      <c r="AD30" s="40"/>
      <c r="AE30" s="40"/>
    </row>
    <row r="31" spans="1:31" ht="24.95" customHeight="1">
      <c r="AB31" s="40"/>
      <c r="AD31" s="40"/>
      <c r="AE31" s="40"/>
    </row>
    <row r="32" spans="1:31" ht="24.95" customHeight="1">
      <c r="AB32" s="40"/>
      <c r="AD32" s="40"/>
      <c r="AE32" s="40"/>
    </row>
    <row r="33" spans="28:31" ht="24.95" customHeight="1">
      <c r="AB33" s="40"/>
      <c r="AD33" s="40"/>
      <c r="AE33" s="40"/>
    </row>
    <row r="34" spans="28:31" ht="24.95" customHeight="1">
      <c r="AB34" s="40"/>
      <c r="AD34" s="40"/>
      <c r="AE34" s="40"/>
    </row>
    <row r="35" spans="28:31" ht="24.95" customHeight="1">
      <c r="AB35" s="40"/>
      <c r="AD35" s="40"/>
      <c r="AE35" s="40"/>
    </row>
    <row r="36" spans="28:31" ht="24.95" customHeight="1">
      <c r="AB36" s="40"/>
      <c r="AD36" s="40"/>
      <c r="AE36" s="40"/>
    </row>
    <row r="37" spans="28:31" ht="24.95" customHeight="1">
      <c r="AB37" s="40"/>
      <c r="AD37" s="40"/>
      <c r="AE37" s="40"/>
    </row>
    <row r="38" spans="28:31" ht="24.95" customHeight="1">
      <c r="AB38" s="40"/>
      <c r="AD38" s="40"/>
      <c r="AE38" s="40"/>
    </row>
    <row r="39" spans="28:31" ht="24.95" customHeight="1">
      <c r="AB39" s="40"/>
      <c r="AD39" s="40"/>
      <c r="AE39" s="40"/>
    </row>
    <row r="40" spans="28:31" ht="24.95" customHeight="1">
      <c r="AB40" s="40"/>
      <c r="AD40" s="40"/>
      <c r="AE40" s="40"/>
    </row>
    <row r="41" spans="28:31" ht="24.95" customHeight="1">
      <c r="AB41" s="40"/>
      <c r="AD41" s="40"/>
      <c r="AE41" s="40"/>
    </row>
    <row r="42" spans="28:31" ht="24.95" customHeight="1">
      <c r="AB42" s="40"/>
      <c r="AD42" s="40"/>
      <c r="AE42" s="40"/>
    </row>
    <row r="43" spans="28:31" ht="24.95" customHeight="1">
      <c r="AB43" s="40"/>
      <c r="AD43" s="40"/>
      <c r="AE43" s="40"/>
    </row>
    <row r="44" spans="28:31" ht="24.95" customHeight="1">
      <c r="AB44" s="40"/>
      <c r="AD44" s="40"/>
      <c r="AE44" s="40"/>
    </row>
    <row r="45" spans="28:31" ht="24.95" customHeight="1">
      <c r="AB45" s="40"/>
      <c r="AD45" s="40"/>
      <c r="AE45" s="40"/>
    </row>
    <row r="46" spans="28:31" ht="24.95" customHeight="1">
      <c r="AB46" s="40"/>
      <c r="AD46" s="40"/>
      <c r="AE46" s="40"/>
    </row>
    <row r="47" spans="28:31" ht="24.95" customHeight="1">
      <c r="AB47" s="40"/>
      <c r="AD47" s="40"/>
      <c r="AE47" s="40"/>
    </row>
    <row r="48" spans="28:31" ht="24.95" customHeight="1">
      <c r="AB48" s="40"/>
      <c r="AD48" s="40"/>
      <c r="AE48" s="40"/>
    </row>
    <row r="49" spans="4:34" ht="24.95" customHeight="1">
      <c r="AB49" s="40"/>
      <c r="AD49" s="40"/>
      <c r="AE49" s="40"/>
    </row>
    <row r="50" spans="4:34" ht="24.95" customHeight="1">
      <c r="AB50" s="40"/>
      <c r="AD50" s="40"/>
      <c r="AE50" s="40"/>
    </row>
    <row r="51" spans="4:34" ht="24.95" customHeight="1">
      <c r="AB51" s="40"/>
      <c r="AD51" s="40"/>
      <c r="AE51" s="40"/>
    </row>
    <row r="52" spans="4:34" ht="24.95" customHeight="1">
      <c r="AB52" s="40"/>
      <c r="AD52" s="40"/>
      <c r="AE52" s="40"/>
    </row>
    <row r="53" spans="4:34" ht="24.95" customHeight="1">
      <c r="AB53" s="40"/>
      <c r="AD53" s="40"/>
      <c r="AE53" s="40"/>
    </row>
    <row r="54" spans="4:34" ht="24.95" customHeight="1">
      <c r="AB54" s="40"/>
      <c r="AD54" s="40"/>
      <c r="AE54" s="40"/>
    </row>
    <row r="55" spans="4:34" ht="24.95" customHeight="1">
      <c r="AB55" s="40"/>
      <c r="AD55" s="40"/>
      <c r="AE55" s="40"/>
    </row>
    <row r="56" spans="4:34" ht="24.95" customHeight="1">
      <c r="AB56" s="40"/>
      <c r="AD56" s="40"/>
      <c r="AE56" s="40"/>
    </row>
    <row r="57" spans="4:34" ht="24.95" customHeight="1">
      <c r="AB57" s="40"/>
      <c r="AD57" s="40"/>
      <c r="AE57" s="40"/>
    </row>
    <row r="58" spans="4:34" ht="24.95" customHeight="1">
      <c r="AB58" s="40"/>
      <c r="AD58" s="40"/>
      <c r="AE58" s="40"/>
    </row>
    <row r="59" spans="4:34" ht="24.95" customHeight="1">
      <c r="D59" s="147"/>
      <c r="AB59" s="40"/>
      <c r="AD59" s="40"/>
      <c r="AE59" s="40"/>
    </row>
    <row r="60" spans="4:34" ht="24.95" customHeight="1">
      <c r="AB60" s="40"/>
      <c r="AD60" s="40"/>
      <c r="AE60" s="40"/>
    </row>
    <row r="61" spans="4:34" ht="24.95" customHeight="1">
      <c r="AB61" s="40"/>
      <c r="AD61" s="40"/>
      <c r="AE61" s="40"/>
    </row>
    <row r="62" spans="4:34" ht="24.95" customHeight="1">
      <c r="AB62" s="40"/>
      <c r="AD62" s="40"/>
      <c r="AE62" s="40"/>
      <c r="AG62" s="147"/>
      <c r="AH62" s="147"/>
    </row>
    <row r="63" spans="4:34" ht="24.95" customHeight="1">
      <c r="AB63" s="40"/>
      <c r="AD63" s="40"/>
      <c r="AE63" s="40"/>
    </row>
    <row r="64" spans="4:34" ht="24.95" customHeight="1">
      <c r="AB64" s="40"/>
      <c r="AD64" s="40"/>
      <c r="AE64" s="40"/>
    </row>
    <row r="65" spans="1:39" ht="24.95" customHeight="1">
      <c r="A65" s="148"/>
      <c r="B65" s="147"/>
      <c r="C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U65" s="147"/>
      <c r="AB65" s="40"/>
      <c r="AD65" s="40"/>
      <c r="AE65" s="40"/>
      <c r="AI65" s="147"/>
      <c r="AJ65" s="147"/>
      <c r="AK65" s="147"/>
      <c r="AL65" s="147"/>
      <c r="AM65" s="147"/>
    </row>
    <row r="66" spans="1:39" ht="24.95" customHeight="1">
      <c r="AB66" s="40"/>
      <c r="AD66" s="40"/>
      <c r="AE66" s="40"/>
    </row>
    <row r="67" spans="1:39" ht="24.95" customHeight="1">
      <c r="AB67" s="40"/>
      <c r="AD67" s="40"/>
      <c r="AE67" s="40"/>
    </row>
    <row r="68" spans="1:39" ht="24.95" customHeight="1">
      <c r="AB68" s="40"/>
      <c r="AD68" s="40"/>
      <c r="AE68" s="40"/>
    </row>
    <row r="69" spans="1:39" ht="24.95" customHeight="1">
      <c r="AB69" s="40"/>
      <c r="AD69" s="40"/>
      <c r="AE69" s="40"/>
    </row>
    <row r="70" spans="1:39" ht="24.95" customHeight="1">
      <c r="AB70" s="40"/>
      <c r="AD70" s="40"/>
      <c r="AE70" s="40"/>
    </row>
    <row r="71" spans="1:39" ht="24.95" customHeight="1">
      <c r="T71" s="147"/>
      <c r="AB71" s="40"/>
      <c r="AD71" s="40"/>
      <c r="AE71" s="40"/>
    </row>
    <row r="72" spans="1:39" ht="24.95" customHeight="1">
      <c r="AB72" s="40"/>
      <c r="AD72" s="40"/>
      <c r="AE72" s="40"/>
    </row>
    <row r="73" spans="1:39" ht="24.95" customHeight="1">
      <c r="AB73" s="40"/>
      <c r="AD73" s="40"/>
      <c r="AE73" s="40"/>
    </row>
    <row r="74" spans="1:39" ht="24.95" customHeight="1">
      <c r="AB74" s="40"/>
      <c r="AD74" s="40"/>
      <c r="AE74" s="40"/>
    </row>
    <row r="75" spans="1:39" ht="24.95" customHeight="1">
      <c r="AB75" s="40"/>
      <c r="AD75" s="40"/>
      <c r="AE75" s="40"/>
    </row>
    <row r="76" spans="1:39" ht="24.95" customHeight="1">
      <c r="AB76" s="40"/>
      <c r="AD76" s="40"/>
      <c r="AE76" s="40"/>
    </row>
    <row r="77" spans="1:39" ht="24.95" customHeight="1">
      <c r="AB77" s="40"/>
      <c r="AD77" s="40"/>
      <c r="AE77" s="40"/>
    </row>
    <row r="78" spans="1:39" ht="24.95" customHeight="1">
      <c r="AB78" s="40"/>
      <c r="AD78" s="40"/>
      <c r="AE78" s="40"/>
    </row>
    <row r="79" spans="1:39" ht="24.95" customHeight="1">
      <c r="AB79" s="40"/>
      <c r="AD79" s="40"/>
      <c r="AE79" s="40"/>
    </row>
    <row r="80" spans="1:39" ht="24.95" customHeight="1">
      <c r="AB80" s="40"/>
      <c r="AD80" s="40"/>
      <c r="AE80" s="40"/>
    </row>
    <row r="81" spans="28:31" ht="24.95" customHeight="1">
      <c r="AB81" s="40"/>
      <c r="AD81" s="40"/>
      <c r="AE81" s="40"/>
    </row>
    <row r="82" spans="28:31" ht="24.95" customHeight="1">
      <c r="AB82" s="40"/>
      <c r="AD82" s="40"/>
      <c r="AE82" s="40"/>
    </row>
    <row r="83" spans="28:31" ht="24.95" customHeight="1">
      <c r="AB83" s="40"/>
      <c r="AD83" s="40"/>
      <c r="AE83" s="40"/>
    </row>
    <row r="84" spans="28:31" ht="24.95" customHeight="1"/>
    <row r="85" spans="28:31" ht="24.95" customHeight="1"/>
  </sheetData>
  <sheetProtection formatCells="0" formatColumns="0" formatRows="0" insertColumns="0" insertRows="0" insertHyperlinks="0" deleteColumns="0" deleteRows="0" sort="0"/>
  <mergeCells count="27">
    <mergeCell ref="G1:S1"/>
    <mergeCell ref="Y10:Y13"/>
    <mergeCell ref="J11:K12"/>
    <mergeCell ref="L9:O9"/>
    <mergeCell ref="J2:N2"/>
    <mergeCell ref="A2:I2"/>
    <mergeCell ref="G4:H4"/>
    <mergeCell ref="J4:N4"/>
    <mergeCell ref="E6:G6"/>
    <mergeCell ref="D4:E4"/>
    <mergeCell ref="A11:G11"/>
    <mergeCell ref="A12:G12"/>
    <mergeCell ref="Z6:Z7"/>
    <mergeCell ref="Z8:Z9"/>
    <mergeCell ref="Y6:Y9"/>
    <mergeCell ref="M11:N12"/>
    <mergeCell ref="O11:P12"/>
    <mergeCell ref="C16:D16"/>
    <mergeCell ref="A18:C18"/>
    <mergeCell ref="A19:C19"/>
    <mergeCell ref="Z20:Z21"/>
    <mergeCell ref="Z16:Z17"/>
    <mergeCell ref="Y18:Y21"/>
    <mergeCell ref="Z18:Z19"/>
    <mergeCell ref="Y14:Y17"/>
    <mergeCell ref="B21:D21"/>
    <mergeCell ref="Z14:Z15"/>
  </mergeCells>
  <conditionalFormatting sqref="X9">
    <cfRule type="cellIs" dxfId="666" priority="13" operator="equal">
      <formula>0</formula>
    </cfRule>
    <cfRule type="cellIs" dxfId="665" priority="256" operator="equal">
      <formula>4</formula>
    </cfRule>
  </conditionalFormatting>
  <conditionalFormatting sqref="X21">
    <cfRule type="cellIs" dxfId="664" priority="6" operator="equal">
      <formula>0</formula>
    </cfRule>
    <cfRule type="cellIs" dxfId="663" priority="29" operator="equal">
      <formula>16</formula>
    </cfRule>
    <cfRule type="cellIs" dxfId="662" priority="97" operator="equal">
      <formula>19</formula>
    </cfRule>
  </conditionalFormatting>
  <conditionalFormatting sqref="X13">
    <cfRule type="cellIs" dxfId="661" priority="11" operator="equal">
      <formula>0</formula>
    </cfRule>
    <cfRule type="cellIs" dxfId="660" priority="12" operator="equal">
      <formula>0</formula>
    </cfRule>
    <cfRule type="cellIs" dxfId="659" priority="102" operator="equal">
      <formula>8</formula>
    </cfRule>
  </conditionalFormatting>
  <conditionalFormatting sqref="X14">
    <cfRule type="cellIs" dxfId="658" priority="25" operator="equal">
      <formula>8</formula>
    </cfRule>
    <cfRule type="cellIs" dxfId="657" priority="28" operator="equal">
      <formula>7</formula>
    </cfRule>
    <cfRule type="cellIs" dxfId="656" priority="101" operator="equal">
      <formula>9</formula>
    </cfRule>
  </conditionalFormatting>
  <conditionalFormatting sqref="X15">
    <cfRule type="cellIs" dxfId="655" priority="24" operator="equal">
      <formula>9</formula>
    </cfRule>
    <cfRule type="cellIs" dxfId="654" priority="27" operator="equal">
      <formula>8</formula>
    </cfRule>
    <cfRule type="cellIs" dxfId="653" priority="100" operator="equal">
      <formula>10</formula>
    </cfRule>
  </conditionalFormatting>
  <conditionalFormatting sqref="X16">
    <cfRule type="cellIs" dxfId="652" priority="23" operator="equal">
      <formula>10</formula>
    </cfRule>
    <cfRule type="cellIs" dxfId="651" priority="26" operator="equal">
      <formula>9</formula>
    </cfRule>
    <cfRule type="cellIs" dxfId="650" priority="99" operator="equal">
      <formula>11</formula>
    </cfRule>
  </conditionalFormatting>
  <conditionalFormatting sqref="X17">
    <cfRule type="cellIs" dxfId="649" priority="7" operator="equal">
      <formula>0</formula>
    </cfRule>
    <cfRule type="cellIs" dxfId="648" priority="98" operator="equal">
      <formula>12</formula>
    </cfRule>
  </conditionalFormatting>
  <conditionalFormatting sqref="X18">
    <cfRule type="cellIs" dxfId="647" priority="20" operator="equal">
      <formula>11</formula>
    </cfRule>
    <cfRule type="cellIs" dxfId="646" priority="22" operator="equal">
      <formula>12</formula>
    </cfRule>
    <cfRule type="cellIs" dxfId="645" priority="32" operator="equal">
      <formula>13</formula>
    </cfRule>
  </conditionalFormatting>
  <conditionalFormatting sqref="X19">
    <cfRule type="cellIs" dxfId="644" priority="19" operator="equal">
      <formula>12</formula>
    </cfRule>
    <cfRule type="cellIs" dxfId="643" priority="21" operator="equal">
      <formula>13</formula>
    </cfRule>
    <cfRule type="cellIs" dxfId="642" priority="31" operator="equal">
      <formula>14</formula>
    </cfRule>
  </conditionalFormatting>
  <conditionalFormatting sqref="X20">
    <cfRule type="cellIs" dxfId="641" priority="17" operator="equal">
      <formula>14</formula>
    </cfRule>
    <cfRule type="cellIs" dxfId="640" priority="18" operator="equal">
      <formula>13</formula>
    </cfRule>
    <cfRule type="cellIs" dxfId="639" priority="30" operator="equal">
      <formula>15</formula>
    </cfRule>
  </conditionalFormatting>
  <conditionalFormatting sqref="X10">
    <cfRule type="cellIs" dxfId="638" priority="10" operator="equal">
      <formula>4</formula>
    </cfRule>
    <cfRule type="cellIs" dxfId="637" priority="16" operator="equal">
      <formula>5</formula>
    </cfRule>
  </conditionalFormatting>
  <conditionalFormatting sqref="X11">
    <cfRule type="cellIs" dxfId="636" priority="9" operator="equal">
      <formula>5</formula>
    </cfRule>
    <cfRule type="cellIs" dxfId="635" priority="15" operator="equal">
      <formula>6</formula>
    </cfRule>
  </conditionalFormatting>
  <conditionalFormatting sqref="X12">
    <cfRule type="cellIs" dxfId="634" priority="8" operator="equal">
      <formula>6</formula>
    </cfRule>
    <cfRule type="cellIs" dxfId="633" priority="14" operator="equal">
      <formula>7</formula>
    </cfRule>
  </conditionalFormatting>
  <conditionalFormatting sqref="AB13 AB21 AB9">
    <cfRule type="containsText" dxfId="632" priority="5" operator="containsText" text="OFFICE">
      <formula>NOT(ISERROR(SEARCH("OFFICE",AB9)))</formula>
    </cfRule>
  </conditionalFormatting>
  <conditionalFormatting sqref="AB17">
    <cfRule type="cellIs" dxfId="631" priority="4" operator="equal">
      <formula>"OFFICE"</formula>
    </cfRule>
  </conditionalFormatting>
  <conditionalFormatting sqref="AA6:AA21">
    <cfRule type="containsText" dxfId="630" priority="1" operator="containsText" text="D">
      <formula>NOT(ISERROR(SEARCH("D",AA6)))</formula>
    </cfRule>
  </conditionalFormatting>
  <pageMargins left="0.19685039370078741" right="0.23622047244094491" top="0.23622047244094491" bottom="0.49" header="0.11811023622047245" footer="0.23622047244094491"/>
  <pageSetup paperSize="9" orientation="landscape" horizontalDpi="4294967292" verticalDpi="0" r:id="rId1"/>
  <headerFooter>
    <oddFooter>&amp;F&amp;RPage 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0">
    <tabColor rgb="FF66FF33"/>
    <pageSetUpPr fitToPage="1"/>
  </sheetPr>
  <dimension ref="A1:AR39"/>
  <sheetViews>
    <sheetView zoomScale="70" zoomScaleNormal="70" workbookViewId="0">
      <selection activeCell="AB3" sqref="AB3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6" customWidth="1"/>
    <col min="21" max="21" width="7" customWidth="1"/>
    <col min="22" max="22" width="5.140625" customWidth="1"/>
    <col min="23" max="23" width="4.85546875" customWidth="1"/>
    <col min="24" max="24" width="9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8.570312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2" max="42" width="8" customWidth="1"/>
    <col min="43" max="43" width="6.28515625" customWidth="1"/>
    <col min="44" max="44" width="5.140625" customWidth="1"/>
  </cols>
  <sheetData>
    <row r="1" spans="1:44" ht="21.75" thickBot="1">
      <c r="A1" s="1"/>
      <c r="B1" s="747" t="s">
        <v>54</v>
      </c>
      <c r="C1" s="736"/>
      <c r="D1" s="736"/>
      <c r="E1" s="736" t="str">
        <f>Rens.!J2</f>
        <v>ST PERAY</v>
      </c>
      <c r="F1" s="736"/>
      <c r="G1" s="736"/>
      <c r="H1" s="9">
        <f ca="1">Rens.!$D$4</f>
        <v>2020</v>
      </c>
      <c r="I1" s="736" t="str">
        <f>Rens.!$J$4</f>
        <v xml:space="preserve"> Quadrettes</v>
      </c>
      <c r="J1" s="736"/>
      <c r="K1" s="736"/>
      <c r="L1" s="736"/>
      <c r="M1" s="10" t="str">
        <f>Rens.!$E$6</f>
        <v>4 Div.</v>
      </c>
      <c r="N1" s="747" t="s">
        <v>25</v>
      </c>
      <c r="O1" s="736"/>
      <c r="P1" s="736"/>
      <c r="Q1" s="736"/>
      <c r="R1" s="736"/>
      <c r="S1" s="754"/>
      <c r="T1" s="11">
        <f>Rens.!$A$9</f>
        <v>0</v>
      </c>
      <c r="W1" s="1"/>
      <c r="X1" s="747" t="s">
        <v>54</v>
      </c>
      <c r="Y1" s="736"/>
      <c r="Z1" s="736"/>
      <c r="AA1" s="736" t="str">
        <f>Rens.!J2</f>
        <v>ST PERAY</v>
      </c>
      <c r="AB1" s="736"/>
      <c r="AC1" s="736"/>
      <c r="AD1" s="9">
        <f ca="1">Rens.!$D$4</f>
        <v>2020</v>
      </c>
      <c r="AE1" s="736" t="str">
        <f>Rens.!$J$4</f>
        <v xml:space="preserve"> Quadrettes</v>
      </c>
      <c r="AF1" s="736"/>
      <c r="AG1" s="736"/>
      <c r="AH1" s="736"/>
      <c r="AI1" s="10" t="str">
        <f>Rens.!$E$6</f>
        <v>4 Div.</v>
      </c>
      <c r="AJ1" s="747" t="s">
        <v>25</v>
      </c>
      <c r="AK1" s="736"/>
      <c r="AL1" s="736"/>
      <c r="AM1" s="736"/>
      <c r="AN1" s="736"/>
      <c r="AO1" s="754"/>
      <c r="AP1" s="35">
        <f>Rens.!$A$9</f>
        <v>0</v>
      </c>
      <c r="AQ1" s="8"/>
    </row>
    <row r="2" spans="1:44" ht="19.5" customHeight="1" thickBot="1">
      <c r="A2" s="1"/>
      <c r="B2" s="747" t="s">
        <v>38</v>
      </c>
      <c r="C2" s="736"/>
      <c r="D2" s="736"/>
      <c r="E2" s="20" t="e">
        <f>Rens.!#REF!</f>
        <v>#REF!</v>
      </c>
      <c r="F2" s="736" t="s">
        <v>19</v>
      </c>
      <c r="G2" s="736"/>
      <c r="H2" s="7" t="e">
        <f>Rens.!#REF!</f>
        <v>#REF!</v>
      </c>
      <c r="I2" s="736" t="s">
        <v>20</v>
      </c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54"/>
      <c r="W2" s="1"/>
      <c r="X2" s="747" t="s">
        <v>39</v>
      </c>
      <c r="Y2" s="736"/>
      <c r="Z2" s="736"/>
      <c r="AA2" s="20" t="e">
        <f>Rens.!#REF!</f>
        <v>#REF!</v>
      </c>
      <c r="AB2" s="736" t="s">
        <v>19</v>
      </c>
      <c r="AC2" s="736"/>
      <c r="AD2" s="12" t="e">
        <f>Rens.!#REF!</f>
        <v>#REF!</v>
      </c>
      <c r="AE2" s="736" t="s">
        <v>20</v>
      </c>
      <c r="AF2" s="736"/>
      <c r="AG2" s="736"/>
      <c r="AH2" s="736"/>
      <c r="AI2" s="736"/>
      <c r="AJ2" s="736"/>
      <c r="AK2" s="736"/>
      <c r="AL2" s="736"/>
      <c r="AM2" s="736"/>
      <c r="AN2" s="736"/>
      <c r="AO2" s="736"/>
      <c r="AP2" s="754"/>
      <c r="AQ2" s="8"/>
    </row>
    <row r="3" spans="1:44" ht="15.75" customHeight="1" thickBot="1">
      <c r="A3" s="36"/>
      <c r="B3" s="43"/>
      <c r="C3" s="44"/>
      <c r="D3" s="44"/>
      <c r="E3" s="44"/>
      <c r="F3" s="76" t="e">
        <f>CONCATENATE(E2,H2)</f>
        <v>#REF!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  <c r="U3" s="44"/>
      <c r="V3" s="44"/>
      <c r="W3" s="36"/>
      <c r="X3" s="43"/>
      <c r="Y3" s="44"/>
      <c r="Z3" s="44"/>
      <c r="AA3" s="37"/>
      <c r="AB3" s="77" t="e">
        <f>CONCATENATE(AA2,AD2)</f>
        <v>#REF!</v>
      </c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/>
      <c r="AQ3" s="38"/>
      <c r="AR3" s="38"/>
    </row>
    <row r="4" spans="1:44" ht="15.75" thickBot="1">
      <c r="A4" s="36"/>
      <c r="B4" s="43"/>
      <c r="C4" s="751" t="s">
        <v>67</v>
      </c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752"/>
      <c r="Q4" s="752"/>
      <c r="R4" s="752"/>
      <c r="S4" s="753"/>
      <c r="T4" s="755"/>
      <c r="U4" s="46"/>
      <c r="V4" s="46"/>
      <c r="W4" s="36"/>
      <c r="X4" s="43"/>
      <c r="Y4" s="751" t="s">
        <v>67</v>
      </c>
      <c r="Z4" s="752"/>
      <c r="AA4" s="752"/>
      <c r="AB4" s="752"/>
      <c r="AC4" s="752"/>
      <c r="AD4" s="752"/>
      <c r="AE4" s="752"/>
      <c r="AF4" s="752"/>
      <c r="AG4" s="752"/>
      <c r="AH4" s="752"/>
      <c r="AI4" s="752"/>
      <c r="AJ4" s="752"/>
      <c r="AK4" s="752"/>
      <c r="AL4" s="752"/>
      <c r="AM4" s="752"/>
      <c r="AN4" s="752"/>
      <c r="AO4" s="753"/>
      <c r="AP4" s="755"/>
      <c r="AQ4" s="38"/>
      <c r="AR4" s="38"/>
    </row>
    <row r="5" spans="1:44">
      <c r="A5" s="36"/>
      <c r="B5" s="43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755"/>
      <c r="U5" s="46"/>
      <c r="V5" s="46"/>
      <c r="W5" s="36"/>
      <c r="X5" s="43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755"/>
      <c r="AQ5" s="38"/>
      <c r="AR5" s="38"/>
    </row>
    <row r="6" spans="1:44" ht="15.75" thickBot="1">
      <c r="A6" s="36"/>
      <c r="B6" s="43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  <c r="S6" s="44"/>
      <c r="T6" s="45"/>
      <c r="U6" s="44"/>
      <c r="V6" s="44"/>
      <c r="W6" s="36"/>
      <c r="X6" s="43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8"/>
      <c r="AO6" s="44"/>
      <c r="AP6" s="45"/>
      <c r="AQ6" s="38"/>
      <c r="AR6" s="38"/>
    </row>
    <row r="7" spans="1:44" ht="15.75" thickBot="1">
      <c r="A7" s="36"/>
      <c r="B7" s="49" t="s">
        <v>6</v>
      </c>
      <c r="C7" s="50" t="s">
        <v>14</v>
      </c>
      <c r="D7" s="37"/>
      <c r="E7" s="47"/>
      <c r="F7" s="47"/>
      <c r="G7" s="44" t="s">
        <v>5</v>
      </c>
      <c r="H7" s="44"/>
      <c r="I7" s="44" t="s">
        <v>6</v>
      </c>
      <c r="J7" s="50" t="e">
        <f>IF(E2=2,"","C")</f>
        <v>#REF!</v>
      </c>
      <c r="K7" s="37"/>
      <c r="L7" s="47"/>
      <c r="M7" s="47"/>
      <c r="N7" s="44" t="s">
        <v>5</v>
      </c>
      <c r="O7" s="44"/>
      <c r="P7" s="44"/>
      <c r="Q7" s="50" t="s">
        <v>45</v>
      </c>
      <c r="R7" s="47"/>
      <c r="S7" s="47" t="s">
        <v>62</v>
      </c>
      <c r="T7" s="51"/>
      <c r="U7" s="47"/>
      <c r="V7" s="47"/>
      <c r="W7" s="36"/>
      <c r="X7" s="49" t="s">
        <v>6</v>
      </c>
      <c r="Y7" s="50" t="s">
        <v>14</v>
      </c>
      <c r="Z7" s="37"/>
      <c r="AA7" s="47"/>
      <c r="AB7" s="47"/>
      <c r="AC7" s="44" t="s">
        <v>5</v>
      </c>
      <c r="AD7" s="44"/>
      <c r="AE7" s="44" t="s">
        <v>6</v>
      </c>
      <c r="AF7" s="50" t="e">
        <f>IF(AA2=2,"","C")</f>
        <v>#REF!</v>
      </c>
      <c r="AG7" s="37"/>
      <c r="AH7" s="47"/>
      <c r="AI7" s="47"/>
      <c r="AJ7" s="44"/>
      <c r="AK7" s="44"/>
      <c r="AL7" s="44"/>
      <c r="AM7" s="50" t="s">
        <v>45</v>
      </c>
      <c r="AN7" s="47"/>
      <c r="AO7" s="47" t="s">
        <v>62</v>
      </c>
      <c r="AP7" s="51"/>
      <c r="AQ7" s="38"/>
      <c r="AR7" s="38"/>
    </row>
    <row r="8" spans="1:44" ht="15.75" thickBot="1">
      <c r="A8" s="52">
        <v>71</v>
      </c>
      <c r="B8" s="662"/>
      <c r="C8" s="664" t="str">
        <f>IF(ISNA(MATCH($A$8,Rens.!$Z$6:$Z$82,0)),"",INDEX(Rens.!$X$6:$X$82,MATCH($A$8,Rens.!$Z$6:$Z$82,0)))</f>
        <v/>
      </c>
      <c r="D8" s="692"/>
      <c r="E8" s="692"/>
      <c r="F8" s="693"/>
      <c r="G8" s="53">
        <v>1</v>
      </c>
      <c r="H8" s="54">
        <v>73</v>
      </c>
      <c r="I8" s="662"/>
      <c r="J8" s="756" t="str">
        <f>IF(ISNA(MATCH($H$8,Rens.!$Z$6:$Z$82,0)),"",INDEX(Rens.!$X$6:$X$82,MATCH($H$8,Rens.!$Z$6:$Z$82,0)))</f>
        <v/>
      </c>
      <c r="K8" s="757"/>
      <c r="L8" s="757"/>
      <c r="M8" s="758"/>
      <c r="N8" s="53">
        <v>1</v>
      </c>
      <c r="O8" s="44"/>
      <c r="P8" s="47">
        <v>75</v>
      </c>
      <c r="Q8" s="759" t="e">
        <f>IF(E2+E3=4,0,IF(E2+E3=3,0,IF(ISNA(MATCH($P$8,Rens.!$Z$6:$Z$82,0)),"",INDEX(Rens.!$X$6:$X$82,MATCH($P$8,Rens.!$Z$6:$Z$82,0)))))</f>
        <v>#REF!</v>
      </c>
      <c r="R8" s="760"/>
      <c r="S8" s="761"/>
      <c r="T8" s="55"/>
      <c r="U8" s="47"/>
      <c r="V8" s="47"/>
      <c r="W8" s="36">
        <v>76</v>
      </c>
      <c r="X8" s="662"/>
      <c r="Y8" s="664" t="str">
        <f>IF(ISNA(MATCH($W$8,Rens.!$Z$6:$Z$82,0)),"",INDEX(Rens.!$X$6:$X$82,MATCH($W$8,Rens.!$Z$6:$Z$82,0)))</f>
        <v/>
      </c>
      <c r="Z8" s="692"/>
      <c r="AA8" s="692"/>
      <c r="AB8" s="693"/>
      <c r="AC8" s="53">
        <v>1</v>
      </c>
      <c r="AD8" s="54">
        <v>78</v>
      </c>
      <c r="AE8" s="662"/>
      <c r="AF8" s="664" t="str">
        <f>IF(ISNA(MATCH($AD$8,Rens.!$Z$6:$Z$82,0)),"",INDEX(Rens.!$X$6:$X$82,MATCH($AD$8,Rens.!$Z$6:$Z$82,0)))</f>
        <v/>
      </c>
      <c r="AG8" s="692"/>
      <c r="AH8" s="692"/>
      <c r="AI8" s="693"/>
      <c r="AJ8" s="53">
        <v>1</v>
      </c>
      <c r="AK8" s="44"/>
      <c r="AL8" s="47">
        <v>80</v>
      </c>
      <c r="AM8" s="759" t="e">
        <f>IF($AA$2+$AA$3=4,0,IF($AA$2+$AA$3=3,0,IF(ISNA(MATCH($AL$8,Rens.!$Z$6:$Z$82,0)),"",INDEX(Rens.!$X$6:$X$82,MATCH($AL$8,Rens.!$Z$6:$Z$82,0)))))</f>
        <v>#REF!</v>
      </c>
      <c r="AN8" s="760"/>
      <c r="AO8" s="761"/>
      <c r="AP8" s="55"/>
      <c r="AQ8" s="38"/>
      <c r="AR8" s="38"/>
    </row>
    <row r="9" spans="1:44" ht="15.75" thickBot="1">
      <c r="A9" s="52">
        <v>72</v>
      </c>
      <c r="B9" s="663"/>
      <c r="C9" s="694" t="str">
        <f>IF(ISNA(MATCH($A$9,Rens.!$Z$6:$Z$82,0)),"",INDEX(Rens.!$X$6:$X$82,MATCH($A$9,Rens.!$Z$6:$Z$82,0)))</f>
        <v/>
      </c>
      <c r="D9" s="695"/>
      <c r="E9" s="695"/>
      <c r="F9" s="696"/>
      <c r="G9" s="81">
        <v>0</v>
      </c>
      <c r="H9" s="54">
        <v>74</v>
      </c>
      <c r="I9" s="663"/>
      <c r="J9" s="697"/>
      <c r="K9" s="695"/>
      <c r="L9" s="695"/>
      <c r="M9" s="696"/>
      <c r="N9" s="53">
        <v>0</v>
      </c>
      <c r="O9" s="44"/>
      <c r="P9" s="47"/>
      <c r="Q9" s="56" t="e">
        <f>IF(ISNA(MATCH($P$8,#REF!,0)),"",INDEX(#REF!,MATCH($P$8,#REF!,0)))</f>
        <v>#REF!</v>
      </c>
      <c r="R9" s="47"/>
      <c r="S9" s="47"/>
      <c r="T9" s="51"/>
      <c r="U9" s="47"/>
      <c r="V9" s="47"/>
      <c r="W9" s="36">
        <v>77</v>
      </c>
      <c r="X9" s="663"/>
      <c r="Y9" s="694" t="str">
        <f>IF(ISNA(MATCH($W$9,Rens.!$Z$6:$Z$82,0)),"",INDEX(Rens.!$X$6:$X$82,MATCH($W$9,Rens.!$Z$6:$Z$82,0)))</f>
        <v/>
      </c>
      <c r="Z9" s="695"/>
      <c r="AA9" s="695"/>
      <c r="AB9" s="696"/>
      <c r="AC9" s="81">
        <v>0</v>
      </c>
      <c r="AD9" s="54">
        <v>79</v>
      </c>
      <c r="AE9" s="663"/>
      <c r="AF9" s="694"/>
      <c r="AG9" s="695"/>
      <c r="AH9" s="695"/>
      <c r="AI9" s="696"/>
      <c r="AJ9" s="53">
        <v>0</v>
      </c>
      <c r="AK9" s="44"/>
      <c r="AL9" s="47"/>
      <c r="AM9" s="56" t="e">
        <f>IF(ISNA(MATCH($AL$8,#REF!,0)),"",INDEX(#REF!,MATCH($AL$8,#REF!,0)))</f>
        <v>#REF!</v>
      </c>
      <c r="AN9" s="47"/>
      <c r="AO9" s="47"/>
      <c r="AP9" s="51"/>
      <c r="AQ9" s="38"/>
      <c r="AR9" s="38"/>
    </row>
    <row r="10" spans="1:44" ht="15.75" thickBot="1">
      <c r="A10" s="36"/>
      <c r="B10" s="43"/>
      <c r="C10" s="93" t="s">
        <v>15</v>
      </c>
      <c r="D10" s="37"/>
      <c r="E10" s="47"/>
      <c r="F10" s="47"/>
      <c r="G10" s="47"/>
      <c r="H10" s="47"/>
      <c r="I10" s="47"/>
      <c r="J10" s="50" t="s">
        <v>44</v>
      </c>
      <c r="K10" s="37"/>
      <c r="L10" s="47"/>
      <c r="M10" s="47"/>
      <c r="N10" s="47"/>
      <c r="O10" s="47"/>
      <c r="P10" s="47"/>
      <c r="Q10" s="47"/>
      <c r="R10" s="47"/>
      <c r="S10" s="47"/>
      <c r="T10" s="51"/>
      <c r="U10" s="47"/>
      <c r="V10" s="47"/>
      <c r="W10" s="36"/>
      <c r="X10" s="43"/>
      <c r="Y10" s="93" t="s">
        <v>15</v>
      </c>
      <c r="Z10" s="37"/>
      <c r="AA10" s="47"/>
      <c r="AB10" s="47"/>
      <c r="AC10" s="47"/>
      <c r="AD10" s="47"/>
      <c r="AE10" s="47"/>
      <c r="AF10" s="50" t="s">
        <v>44</v>
      </c>
      <c r="AG10" s="37"/>
      <c r="AH10" s="47"/>
      <c r="AI10" s="47"/>
      <c r="AJ10" s="47"/>
      <c r="AK10" s="47"/>
      <c r="AL10" s="47"/>
      <c r="AM10" s="47"/>
      <c r="AN10" s="47"/>
      <c r="AO10" s="47"/>
      <c r="AP10" s="51"/>
      <c r="AQ10" s="38"/>
      <c r="AR10" s="38"/>
    </row>
    <row r="11" spans="1:44">
      <c r="A11" s="36"/>
      <c r="B11" s="43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1"/>
      <c r="U11" s="47"/>
      <c r="V11" s="47"/>
      <c r="W11" s="36"/>
      <c r="X11" s="43"/>
      <c r="Y11" s="48"/>
      <c r="Z11" s="48"/>
      <c r="AA11" s="48"/>
      <c r="AB11" s="48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51"/>
      <c r="AQ11" s="38"/>
      <c r="AR11" s="38"/>
    </row>
    <row r="12" spans="1:44">
      <c r="A12" s="36"/>
      <c r="B12" s="43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51"/>
      <c r="U12" s="47"/>
      <c r="V12" s="47"/>
      <c r="W12" s="36"/>
      <c r="X12" s="43"/>
      <c r="Y12" s="48"/>
      <c r="Z12" s="48"/>
      <c r="AA12" s="48"/>
      <c r="AB12" s="48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51"/>
      <c r="AQ12" s="38"/>
      <c r="AR12" s="38"/>
    </row>
    <row r="13" spans="1:44" ht="15.75" thickBot="1">
      <c r="A13" s="36"/>
      <c r="B13" s="49" t="s">
        <v>6</v>
      </c>
      <c r="C13" s="47"/>
      <c r="D13" s="78" t="s">
        <v>61</v>
      </c>
      <c r="E13" s="47"/>
      <c r="F13" s="47"/>
      <c r="G13" s="44" t="s">
        <v>5</v>
      </c>
      <c r="H13" s="44"/>
      <c r="I13" s="47"/>
      <c r="J13" s="47"/>
      <c r="K13" s="47"/>
      <c r="L13" s="47" t="s">
        <v>62</v>
      </c>
      <c r="M13" s="47"/>
      <c r="N13" s="47"/>
      <c r="O13" s="47"/>
      <c r="P13" s="44" t="s">
        <v>6</v>
      </c>
      <c r="Q13" s="47"/>
      <c r="R13" s="78" t="s">
        <v>60</v>
      </c>
      <c r="S13" s="47"/>
      <c r="T13" s="44" t="s">
        <v>5</v>
      </c>
      <c r="U13" s="57"/>
      <c r="V13" s="58"/>
      <c r="W13" s="36"/>
      <c r="X13" s="59" t="s">
        <v>6</v>
      </c>
      <c r="Y13" s="48"/>
      <c r="Z13" s="48" t="s">
        <v>61</v>
      </c>
      <c r="AA13" s="48"/>
      <c r="AB13" s="48"/>
      <c r="AC13" s="44" t="s">
        <v>5</v>
      </c>
      <c r="AD13" s="44"/>
      <c r="AE13" s="47"/>
      <c r="AF13" s="47"/>
      <c r="AG13" s="47"/>
      <c r="AH13" s="47" t="s">
        <v>62</v>
      </c>
      <c r="AI13" s="47"/>
      <c r="AJ13" s="47"/>
      <c r="AK13" s="47"/>
      <c r="AL13" s="44" t="s">
        <v>6</v>
      </c>
      <c r="AM13" s="47"/>
      <c r="AN13" s="47" t="s">
        <v>60</v>
      </c>
      <c r="AO13" s="47"/>
      <c r="AP13" s="45" t="s">
        <v>5</v>
      </c>
      <c r="AQ13" s="58"/>
      <c r="AR13" s="58"/>
    </row>
    <row r="14" spans="1:44" ht="15.75" thickBot="1">
      <c r="A14" s="36"/>
      <c r="B14" s="662"/>
      <c r="C14" s="664" t="str">
        <f>IF($G$8=$G$9,"résultat",IF($G$8&gt;$G$9,$C$9,$C$8))</f>
        <v/>
      </c>
      <c r="D14" s="665"/>
      <c r="E14" s="665"/>
      <c r="F14" s="666"/>
      <c r="G14" s="53">
        <v>1</v>
      </c>
      <c r="H14" s="44"/>
      <c r="I14" s="47"/>
      <c r="J14" s="762" t="b">
        <f>IF(ISTEXT($Q$8),IF(($G$9=$G$8),"résultat",IF(($N$9=$N$8),"résultat",IF(($U$14=2),$C$8,IF(($V$14=2),$C$9,IF(($U$15=2),$J$9,IF(($V$15=2),J8,0)))))))</f>
        <v>0</v>
      </c>
      <c r="K14" s="763"/>
      <c r="L14" s="763"/>
      <c r="M14" s="764"/>
      <c r="N14" s="55"/>
      <c r="O14" s="47"/>
      <c r="P14" s="662"/>
      <c r="Q14" s="765" t="e">
        <f>IF($E$2+$E$3=5,$Q$8,IF($N$8=$N$9,"résultat",IF($N$8&gt;$N$9,$J$8,$J$9)))</f>
        <v>#REF!</v>
      </c>
      <c r="R14" s="766"/>
      <c r="S14" s="767"/>
      <c r="T14" s="61">
        <v>1</v>
      </c>
      <c r="U14" s="62">
        <f>IF(G8&gt;G9,1)+IF(N8&gt;N9,1)</f>
        <v>2</v>
      </c>
      <c r="V14" s="63">
        <f>IF(G9&gt;G8,1)+IF(N9&gt;N8,1)</f>
        <v>0</v>
      </c>
      <c r="W14" s="36"/>
      <c r="X14" s="662"/>
      <c r="Y14" s="737" t="str">
        <f>IF($AC$8=$AC$9,"résultat",IF($AC$8&gt;$AC$9,$Y$9,$Y$8))</f>
        <v/>
      </c>
      <c r="Z14" s="665"/>
      <c r="AA14" s="665"/>
      <c r="AB14" s="666"/>
      <c r="AC14" s="53">
        <v>1</v>
      </c>
      <c r="AD14" s="44"/>
      <c r="AE14" s="47"/>
      <c r="AF14" s="768" t="b">
        <f>IF(ISTEXT($AM$8),IF(($AC$9=$AC$8),"résultat",IF(($AJ$9=$AJ$8),"résultat",IF(($AQ$14=2),$Y$8,IF(($AR$14=2),$Y$9,IF(($AQ$15=2),$AF$9,IF(($AR$15=2),$AF$8,0)))))))</f>
        <v>0</v>
      </c>
      <c r="AG14" s="763"/>
      <c r="AH14" s="763"/>
      <c r="AI14" s="764"/>
      <c r="AJ14" s="60">
        <v>0</v>
      </c>
      <c r="AK14" s="47"/>
      <c r="AL14" s="662"/>
      <c r="AM14" s="765" t="e">
        <f>IF($AA$2+$AA$3=5,$AM$8,IF($AJ$8&gt;$AJ$9,$AF$8,$AF$9))</f>
        <v>#REF!</v>
      </c>
      <c r="AN14" s="766"/>
      <c r="AO14" s="767"/>
      <c r="AP14" s="53">
        <v>1</v>
      </c>
      <c r="AQ14" s="62">
        <f>IF(AC8&gt;AC9,1)+IF(AJ8&gt;AJ9,1)</f>
        <v>2</v>
      </c>
      <c r="AR14" s="63">
        <f>IF(AC9&gt;AC8,1)+IF(AJ9&gt;AJ8,1)</f>
        <v>0</v>
      </c>
    </row>
    <row r="15" spans="1:44" ht="15.75" thickBot="1">
      <c r="A15" s="36"/>
      <c r="B15" s="663"/>
      <c r="C15" s="656">
        <f>IF($N$8=$N$9,"résultat",IF($N$8&lt;$N$9,$J$8,$J$9))</f>
        <v>0</v>
      </c>
      <c r="D15" s="657"/>
      <c r="E15" s="657"/>
      <c r="F15" s="658"/>
      <c r="G15" s="64">
        <v>0</v>
      </c>
      <c r="H15" s="44"/>
      <c r="I15" s="47"/>
      <c r="J15" s="65">
        <f>IF(ISTEXT(J14)," ",0)</f>
        <v>0</v>
      </c>
      <c r="K15" s="47"/>
      <c r="L15" s="47"/>
      <c r="M15" s="47"/>
      <c r="N15" s="47"/>
      <c r="O15" s="47"/>
      <c r="P15" s="663"/>
      <c r="Q15" s="656" t="b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>0</v>
      </c>
      <c r="R15" s="657"/>
      <c r="S15" s="658"/>
      <c r="T15" s="81">
        <v>0</v>
      </c>
      <c r="U15" s="66">
        <f>IF(G8&gt;G9,1)+IF(N9&gt;N8,1)</f>
        <v>1</v>
      </c>
      <c r="V15" s="67">
        <f>IF(G9&gt;G8,1)+IF(N8&gt;N9,1)</f>
        <v>1</v>
      </c>
      <c r="W15" s="36"/>
      <c r="X15" s="663"/>
      <c r="Y15" s="656">
        <f>IF($AJ$8=$AJ$9,"résultat",IF($AJ$8&lt;$AJ$9,$AF$8,$AF$9))</f>
        <v>0</v>
      </c>
      <c r="Z15" s="657"/>
      <c r="AA15" s="657"/>
      <c r="AB15" s="658"/>
      <c r="AC15" s="53">
        <v>0</v>
      </c>
      <c r="AD15" s="44"/>
      <c r="AE15" s="47"/>
      <c r="AF15" s="47"/>
      <c r="AG15" s="47"/>
      <c r="AH15" s="47"/>
      <c r="AI15" s="47"/>
      <c r="AJ15" s="47"/>
      <c r="AK15" s="47"/>
      <c r="AL15" s="663"/>
      <c r="AM15" s="656" t="b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>0</v>
      </c>
      <c r="AN15" s="657"/>
      <c r="AO15" s="658"/>
      <c r="AP15" s="80">
        <v>0</v>
      </c>
      <c r="AQ15" s="66">
        <f>IF(AC8&gt;AC9,1)+IF(AJ9&gt;AJ8,1)</f>
        <v>1</v>
      </c>
      <c r="AR15" s="67">
        <f>IF(AC9&gt;AC8,1)+IF(AJ8&gt;AJ9,1)</f>
        <v>1</v>
      </c>
    </row>
    <row r="16" spans="1:44">
      <c r="A16" s="36"/>
      <c r="B16" s="43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68"/>
      <c r="Q16" s="47"/>
      <c r="R16" s="47"/>
      <c r="S16" s="47"/>
      <c r="T16" s="51"/>
      <c r="U16" s="47"/>
      <c r="V16" s="47"/>
      <c r="W16" s="36"/>
      <c r="X16" s="43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51"/>
      <c r="AQ16" s="38"/>
      <c r="AR16" s="38"/>
    </row>
    <row r="17" spans="1:44">
      <c r="A17" s="36"/>
      <c r="B17" s="43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51"/>
      <c r="U17" s="47"/>
      <c r="V17" s="47"/>
      <c r="W17" s="36"/>
      <c r="X17" s="43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51"/>
      <c r="AQ17" s="38"/>
      <c r="AR17" s="38"/>
    </row>
    <row r="18" spans="1:44">
      <c r="A18" s="36"/>
      <c r="B18" s="43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0"/>
      <c r="T18" s="51"/>
      <c r="U18" s="47"/>
      <c r="V18" s="47"/>
      <c r="W18" s="36"/>
      <c r="X18" s="43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51"/>
      <c r="AQ18" s="38"/>
      <c r="AR18" s="38"/>
    </row>
    <row r="19" spans="1:44" ht="15.75" thickBot="1">
      <c r="A19" s="36"/>
      <c r="B19" s="43"/>
      <c r="C19" s="47"/>
      <c r="D19" s="47"/>
      <c r="E19" s="44" t="s">
        <v>6</v>
      </c>
      <c r="F19" s="47"/>
      <c r="G19" s="47"/>
      <c r="H19" s="47"/>
      <c r="I19" s="47"/>
      <c r="J19" s="44" t="s">
        <v>5</v>
      </c>
      <c r="K19" s="44"/>
      <c r="L19" s="44" t="s">
        <v>6</v>
      </c>
      <c r="M19" s="47"/>
      <c r="N19" s="47"/>
      <c r="O19" s="47"/>
      <c r="P19" s="47"/>
      <c r="Q19" s="44" t="s">
        <v>5</v>
      </c>
      <c r="R19" s="47"/>
      <c r="S19" s="47"/>
      <c r="T19" s="51"/>
      <c r="U19" s="69"/>
      <c r="V19" s="47"/>
      <c r="W19" s="36"/>
      <c r="X19" s="43"/>
      <c r="Y19" s="47"/>
      <c r="Z19" s="47"/>
      <c r="AA19" s="44" t="s">
        <v>6</v>
      </c>
      <c r="AB19" s="47"/>
      <c r="AC19" s="47"/>
      <c r="AD19" s="47"/>
      <c r="AE19" s="47"/>
      <c r="AF19" s="44" t="s">
        <v>5</v>
      </c>
      <c r="AG19" s="44"/>
      <c r="AH19" s="44" t="s">
        <v>6</v>
      </c>
      <c r="AI19" s="47"/>
      <c r="AJ19" s="47"/>
      <c r="AK19" s="47"/>
      <c r="AL19" s="47"/>
      <c r="AM19" s="44" t="s">
        <v>5</v>
      </c>
      <c r="AN19" s="47"/>
      <c r="AO19" s="47"/>
      <c r="AP19" s="51"/>
      <c r="AQ19" s="38"/>
      <c r="AR19" s="38"/>
    </row>
    <row r="20" spans="1:44" ht="15.75" thickBot="1">
      <c r="A20" s="36"/>
      <c r="B20" s="43"/>
      <c r="C20" s="47"/>
      <c r="D20" s="47"/>
      <c r="E20" s="662"/>
      <c r="F20" s="694" t="e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#REF!</v>
      </c>
      <c r="G20" s="698"/>
      <c r="H20" s="698"/>
      <c r="I20" s="699"/>
      <c r="J20" s="53">
        <v>1</v>
      </c>
      <c r="K20" s="44"/>
      <c r="L20" s="662" t="s">
        <v>16</v>
      </c>
      <c r="M20" s="748" t="e">
        <f>IF($E$2+$E$3=5,$J$14)</f>
        <v>#REF!</v>
      </c>
      <c r="N20" s="749"/>
      <c r="O20" s="749"/>
      <c r="P20" s="750"/>
      <c r="Q20" s="53">
        <v>1</v>
      </c>
      <c r="R20" s="47"/>
      <c r="S20" s="47"/>
      <c r="T20" s="51"/>
      <c r="U20" s="47"/>
      <c r="V20" s="47"/>
      <c r="W20" s="36"/>
      <c r="X20" s="43"/>
      <c r="Y20" s="47"/>
      <c r="Z20" s="47"/>
      <c r="AA20" s="662"/>
      <c r="AB20" s="694" t="e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#REF!</v>
      </c>
      <c r="AC20" s="698"/>
      <c r="AD20" s="698"/>
      <c r="AE20" s="699"/>
      <c r="AF20" s="53">
        <v>0</v>
      </c>
      <c r="AG20" s="44"/>
      <c r="AH20" s="662" t="s">
        <v>16</v>
      </c>
      <c r="AI20" s="748" t="e">
        <f>IF($AA$2+$AA$3=5,$AF$14)</f>
        <v>#REF!</v>
      </c>
      <c r="AJ20" s="749"/>
      <c r="AK20" s="749"/>
      <c r="AL20" s="750"/>
      <c r="AM20" s="53">
        <v>0</v>
      </c>
      <c r="AN20" s="47"/>
      <c r="AO20" s="47"/>
      <c r="AP20" s="51"/>
      <c r="AQ20" s="38"/>
      <c r="AR20" s="38"/>
    </row>
    <row r="21" spans="1:44" ht="15.75" thickBot="1">
      <c r="A21" s="36"/>
      <c r="B21" s="43"/>
      <c r="C21" s="47"/>
      <c r="D21" s="47"/>
      <c r="E21" s="663"/>
      <c r="F21" s="694" t="e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#REF!</v>
      </c>
      <c r="G21" s="695"/>
      <c r="H21" s="695"/>
      <c r="I21" s="696"/>
      <c r="J21" s="53">
        <v>0</v>
      </c>
      <c r="K21" s="44"/>
      <c r="L21" s="663"/>
      <c r="M21" s="694" t="e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#REF!</v>
      </c>
      <c r="N21" s="695"/>
      <c r="O21" s="695"/>
      <c r="P21" s="696"/>
      <c r="Q21" s="53">
        <v>0</v>
      </c>
      <c r="R21" s="47"/>
      <c r="S21" s="69"/>
      <c r="T21" s="51"/>
      <c r="U21" s="47"/>
      <c r="V21" s="40"/>
      <c r="W21" s="36"/>
      <c r="X21" s="43"/>
      <c r="Y21" s="47"/>
      <c r="Z21" s="47"/>
      <c r="AA21" s="663"/>
      <c r="AB21" s="694" t="e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#REF!</v>
      </c>
      <c r="AC21" s="695"/>
      <c r="AD21" s="695"/>
      <c r="AE21" s="696"/>
      <c r="AF21" s="53">
        <v>0</v>
      </c>
      <c r="AG21" s="44"/>
      <c r="AH21" s="663"/>
      <c r="AI21" s="694" t="e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#REF!</v>
      </c>
      <c r="AJ21" s="695"/>
      <c r="AK21" s="695"/>
      <c r="AL21" s="696"/>
      <c r="AM21" s="53">
        <v>0</v>
      </c>
      <c r="AN21" s="47"/>
      <c r="AO21" s="47"/>
      <c r="AP21" s="51"/>
      <c r="AQ21" s="38"/>
      <c r="AR21" s="38"/>
    </row>
    <row r="22" spans="1:44">
      <c r="A22" s="36"/>
      <c r="B22" s="43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51"/>
      <c r="U22" s="47"/>
      <c r="V22" s="47"/>
      <c r="W22" s="36"/>
      <c r="X22" s="43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51"/>
      <c r="AQ22" s="38"/>
      <c r="AR22" s="38"/>
    </row>
    <row r="23" spans="1:44">
      <c r="A23" s="36"/>
      <c r="B23" s="43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51"/>
      <c r="U23" s="47"/>
      <c r="V23" s="47"/>
      <c r="W23" s="36"/>
      <c r="X23" s="43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51"/>
      <c r="AQ23" s="38"/>
      <c r="AR23" s="38"/>
    </row>
    <row r="24" spans="1:44" ht="15.75" thickBot="1">
      <c r="A24" s="36"/>
      <c r="B24" s="43"/>
      <c r="C24" s="47"/>
      <c r="D24" s="47"/>
      <c r="E24" s="47"/>
      <c r="F24" s="47"/>
      <c r="G24" s="47"/>
      <c r="H24" s="47"/>
      <c r="I24" s="44" t="s">
        <v>6</v>
      </c>
      <c r="J24" s="47"/>
      <c r="K24" s="47"/>
      <c r="L24" s="47"/>
      <c r="M24" s="47"/>
      <c r="N24" s="44" t="s">
        <v>5</v>
      </c>
      <c r="O24" s="44"/>
      <c r="P24" s="70"/>
      <c r="Q24" s="47"/>
      <c r="R24" s="47"/>
      <c r="S24" s="47"/>
      <c r="T24" s="51"/>
      <c r="U24" s="47"/>
      <c r="V24" s="47"/>
      <c r="W24" s="36"/>
      <c r="X24" s="43"/>
      <c r="Y24" s="47"/>
      <c r="Z24" s="47"/>
      <c r="AA24" s="47"/>
      <c r="AB24" s="47"/>
      <c r="AC24" s="47"/>
      <c r="AD24" s="47"/>
      <c r="AE24" s="44" t="s">
        <v>6</v>
      </c>
      <c r="AF24" s="47"/>
      <c r="AG24" s="47"/>
      <c r="AH24" s="47"/>
      <c r="AI24" s="47"/>
      <c r="AJ24" s="44" t="s">
        <v>5</v>
      </c>
      <c r="AK24" s="44"/>
      <c r="AL24" s="70"/>
      <c r="AM24" s="47"/>
      <c r="AN24" s="47"/>
      <c r="AO24" s="47"/>
      <c r="AP24" s="51"/>
      <c r="AQ24" s="38"/>
      <c r="AR24" s="38"/>
    </row>
    <row r="25" spans="1:44" ht="15.75" thickBot="1">
      <c r="A25" s="36"/>
      <c r="B25" s="43"/>
      <c r="C25" s="47"/>
      <c r="D25" s="47"/>
      <c r="E25" s="47"/>
      <c r="F25" s="47"/>
      <c r="G25" s="47"/>
      <c r="H25" s="47"/>
      <c r="I25" s="662"/>
      <c r="J25" s="715" t="e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#REF!</v>
      </c>
      <c r="K25" s="716"/>
      <c r="L25" s="716"/>
      <c r="M25" s="717"/>
      <c r="N25" s="53">
        <v>1</v>
      </c>
      <c r="O25" s="44"/>
      <c r="P25" s="47"/>
      <c r="Q25" s="47"/>
      <c r="R25" s="47"/>
      <c r="S25" s="47"/>
      <c r="T25" s="51"/>
      <c r="U25" s="47"/>
      <c r="V25" s="47"/>
      <c r="W25" s="36"/>
      <c r="X25" s="43"/>
      <c r="Y25" s="47"/>
      <c r="Z25" s="47"/>
      <c r="AA25" s="47"/>
      <c r="AB25" s="47"/>
      <c r="AC25" s="47"/>
      <c r="AD25" s="47"/>
      <c r="AE25" s="662"/>
      <c r="AF25" s="756" t="e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#REF!</v>
      </c>
      <c r="AG25" s="710"/>
      <c r="AH25" s="710"/>
      <c r="AI25" s="711"/>
      <c r="AJ25" s="53">
        <v>1</v>
      </c>
      <c r="AK25" s="44"/>
      <c r="AL25" s="47"/>
      <c r="AM25" s="47"/>
      <c r="AN25" s="47"/>
      <c r="AO25" s="47"/>
      <c r="AP25" s="51"/>
      <c r="AQ25" s="38"/>
      <c r="AR25" s="38"/>
    </row>
    <row r="26" spans="1:44" ht="15.75" thickBot="1">
      <c r="A26" s="36"/>
      <c r="B26" s="43"/>
      <c r="C26" s="47"/>
      <c r="D26" s="47"/>
      <c r="E26" s="47"/>
      <c r="F26" s="47"/>
      <c r="G26" s="47"/>
      <c r="H26" s="47"/>
      <c r="I26" s="663"/>
      <c r="J26" s="712" t="e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#REF!</v>
      </c>
      <c r="K26" s="713"/>
      <c r="L26" s="713"/>
      <c r="M26" s="714"/>
      <c r="N26" s="53">
        <v>0</v>
      </c>
      <c r="O26" s="44"/>
      <c r="P26" s="47"/>
      <c r="Q26" s="47"/>
      <c r="R26" s="47"/>
      <c r="S26" s="47"/>
      <c r="T26" s="51"/>
      <c r="U26" s="47"/>
      <c r="V26" s="47"/>
      <c r="W26" s="36"/>
      <c r="X26" s="43"/>
      <c r="Y26" s="47"/>
      <c r="Z26" s="47"/>
      <c r="AA26" s="47"/>
      <c r="AB26" s="47"/>
      <c r="AC26" s="47"/>
      <c r="AD26" s="47"/>
      <c r="AE26" s="663"/>
      <c r="AF26" s="712" t="e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#REF!</v>
      </c>
      <c r="AG26" s="713"/>
      <c r="AH26" s="713"/>
      <c r="AI26" s="714"/>
      <c r="AJ26" s="53">
        <v>0</v>
      </c>
      <c r="AK26" s="44"/>
      <c r="AL26" s="47"/>
      <c r="AM26" s="47"/>
      <c r="AN26" s="47"/>
      <c r="AO26" s="47"/>
      <c r="AP26" s="51"/>
      <c r="AQ26" s="38"/>
      <c r="AR26" s="38"/>
    </row>
    <row r="27" spans="1:44" ht="15.75" thickBot="1">
      <c r="A27" s="36"/>
      <c r="B27" s="43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1"/>
      <c r="U27" s="47"/>
      <c r="V27" s="47"/>
      <c r="W27" s="36"/>
      <c r="X27" s="43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51"/>
      <c r="AQ27" s="38"/>
      <c r="AR27" s="38"/>
    </row>
    <row r="28" spans="1:44" ht="15.75" thickBot="1">
      <c r="A28" s="36"/>
      <c r="B28" s="43"/>
      <c r="D28" s="47"/>
      <c r="E28" s="47"/>
      <c r="F28" s="47"/>
      <c r="G28" s="47"/>
      <c r="H28" s="47"/>
      <c r="I28" s="47"/>
      <c r="J28" s="744" t="s">
        <v>59</v>
      </c>
      <c r="K28" s="745"/>
      <c r="L28" s="745"/>
      <c r="M28" s="746"/>
      <c r="N28" s="47"/>
      <c r="O28" s="47"/>
      <c r="P28" s="69"/>
      <c r="Q28" s="47"/>
      <c r="R28" s="47"/>
      <c r="S28" s="47"/>
      <c r="T28" s="51"/>
      <c r="W28" s="36"/>
      <c r="X28" s="43"/>
      <c r="Z28" s="47"/>
      <c r="AA28" s="47"/>
      <c r="AB28" s="47"/>
      <c r="AC28" s="47"/>
      <c r="AD28" s="47"/>
      <c r="AE28" s="47"/>
      <c r="AF28" s="744" t="s">
        <v>59</v>
      </c>
      <c r="AG28" s="745"/>
      <c r="AH28" s="745"/>
      <c r="AI28" s="746"/>
      <c r="AJ28" s="47"/>
      <c r="AK28" s="47"/>
      <c r="AL28" s="69"/>
      <c r="AM28" s="47"/>
      <c r="AN28" s="47"/>
      <c r="AO28" s="47"/>
      <c r="AP28" s="51"/>
    </row>
    <row r="29" spans="1:44" ht="15.75" thickBot="1">
      <c r="A29" s="36"/>
      <c r="B29" s="43"/>
      <c r="D29" s="653" t="s">
        <v>0</v>
      </c>
      <c r="E29" s="654"/>
      <c r="F29" s="655"/>
      <c r="G29" s="47"/>
      <c r="H29" s="667" t="e">
        <f>IF(F3+G3=0,"OFFICE",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)</f>
        <v>#REF!</v>
      </c>
      <c r="I29" s="772"/>
      <c r="J29" s="772"/>
      <c r="K29" s="772"/>
      <c r="L29" s="772"/>
      <c r="M29" s="772"/>
      <c r="N29" s="773"/>
      <c r="O29" s="47"/>
      <c r="P29" s="47"/>
      <c r="Q29" s="47"/>
      <c r="R29" s="47"/>
      <c r="S29" s="47"/>
      <c r="T29" s="51"/>
      <c r="W29" s="36"/>
      <c r="X29" s="43"/>
      <c r="Z29" s="653" t="s">
        <v>0</v>
      </c>
      <c r="AA29" s="654"/>
      <c r="AB29" s="655"/>
      <c r="AC29" s="47"/>
      <c r="AD29" s="667" t="e">
        <f>IF(AB3+AC3=0,"OFFICE",IF(AB3+AC3=0,"OFFICE",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))</f>
        <v>#REF!</v>
      </c>
      <c r="AE29" s="772"/>
      <c r="AF29" s="772"/>
      <c r="AG29" s="772"/>
      <c r="AH29" s="772"/>
      <c r="AI29" s="772"/>
      <c r="AJ29" s="773"/>
      <c r="AK29" s="47"/>
      <c r="AL29" s="47"/>
      <c r="AM29" s="60" t="s">
        <v>75</v>
      </c>
      <c r="AN29" s="47"/>
      <c r="AO29" s="47"/>
      <c r="AP29" s="51"/>
    </row>
    <row r="30" spans="1:44">
      <c r="A30" s="36"/>
      <c r="B30" s="43"/>
      <c r="D30" s="650" t="s">
        <v>1</v>
      </c>
      <c r="E30" s="651"/>
      <c r="F30" s="652"/>
      <c r="G30" s="47"/>
      <c r="H30" s="670" t="e">
        <f>IF(F3+G3=0,"OFFICE",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)</f>
        <v>#REF!</v>
      </c>
      <c r="I30" s="671"/>
      <c r="J30" s="671"/>
      <c r="K30" s="671"/>
      <c r="L30" s="671"/>
      <c r="M30" s="671"/>
      <c r="N30" s="672"/>
      <c r="O30" s="47"/>
      <c r="P30" s="71"/>
      <c r="Q30" s="71"/>
      <c r="R30" s="71"/>
      <c r="S30" s="71"/>
      <c r="T30" s="51"/>
      <c r="W30" s="36"/>
      <c r="X30" s="43"/>
      <c r="Z30" s="650" t="s">
        <v>1</v>
      </c>
      <c r="AA30" s="651"/>
      <c r="AB30" s="652"/>
      <c r="AC30" s="47"/>
      <c r="AD30" s="670" t="e">
        <f>IF(AB3+AC3=0,"OFFICE",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)</f>
        <v>#REF!</v>
      </c>
      <c r="AE30" s="671"/>
      <c r="AF30" s="671"/>
      <c r="AG30" s="671"/>
      <c r="AH30" s="671"/>
      <c r="AI30" s="671"/>
      <c r="AJ30" s="672"/>
      <c r="AK30" s="47"/>
      <c r="AL30" s="71"/>
      <c r="AM30" s="71"/>
      <c r="AN30" s="71"/>
      <c r="AO30" s="47"/>
      <c r="AP30" s="51"/>
    </row>
    <row r="31" spans="1:44">
      <c r="A31" s="36"/>
      <c r="B31" s="43"/>
      <c r="D31" s="650" t="s">
        <v>2</v>
      </c>
      <c r="E31" s="651"/>
      <c r="F31" s="652"/>
      <c r="G31" s="47"/>
      <c r="H31" s="774" t="e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#REF!</v>
      </c>
      <c r="I31" s="775"/>
      <c r="J31" s="775"/>
      <c r="K31" s="775"/>
      <c r="L31" s="775"/>
      <c r="M31" s="775"/>
      <c r="N31" s="776"/>
      <c r="O31" s="47"/>
      <c r="P31" s="47"/>
      <c r="Q31" s="47"/>
      <c r="R31" s="47"/>
      <c r="S31" s="47"/>
      <c r="T31" s="51"/>
      <c r="W31" s="36"/>
      <c r="X31" s="43"/>
      <c r="Z31" s="650" t="s">
        <v>2</v>
      </c>
      <c r="AA31" s="651"/>
      <c r="AB31" s="652"/>
      <c r="AC31" s="47"/>
      <c r="AD31" s="676" t="e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#REF!</v>
      </c>
      <c r="AE31" s="677"/>
      <c r="AF31" s="677"/>
      <c r="AG31" s="677"/>
      <c r="AH31" s="677"/>
      <c r="AI31" s="677"/>
      <c r="AJ31" s="678"/>
      <c r="AK31" s="47"/>
      <c r="AL31" s="47"/>
      <c r="AM31" s="47"/>
      <c r="AN31" s="47"/>
      <c r="AO31" s="47"/>
      <c r="AP31" s="51"/>
    </row>
    <row r="32" spans="1:44">
      <c r="A32" s="36"/>
      <c r="B32" s="43"/>
      <c r="D32" s="650" t="s">
        <v>3</v>
      </c>
      <c r="E32" s="651"/>
      <c r="F32" s="652"/>
      <c r="G32" s="47"/>
      <c r="H32" s="774" t="e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#REF!</v>
      </c>
      <c r="I32" s="775"/>
      <c r="J32" s="775"/>
      <c r="K32" s="775"/>
      <c r="L32" s="775"/>
      <c r="M32" s="775"/>
      <c r="N32" s="776"/>
      <c r="O32" s="47"/>
      <c r="P32" s="47"/>
      <c r="Q32" s="47"/>
      <c r="R32" s="47"/>
      <c r="S32" s="47"/>
      <c r="T32" s="51"/>
      <c r="W32" s="36"/>
      <c r="X32" s="43"/>
      <c r="Z32" s="650" t="s">
        <v>3</v>
      </c>
      <c r="AA32" s="651"/>
      <c r="AB32" s="652"/>
      <c r="AC32" s="47"/>
      <c r="AD32" s="774" t="e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#REF!</v>
      </c>
      <c r="AE32" s="775"/>
      <c r="AF32" s="775"/>
      <c r="AG32" s="775"/>
      <c r="AH32" s="775"/>
      <c r="AI32" s="775"/>
      <c r="AJ32" s="776"/>
      <c r="AK32" s="47"/>
      <c r="AL32" s="47"/>
      <c r="AM32" s="47"/>
      <c r="AN32" s="47"/>
      <c r="AO32" s="47"/>
      <c r="AP32" s="51"/>
    </row>
    <row r="33" spans="1:44" ht="15.75" thickBot="1">
      <c r="A33" s="36"/>
      <c r="B33" s="43"/>
      <c r="D33" s="682" t="s">
        <v>4</v>
      </c>
      <c r="E33" s="683"/>
      <c r="F33" s="684"/>
      <c r="G33" s="47"/>
      <c r="H33" s="685" t="e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#REF!</v>
      </c>
      <c r="I33" s="686"/>
      <c r="J33" s="686"/>
      <c r="K33" s="686"/>
      <c r="L33" s="686"/>
      <c r="M33" s="686"/>
      <c r="N33" s="687"/>
      <c r="O33" s="47"/>
      <c r="P33" s="47"/>
      <c r="Q33" s="47"/>
      <c r="R33" s="47"/>
      <c r="S33" s="47"/>
      <c r="T33" s="51"/>
      <c r="W33" s="36"/>
      <c r="X33" s="43"/>
      <c r="Z33" s="682" t="s">
        <v>4</v>
      </c>
      <c r="AA33" s="683"/>
      <c r="AB33" s="684"/>
      <c r="AC33" s="47"/>
      <c r="AD33" s="685" t="e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#REF!</v>
      </c>
      <c r="AE33" s="686"/>
      <c r="AF33" s="686"/>
      <c r="AG33" s="686"/>
      <c r="AH33" s="686"/>
      <c r="AI33" s="686"/>
      <c r="AJ33" s="687"/>
      <c r="AK33" s="47"/>
      <c r="AL33" s="47"/>
      <c r="AM33" s="47"/>
      <c r="AN33" s="47"/>
      <c r="AO33" s="47"/>
      <c r="AP33" s="51"/>
    </row>
    <row r="34" spans="1:44">
      <c r="A34" s="36"/>
      <c r="B34" s="43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47"/>
      <c r="O34" s="47"/>
      <c r="P34" s="47"/>
      <c r="Q34" s="47"/>
      <c r="R34" s="47"/>
      <c r="S34" s="47"/>
      <c r="T34" s="51"/>
      <c r="U34" s="47"/>
      <c r="V34" s="47"/>
      <c r="W34" s="36"/>
      <c r="X34" s="43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7"/>
      <c r="AK34" s="47"/>
      <c r="AL34" s="47"/>
      <c r="AM34" s="47"/>
      <c r="AN34" s="47"/>
      <c r="AO34" s="47"/>
      <c r="AP34" s="51"/>
      <c r="AQ34" s="38"/>
      <c r="AR34" s="38"/>
    </row>
    <row r="35" spans="1:44" ht="15.75" thickBot="1">
      <c r="A35" s="36"/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74"/>
      <c r="P35" s="74"/>
      <c r="Q35" s="74"/>
      <c r="R35" s="74"/>
      <c r="S35" s="74"/>
      <c r="T35" s="75"/>
      <c r="U35" s="36"/>
      <c r="V35" s="36"/>
      <c r="W35" s="36"/>
      <c r="X35" s="72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5"/>
      <c r="AQ35" s="38"/>
      <c r="AR35" s="38"/>
    </row>
    <row r="39" spans="1:4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</sheetData>
  <sheetProtection formatColumns="0" formatRows="0" selectLockedCells="1"/>
  <mergeCells count="88">
    <mergeCell ref="H30:N30"/>
    <mergeCell ref="Z30:AB30"/>
    <mergeCell ref="AD30:AJ30"/>
    <mergeCell ref="D31:F31"/>
    <mergeCell ref="H31:N31"/>
    <mergeCell ref="Z31:AB31"/>
    <mergeCell ref="AD31:AJ31"/>
    <mergeCell ref="D30:F30"/>
    <mergeCell ref="I25:I26"/>
    <mergeCell ref="J25:M25"/>
    <mergeCell ref="AE25:AE26"/>
    <mergeCell ref="AF25:AI25"/>
    <mergeCell ref="J26:M26"/>
    <mergeCell ref="AF26:AI26"/>
    <mergeCell ref="AA20:AA21"/>
    <mergeCell ref="AB20:AE20"/>
    <mergeCell ref="AH20:AH21"/>
    <mergeCell ref="AI20:AL20"/>
    <mergeCell ref="F21:I21"/>
    <mergeCell ref="M21:P21"/>
    <mergeCell ref="AB21:AE21"/>
    <mergeCell ref="AI21:AL21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Y9:AB9"/>
    <mergeCell ref="AF9:AI9"/>
    <mergeCell ref="B8:B9"/>
    <mergeCell ref="C8:F8"/>
    <mergeCell ref="I8:I9"/>
    <mergeCell ref="J8:M8"/>
    <mergeCell ref="Q8:S8"/>
    <mergeCell ref="C9:F9"/>
    <mergeCell ref="J9:M9"/>
    <mergeCell ref="B14:B15"/>
    <mergeCell ref="C14:F14"/>
    <mergeCell ref="J14:M14"/>
    <mergeCell ref="P14:P15"/>
    <mergeCell ref="E20:E21"/>
    <mergeCell ref="F20:I20"/>
    <mergeCell ref="L20:L21"/>
    <mergeCell ref="M20:P20"/>
    <mergeCell ref="D32:F32"/>
    <mergeCell ref="H32:N32"/>
    <mergeCell ref="Z32:AB32"/>
    <mergeCell ref="AD32:AJ32"/>
    <mergeCell ref="D33:F33"/>
    <mergeCell ref="H33:N33"/>
    <mergeCell ref="Z33:AB33"/>
    <mergeCell ref="AD33:AJ33"/>
    <mergeCell ref="J28:M28"/>
    <mergeCell ref="AF28:AI28"/>
    <mergeCell ref="D29:F29"/>
    <mergeCell ref="H29:N29"/>
    <mergeCell ref="Z29:AB29"/>
    <mergeCell ref="AD29:AJ29"/>
    <mergeCell ref="X2:Z2"/>
    <mergeCell ref="T4:T5"/>
    <mergeCell ref="Y4:AO4"/>
    <mergeCell ref="X1:Z1"/>
    <mergeCell ref="AA1:AC1"/>
    <mergeCell ref="AE1:AH1"/>
    <mergeCell ref="AJ1:AO1"/>
    <mergeCell ref="AB2:AC2"/>
    <mergeCell ref="AE2:AG2"/>
    <mergeCell ref="AH2:AP2"/>
    <mergeCell ref="AP4:AP5"/>
    <mergeCell ref="I1:L1"/>
    <mergeCell ref="N1:S1"/>
    <mergeCell ref="B1:D1"/>
    <mergeCell ref="E1:G1"/>
    <mergeCell ref="B2:D2"/>
    <mergeCell ref="F2:G2"/>
    <mergeCell ref="I2:K2"/>
    <mergeCell ref="L2:T2"/>
  </mergeCells>
  <conditionalFormatting sqref="H32">
    <cfRule type="expression" dxfId="93" priority="250">
      <formula>$H$2=5</formula>
    </cfRule>
    <cfRule type="expression" dxfId="92" priority="251">
      <formula>$H$2=4</formula>
    </cfRule>
    <cfRule type="expression" dxfId="91" priority="252">
      <formula>$H$2=0</formula>
    </cfRule>
  </conditionalFormatting>
  <conditionalFormatting sqref="H29:N29">
    <cfRule type="expression" dxfId="90" priority="247">
      <formula>$H$2=0</formula>
    </cfRule>
    <cfRule type="expression" dxfId="89" priority="248" stopIfTrue="1">
      <formula>(OR(H2="1",H2="2",H2="3"))</formula>
    </cfRule>
  </conditionalFormatting>
  <conditionalFormatting sqref="H30:N30">
    <cfRule type="expression" dxfId="88" priority="246">
      <formula>(OR(H2="2",H2="3"))</formula>
    </cfRule>
  </conditionalFormatting>
  <conditionalFormatting sqref="H31:N31">
    <cfRule type="expression" dxfId="87" priority="245">
      <formula>(H2="3")</formula>
    </cfRule>
  </conditionalFormatting>
  <conditionalFormatting sqref="H32:N32">
    <cfRule type="cellIs" dxfId="86" priority="244" operator="equal">
      <formula>0</formula>
    </cfRule>
  </conditionalFormatting>
  <conditionalFormatting sqref="H33:N33">
    <cfRule type="cellIs" dxfId="85" priority="243" operator="equal">
      <formula>0</formula>
    </cfRule>
  </conditionalFormatting>
  <conditionalFormatting sqref="AD32">
    <cfRule type="expression" dxfId="84" priority="234">
      <formula>$H$2=5</formula>
    </cfRule>
    <cfRule type="expression" dxfId="83" priority="235">
      <formula>$H$2=4</formula>
    </cfRule>
    <cfRule type="expression" dxfId="82" priority="236" stopIfTrue="1">
      <formula>$AA$2=0</formula>
    </cfRule>
  </conditionalFormatting>
  <conditionalFormatting sqref="AD32:AJ32">
    <cfRule type="cellIs" dxfId="81" priority="229" operator="equal">
      <formula>0</formula>
    </cfRule>
  </conditionalFormatting>
  <conditionalFormatting sqref="AD33:AJ33">
    <cfRule type="cellIs" dxfId="80" priority="228" operator="equal">
      <formula>0</formula>
    </cfRule>
  </conditionalFormatting>
  <conditionalFormatting sqref="H33 AD33">
    <cfRule type="expression" dxfId="79" priority="275">
      <formula>$AF$2=5</formula>
    </cfRule>
  </conditionalFormatting>
  <conditionalFormatting sqref="AD33">
    <cfRule type="expression" dxfId="78" priority="274" stopIfTrue="1">
      <formula>$AA$2=0</formula>
    </cfRule>
  </conditionalFormatting>
  <conditionalFormatting sqref="AD30">
    <cfRule type="expression" dxfId="77" priority="260" stopIfTrue="1">
      <formula>$AA$2=0</formula>
    </cfRule>
    <cfRule type="expression" dxfId="76" priority="261">
      <formula>$AF$2=5</formula>
    </cfRule>
    <cfRule type="expression" dxfId="75" priority="262">
      <formula>$AF$2=4</formula>
    </cfRule>
    <cfRule type="expression" dxfId="74" priority="263">
      <formula>$AF$2=3</formula>
    </cfRule>
    <cfRule type="expression" dxfId="73" priority="264">
      <formula>$AF$2=2</formula>
    </cfRule>
  </conditionalFormatting>
  <conditionalFormatting sqref="AD31:AJ31">
    <cfRule type="expression" dxfId="72" priority="256" stopIfTrue="1">
      <formula>$AA$2=0</formula>
    </cfRule>
    <cfRule type="expression" dxfId="71" priority="257">
      <formula>$AF$2=5</formula>
    </cfRule>
    <cfRule type="expression" dxfId="70" priority="258">
      <formula>$AF$2=4</formula>
    </cfRule>
    <cfRule type="expression" dxfId="69" priority="259">
      <formula>$AF$2=3</formula>
    </cfRule>
  </conditionalFormatting>
  <conditionalFormatting sqref="AD32:AJ32">
    <cfRule type="expression" dxfId="68" priority="253">
      <formula>$AF$2=5</formula>
    </cfRule>
    <cfRule type="expression" dxfId="67" priority="254">
      <formula>$AA$2=0</formula>
    </cfRule>
    <cfRule type="expression" dxfId="66" priority="255">
      <formula>$AF$2=4</formula>
    </cfRule>
  </conditionalFormatting>
  <conditionalFormatting sqref="AD29:AJ29">
    <cfRule type="expression" dxfId="65" priority="249">
      <formula>$AF$2=1</formula>
    </cfRule>
  </conditionalFormatting>
  <conditionalFormatting sqref="AD29:AJ29">
    <cfRule type="expression" dxfId="64" priority="233" stopIfTrue="1">
      <formula>(OR(AF2="1",AF2="2",AF2="3"))</formula>
    </cfRule>
  </conditionalFormatting>
  <conditionalFormatting sqref="AD30:AJ30">
    <cfRule type="expression" dxfId="63" priority="231">
      <formula>(OR(AF2="2",AF2="3"))</formula>
    </cfRule>
  </conditionalFormatting>
  <conditionalFormatting sqref="AD31:AJ31">
    <cfRule type="expression" dxfId="62" priority="230">
      <formula>(AF2="3")</formula>
    </cfRule>
  </conditionalFormatting>
  <conditionalFormatting sqref="AD29">
    <cfRule type="expression" dxfId="61" priority="314">
      <formula>$AF$2=2</formula>
    </cfRule>
    <cfRule type="expression" dxfId="60" priority="315">
      <formula>$AF$2=5</formula>
    </cfRule>
    <cfRule type="expression" dxfId="59" priority="316">
      <formula>$AF$2=4</formula>
    </cfRule>
    <cfRule type="expression" dxfId="58" priority="317">
      <formula>$AF$2=3</formula>
    </cfRule>
    <cfRule type="expression" dxfId="57" priority="318">
      <formula>$H$2=0</formula>
    </cfRule>
  </conditionalFormatting>
  <conditionalFormatting sqref="AD29:AJ33">
    <cfRule type="expression" dxfId="56" priority="232">
      <formula>$AA$2=0</formula>
    </cfRule>
  </conditionalFormatting>
  <conditionalFormatting sqref="H33 AD33">
    <cfRule type="expression" dxfId="55" priority="213">
      <formula>$AD$2=5</formula>
    </cfRule>
  </conditionalFormatting>
  <conditionalFormatting sqref="AD33">
    <cfRule type="expression" dxfId="54" priority="212">
      <formula>$AD$2=0</formula>
    </cfRule>
  </conditionalFormatting>
  <conditionalFormatting sqref="AD29">
    <cfRule type="expression" dxfId="53" priority="204">
      <formula>$AD$2=2</formula>
    </cfRule>
    <cfRule type="expression" dxfId="52" priority="205">
      <formula>$AD$2=5</formula>
    </cfRule>
    <cfRule type="expression" dxfId="51" priority="206">
      <formula>$AD$2=4</formula>
    </cfRule>
    <cfRule type="expression" dxfId="50" priority="207">
      <formula>$AD$2=3</formula>
    </cfRule>
    <cfRule type="expression" dxfId="49" priority="208">
      <formula>$H$2=0</formula>
    </cfRule>
  </conditionalFormatting>
  <conditionalFormatting sqref="AD30">
    <cfRule type="expression" dxfId="48" priority="199">
      <formula>$AD$2=0</formula>
    </cfRule>
    <cfRule type="expression" dxfId="47" priority="200">
      <formula>$AD$2=5</formula>
    </cfRule>
    <cfRule type="expression" dxfId="46" priority="201">
      <formula>$AD$2=4</formula>
    </cfRule>
    <cfRule type="expression" dxfId="45" priority="202">
      <formula>$AD$2=3</formula>
    </cfRule>
    <cfRule type="expression" dxfId="44" priority="203">
      <formula>$AD$2=2</formula>
    </cfRule>
  </conditionalFormatting>
  <conditionalFormatting sqref="AD31">
    <cfRule type="expression" dxfId="43" priority="195">
      <formula>$AD$2=0</formula>
    </cfRule>
    <cfRule type="expression" dxfId="42" priority="196">
      <formula>$AD$2=5</formula>
    </cfRule>
    <cfRule type="expression" dxfId="41" priority="197">
      <formula>$AD$2=4</formula>
    </cfRule>
    <cfRule type="expression" dxfId="40" priority="198">
      <formula>$AD$2=3</formula>
    </cfRule>
  </conditionalFormatting>
  <conditionalFormatting sqref="AD32:AJ32">
    <cfRule type="cellIs" dxfId="39" priority="191" operator="equal">
      <formula>0</formula>
    </cfRule>
    <cfRule type="expression" dxfId="38" priority="192">
      <formula>$AD$2=5</formula>
    </cfRule>
    <cfRule type="expression" dxfId="37" priority="193">
      <formula>$AD$2=0</formula>
    </cfRule>
    <cfRule type="expression" dxfId="36" priority="194">
      <formula>$AD$2=4</formula>
    </cfRule>
  </conditionalFormatting>
  <conditionalFormatting sqref="H32 AD32">
    <cfRule type="expression" dxfId="35" priority="190">
      <formula>$H$2=0</formula>
    </cfRule>
  </conditionalFormatting>
  <conditionalFormatting sqref="AD29:AJ29">
    <cfRule type="expression" dxfId="34" priority="189">
      <formula>$AD$2=1</formula>
    </cfRule>
  </conditionalFormatting>
  <conditionalFormatting sqref="H29:N29">
    <cfRule type="expression" dxfId="33" priority="187">
      <formula>$H$2=0</formula>
    </cfRule>
    <cfRule type="expression" dxfId="32" priority="188" stopIfTrue="1">
      <formula>(OR(H2="1",H2="2",H2="3"))</formula>
    </cfRule>
  </conditionalFormatting>
  <conditionalFormatting sqref="H30:N30">
    <cfRule type="expression" dxfId="31" priority="186">
      <formula>(OR(H2="2",H2="3"))</formula>
    </cfRule>
  </conditionalFormatting>
  <conditionalFormatting sqref="H31:N31">
    <cfRule type="cellIs" dxfId="30" priority="184" operator="equal">
      <formula>0</formula>
    </cfRule>
    <cfRule type="expression" dxfId="29" priority="185">
      <formula>(H2="3")</formula>
    </cfRule>
  </conditionalFormatting>
  <conditionalFormatting sqref="AD29:AJ29">
    <cfRule type="expression" dxfId="28" priority="182">
      <formula>$H$2=0</formula>
    </cfRule>
    <cfRule type="expression" dxfId="27" priority="183" stopIfTrue="1">
      <formula>(OR(AD2="1",AD2="2",AD2="3"))</formula>
    </cfRule>
  </conditionalFormatting>
  <conditionalFormatting sqref="AD30:AJ30">
    <cfRule type="expression" dxfId="26" priority="181">
      <formula>(OR(AD2="2",AD2="3"))</formula>
    </cfRule>
  </conditionalFormatting>
  <conditionalFormatting sqref="AD31">
    <cfRule type="expression" dxfId="25" priority="180">
      <formula>(AD2="3")</formula>
    </cfRule>
  </conditionalFormatting>
  <conditionalFormatting sqref="H33:N33">
    <cfRule type="cellIs" dxfId="24" priority="159" operator="equal">
      <formula>0</formula>
    </cfRule>
  </conditionalFormatting>
  <conditionalFormatting sqref="H32:N32">
    <cfRule type="cellIs" dxfId="23" priority="158" operator="equal">
      <formula>0</formula>
    </cfRule>
  </conditionalFormatting>
  <conditionalFormatting sqref="AD33:AJ33">
    <cfRule type="cellIs" dxfId="22" priority="156" operator="equal">
      <formula>0</formula>
    </cfRule>
  </conditionalFormatting>
  <conditionalFormatting sqref="AD31:AJ31">
    <cfRule type="cellIs" dxfId="21" priority="155" operator="equal">
      <formula>0</formula>
    </cfRule>
  </conditionalFormatting>
  <conditionalFormatting sqref="AF25:AI25">
    <cfRule type="cellIs" dxfId="20" priority="150" operator="equal">
      <formula>0</formula>
    </cfRule>
  </conditionalFormatting>
  <conditionalFormatting sqref="C14:F15">
    <cfRule type="cellIs" dxfId="19" priority="64" operator="equal">
      <formula>0</formula>
    </cfRule>
  </conditionalFormatting>
  <conditionalFormatting sqref="C8:F9">
    <cfRule type="expression" dxfId="18" priority="54">
      <formula>(OR($E$2=3,$E$2=4,$E$2=5))</formula>
    </cfRule>
  </conditionalFormatting>
  <conditionalFormatting sqref="AF8:AI9">
    <cfRule type="expression" dxfId="17" priority="1">
      <formula>(OR($E$2=3,$E$2=4,$E$2=5))</formula>
    </cfRule>
  </conditionalFormatting>
  <pageMargins left="0.7" right="0.7" top="0.75" bottom="0.75" header="0.3" footer="0.3"/>
  <pageSetup paperSize="9" scale="42" orientation="landscape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U37"/>
  <sheetViews>
    <sheetView zoomScale="80" zoomScaleNormal="80" workbookViewId="0">
      <selection activeCell="AF10" sqref="AF10"/>
    </sheetView>
  </sheetViews>
  <sheetFormatPr baseColWidth="10" defaultRowHeight="15"/>
  <cols>
    <col min="1" max="1" width="7.42578125" style="40" customWidth="1"/>
    <col min="2" max="2" width="11.42578125" style="40"/>
    <col min="3" max="3" width="6.28515625" style="40" customWidth="1"/>
    <col min="4" max="4" width="11.42578125" style="40"/>
    <col min="5" max="6" width="7.42578125" style="40" customWidth="1"/>
    <col min="7" max="7" width="7.140625" style="40" customWidth="1"/>
    <col min="8" max="8" width="9.85546875" style="40" customWidth="1"/>
    <col min="9" max="9" width="6.28515625" style="40" customWidth="1"/>
    <col min="10" max="10" width="11.42578125" style="40" customWidth="1"/>
    <col min="11" max="11" width="6.42578125" style="40" customWidth="1"/>
    <col min="12" max="12" width="9" style="40" customWidth="1"/>
    <col min="13" max="13" width="7.5703125" style="40" customWidth="1"/>
    <col min="14" max="14" width="11.28515625" style="209" customWidth="1"/>
    <col min="15" max="15" width="6.42578125" style="40" customWidth="1"/>
    <col min="16" max="16" width="11.42578125" style="40"/>
    <col min="17" max="17" width="7.140625" style="40" customWidth="1"/>
    <col min="18" max="18" width="8.5703125" style="40" customWidth="1"/>
    <col min="19" max="19" width="6.28515625" style="40" customWidth="1"/>
    <col min="20" max="20" width="8.28515625" style="132" customWidth="1"/>
    <col min="21" max="21" width="8.7109375" style="40" customWidth="1"/>
    <col min="22" max="22" width="4.140625" style="40" customWidth="1"/>
    <col min="23" max="23" width="7.42578125" style="40" customWidth="1"/>
    <col min="24" max="24" width="3.5703125" style="40" customWidth="1"/>
    <col min="25" max="25" width="6.7109375" style="40" customWidth="1"/>
    <col min="26" max="26" width="7.85546875" style="40" customWidth="1"/>
    <col min="27" max="27" width="5" style="40" customWidth="1"/>
    <col min="28" max="28" width="8.42578125" style="40" customWidth="1"/>
    <col min="29" max="29" width="7.28515625" style="40" customWidth="1"/>
    <col min="30" max="30" width="3.42578125" style="40" customWidth="1"/>
    <col min="31" max="31" width="6.5703125" style="40" customWidth="1"/>
    <col min="32" max="32" width="8.85546875" style="40" customWidth="1"/>
    <col min="33" max="33" width="6.42578125" style="40" customWidth="1"/>
    <col min="34" max="34" width="8.5703125" style="40" customWidth="1"/>
    <col min="35" max="35" width="7" style="40" customWidth="1"/>
    <col min="36" max="16384" width="11.42578125" style="40"/>
  </cols>
  <sheetData>
    <row r="1" spans="1:29" ht="24" thickBot="1">
      <c r="A1" s="36"/>
      <c r="B1" s="36"/>
      <c r="C1" s="36"/>
      <c r="F1" s="857" t="s">
        <v>47</v>
      </c>
      <c r="G1" s="858"/>
      <c r="H1" s="858"/>
      <c r="I1" s="858"/>
      <c r="J1" s="858"/>
      <c r="K1" s="859"/>
      <c r="L1" s="857" t="s">
        <v>48</v>
      </c>
      <c r="M1" s="858"/>
      <c r="N1" s="858">
        <f>[1]Renseignements!$E$6</f>
        <v>0</v>
      </c>
      <c r="O1" s="859"/>
      <c r="P1" s="860" t="s">
        <v>49</v>
      </c>
      <c r="Q1" s="861"/>
      <c r="R1" s="861"/>
      <c r="S1" s="858" t="str">
        <f>[1]Renseignements!$K$6</f>
        <v>Quadrettes</v>
      </c>
      <c r="T1" s="858"/>
      <c r="U1" s="859"/>
      <c r="V1" s="857" t="s">
        <v>50</v>
      </c>
      <c r="W1" s="858"/>
      <c r="X1" s="858"/>
      <c r="Y1" s="858"/>
      <c r="Z1" s="858"/>
      <c r="AA1" s="858" t="str">
        <f>[1]Renseignements!$E$9</f>
        <v xml:space="preserve"> Div.</v>
      </c>
      <c r="AB1" s="859"/>
    </row>
    <row r="2" spans="1:29" ht="31.5" customHeight="1" thickBot="1">
      <c r="A2" s="99">
        <f>+Rens.!J11</f>
        <v>168</v>
      </c>
      <c r="B2" s="100" t="s">
        <v>76</v>
      </c>
      <c r="C2" s="98" t="str">
        <f>+Rens.!H11</f>
        <v>16</v>
      </c>
      <c r="F2" s="862" t="s">
        <v>7</v>
      </c>
      <c r="G2" s="863"/>
      <c r="H2" s="863"/>
      <c r="I2" s="863"/>
      <c r="J2" s="863"/>
      <c r="K2" s="863"/>
      <c r="L2" s="863"/>
      <c r="M2" s="863"/>
      <c r="N2" s="863"/>
      <c r="O2" s="156"/>
      <c r="P2" s="157"/>
      <c r="Q2" s="157"/>
      <c r="R2" s="157"/>
      <c r="S2" s="157"/>
      <c r="T2" s="218"/>
      <c r="U2" s="157"/>
      <c r="V2" s="157"/>
      <c r="W2" s="157"/>
      <c r="X2" s="121"/>
      <c r="Y2" s="121"/>
      <c r="Z2" s="121"/>
      <c r="AA2" s="121"/>
      <c r="AB2" s="121"/>
      <c r="AC2" s="121"/>
    </row>
    <row r="3" spans="1:29" ht="34.5" customHeight="1" thickBot="1">
      <c r="A3" s="101"/>
      <c r="B3" s="102" t="s">
        <v>77</v>
      </c>
      <c r="C3" s="103" t="str">
        <f>+Rens.!H12</f>
        <v>8</v>
      </c>
      <c r="E3" s="158"/>
      <c r="F3" s="864"/>
      <c r="G3" s="865"/>
      <c r="H3" s="865"/>
      <c r="I3" s="865"/>
      <c r="J3" s="865"/>
      <c r="K3" s="865"/>
      <c r="L3" s="865"/>
      <c r="M3" s="865"/>
      <c r="N3" s="865"/>
      <c r="O3" s="866" t="s">
        <v>46</v>
      </c>
      <c r="P3" s="867"/>
      <c r="Q3" s="867"/>
      <c r="R3" s="867"/>
      <c r="S3" s="867"/>
      <c r="T3" s="867"/>
      <c r="U3" s="867"/>
      <c r="V3" s="867"/>
      <c r="W3" s="867"/>
      <c r="X3" s="867"/>
      <c r="Y3" s="868"/>
      <c r="Z3" s="104" t="str">
        <f>Rens.!$H$12</f>
        <v>8</v>
      </c>
      <c r="AA3" s="127"/>
      <c r="AB3" s="127"/>
    </row>
    <row r="4" spans="1:29" ht="36" customHeight="1" thickBot="1">
      <c r="P4" s="878" t="s">
        <v>9</v>
      </c>
      <c r="Q4" s="879"/>
      <c r="R4" s="879"/>
      <c r="S4" s="879"/>
      <c r="T4" s="879"/>
      <c r="U4" s="879"/>
      <c r="V4" s="879"/>
      <c r="W4" s="880"/>
      <c r="X4" s="127"/>
      <c r="Y4" s="127"/>
    </row>
    <row r="5" spans="1:29" s="135" customFormat="1" ht="18.95" customHeight="1" thickBot="1">
      <c r="A5"/>
      <c r="D5" s="869" t="s">
        <v>8</v>
      </c>
      <c r="E5" s="870"/>
      <c r="F5" s="871"/>
      <c r="J5" s="872" t="s">
        <v>10</v>
      </c>
      <c r="K5" s="873"/>
      <c r="L5" s="874"/>
      <c r="N5" s="210"/>
      <c r="P5" s="875" t="s">
        <v>12</v>
      </c>
      <c r="Q5" s="876"/>
      <c r="R5" s="877"/>
      <c r="T5" s="219"/>
    </row>
    <row r="6" spans="1:29" ht="18.95" customHeight="1" thickBot="1">
      <c r="A6"/>
      <c r="B6" s="225"/>
      <c r="C6" s="107" t="s">
        <v>6</v>
      </c>
      <c r="E6" s="53" t="s">
        <v>14</v>
      </c>
      <c r="G6" s="107" t="s">
        <v>5</v>
      </c>
      <c r="H6" s="214"/>
      <c r="I6" s="107" t="s">
        <v>6</v>
      </c>
      <c r="K6" s="53" t="s">
        <v>14</v>
      </c>
      <c r="M6" s="107" t="s">
        <v>5</v>
      </c>
    </row>
    <row r="7" spans="1:29" ht="18.95" customHeight="1" thickBot="1">
      <c r="A7"/>
      <c r="B7" s="226"/>
      <c r="C7" s="777"/>
      <c r="D7" s="794" t="str">
        <f>IF(OR(A2=0),"OFFICE",IF(AND(A2&gt;148,A2&lt;151),0,IF(AND(A2&gt;158,A2&lt;161),0,IF(AND(A2&gt;84,A2&lt;87),'Poule 1 et 2'!H25,IF(AND(A2&gt;90,A2&lt;97),'Poule 1 et 2'!H25,IF(AND(A2&gt;97,A2&lt;169),'Poule 1 et 2'!H25,0))))))</f>
        <v>A1</v>
      </c>
      <c r="E7" s="795"/>
      <c r="F7" s="796"/>
      <c r="G7" s="64">
        <v>1</v>
      </c>
      <c r="H7" s="385" t="str">
        <f>IF(G7=G8,"résultat",IF(G7&gt;G8,D7,D8))</f>
        <v>A1</v>
      </c>
      <c r="I7" s="662"/>
      <c r="J7" s="779" t="str">
        <f>IF(OR(A2=0),"OFFICE",IF(AND(A2=85,G7=G8),"résultat",IF(AND(A2&gt;80,A2&lt;85),'Poule 1 et 2'!H25,IF(AND(A2&gt;84,A2&lt;87),H7,IF(AND(A2&gt;90,A2&lt;97),H7,IF(AND(A2&gt;99,A2&lt;169),H7,0))))))</f>
        <v>A1</v>
      </c>
      <c r="K7" s="780"/>
      <c r="L7" s="781"/>
      <c r="M7" s="53">
        <v>1</v>
      </c>
      <c r="N7" s="382" t="str">
        <f>IF(M7=M8,"résultat",IF(M7&gt;M8,J7,J8))</f>
        <v>A1</v>
      </c>
      <c r="V7" s="884" t="s">
        <v>13</v>
      </c>
      <c r="W7" s="885"/>
      <c r="X7" s="885"/>
      <c r="Y7" s="885"/>
      <c r="Z7" s="885"/>
      <c r="AA7" s="885"/>
      <c r="AB7" s="885"/>
      <c r="AC7" s="886"/>
    </row>
    <row r="8" spans="1:29" ht="18.95" customHeight="1" thickBot="1">
      <c r="A8"/>
      <c r="B8" s="226"/>
      <c r="C8" s="778"/>
      <c r="D8" s="797" t="str">
        <f>IF(OR(A2=0),"OFFICE",IF(AND(A2&gt;148,A2&lt;151),0,IF(AND(A2&gt;158,A2&lt;161),0,IF(AND(A2&gt;84,A2&lt;87),'Poule 1 et 2'!AB27,IF(AND(A2&gt;90,A2&lt;97),'Poule 1 et 2'!AB26,IF(AND(A2&gt;99,A2&lt;169),'Poule 3 et 4'!H26,0))))))</f>
        <v>A3</v>
      </c>
      <c r="E8" s="798"/>
      <c r="F8" s="799"/>
      <c r="G8" s="106">
        <v>0</v>
      </c>
      <c r="H8" s="382" t="str">
        <f>IF(G7=G8,"résultat",IF(G7&lt;G8,D7,D8))</f>
        <v>A3</v>
      </c>
      <c r="I8" s="663"/>
      <c r="J8" s="791" t="str">
        <f>IF(OR(A2=0),"OFFICE",IF(AND(A2=85,G13=G14),"résultat",IF(AND(A2&gt;84,A2&lt;87),H13,IF(AND(A2=85,G13&lt;G14),H13,IF(AND(A2&gt;90,A2&lt;97),H13,IF(AND(A2&gt;99,A2&lt;169),H13,IF(AND(A2&gt;80,A2&lt;85),'Poule 1 et 2'!AB26,0)))))))</f>
        <v>C1</v>
      </c>
      <c r="K8" s="792"/>
      <c r="L8" s="793"/>
      <c r="M8" s="110">
        <v>0</v>
      </c>
      <c r="N8" s="382" t="str">
        <f>IF(M7=M8,"résultat",IF(M7&lt;M8,J7,J8))</f>
        <v>C1</v>
      </c>
      <c r="O8" s="881" t="s">
        <v>102</v>
      </c>
      <c r="P8" s="882"/>
      <c r="Q8" s="882"/>
      <c r="R8" s="882"/>
      <c r="S8" s="883"/>
    </row>
    <row r="9" spans="1:29" ht="18.95" customHeight="1" thickBot="1">
      <c r="A9"/>
      <c r="B9" s="227"/>
      <c r="C9" s="108"/>
      <c r="D9" s="36"/>
      <c r="E9" s="36"/>
      <c r="F9" s="36"/>
      <c r="H9" s="386"/>
      <c r="J9" s="36"/>
      <c r="K9" s="36"/>
      <c r="L9" s="36"/>
      <c r="N9" s="382"/>
      <c r="O9" s="107" t="s">
        <v>6</v>
      </c>
      <c r="S9" s="107" t="s">
        <v>5</v>
      </c>
    </row>
    <row r="10" spans="1:29" ht="18.95" customHeight="1" thickBot="1">
      <c r="A10"/>
      <c r="B10" s="228"/>
      <c r="C10" s="108"/>
      <c r="D10" s="36"/>
      <c r="E10" s="36"/>
      <c r="F10" s="36"/>
      <c r="H10" s="386"/>
      <c r="J10" s="36"/>
      <c r="K10" s="36"/>
      <c r="L10" s="36"/>
      <c r="N10" s="382"/>
      <c r="O10" s="662"/>
      <c r="P10" s="822" t="str">
        <f>+N7</f>
        <v>A1</v>
      </c>
      <c r="Q10" s="823"/>
      <c r="R10" s="824"/>
      <c r="S10" s="53">
        <v>1</v>
      </c>
      <c r="T10" s="382" t="str">
        <f>IF(S10=S11,"résultat",IF(S10&gt;S11,P10,P11))</f>
        <v>A1</v>
      </c>
    </row>
    <row r="11" spans="1:29" ht="18.75" customHeight="1" thickBot="1">
      <c r="A11"/>
      <c r="B11" s="228"/>
      <c r="C11" s="108"/>
      <c r="D11" s="36"/>
      <c r="E11" s="36"/>
      <c r="F11" s="36"/>
      <c r="H11" s="386"/>
      <c r="J11" s="36"/>
      <c r="K11" s="36"/>
      <c r="L11" s="36"/>
      <c r="N11" s="382"/>
      <c r="O11" s="663"/>
      <c r="P11" s="825" t="str">
        <f>+N13</f>
        <v>B3</v>
      </c>
      <c r="Q11" s="826"/>
      <c r="R11" s="827"/>
      <c r="S11" s="110">
        <v>0</v>
      </c>
      <c r="T11" s="382" t="str">
        <f>IF(S10=S11,"résultat",IF(S10&lt;S11,P10,P11))</f>
        <v>B3</v>
      </c>
      <c r="AB11" s="108"/>
    </row>
    <row r="12" spans="1:29" ht="18.95" customHeight="1" thickBot="1">
      <c r="A12"/>
      <c r="B12" s="228"/>
      <c r="C12" s="108"/>
      <c r="D12" s="36"/>
      <c r="E12" s="105" t="s">
        <v>15</v>
      </c>
      <c r="F12" s="36"/>
      <c r="H12" s="386"/>
      <c r="I12" s="107"/>
      <c r="J12" s="36"/>
      <c r="K12" s="105" t="s">
        <v>15</v>
      </c>
      <c r="L12" s="36"/>
      <c r="M12" s="107"/>
      <c r="N12" s="382"/>
      <c r="T12" s="383"/>
      <c r="AB12" s="108"/>
    </row>
    <row r="13" spans="1:29" ht="18.95" customHeight="1" thickBot="1">
      <c r="A13"/>
      <c r="B13" s="228"/>
      <c r="C13" s="777"/>
      <c r="D13" s="785" t="str">
        <f>IF(OR(A2=0),"OFFICE",IF(AND(A2&gt;148,A2&lt;151),0,IF(AND(A2&gt;158,A2&lt;161),0,IF(AND(A2&gt;84,A2&lt;87),'Poule 1 et 2'!H27,IF(AND(A2&gt;90,A2&lt;97),'Poule 1 et 2'!AB25,IF(AND(A2&gt;99,A2&lt;169),'Poule 1 et 2'!AB25,0))))))</f>
        <v>A2</v>
      </c>
      <c r="E13" s="786"/>
      <c r="F13" s="787"/>
      <c r="G13" s="53">
        <v>1</v>
      </c>
      <c r="H13" s="382" t="str">
        <f>IF(G13=G14,"résultat",IF(G13&gt;G14,D13,D14))</f>
        <v>C1</v>
      </c>
      <c r="I13" s="662"/>
      <c r="J13" s="779" t="str">
        <f>IF(OR(AND(A2&gt;84,A2&lt;87)),H19,IF(AND(A2&gt;90,A2&lt;97),H19,IF(AND(A2&gt;99,A2&lt;169),H19,IF(OR(AND(A2&gt;80,A2&lt;85)),'Poule 1 et 2'!AB25,0))))</f>
        <v>B3</v>
      </c>
      <c r="K13" s="780"/>
      <c r="L13" s="781"/>
      <c r="M13" s="53">
        <v>1</v>
      </c>
      <c r="N13" s="382" t="str">
        <f>IF(M13=M14,"résultat",IF(M13&gt;M14,J13,J14))</f>
        <v>B3</v>
      </c>
      <c r="T13" s="383"/>
      <c r="AB13" s="108"/>
    </row>
    <row r="14" spans="1:29" ht="18.95" customHeight="1" thickBot="1">
      <c r="A14"/>
      <c r="B14" s="228"/>
      <c r="C14" s="778"/>
      <c r="D14" s="788" t="str">
        <f>IF(OR(A2=0),"OFFICE",IF(AND(A2&gt;84,A2&lt;87),'Poule 1 et 2'!AB25,IF(AND(A2&gt;90,A2&lt;97),'Poule 3 et 4'!H26,IF(AND(A2&gt;106,A2&lt;112),'Poule 1 et 2'!H27,IF(AND(A2&gt;100,A2&lt;169),'Poule 1 et 2'!H26,0)))))</f>
        <v>C1</v>
      </c>
      <c r="E14" s="789"/>
      <c r="F14" s="790"/>
      <c r="G14" s="110">
        <v>2</v>
      </c>
      <c r="H14" s="382" t="str">
        <f>IF(G13=G14,"résultat",IF(G13&lt;G14,D13,D14))</f>
        <v>A2</v>
      </c>
      <c r="I14" s="663"/>
      <c r="J14" s="782" t="str">
        <f>IF(OR(AND(A2=0)),"&amp;",IF(AND(A2&gt;80,A2&lt;85),'Poule 1 et 2'!H26,IF(AND(A2&gt;90,A2&lt;97),H25,IF(AND(A2&gt;99,A2&lt;169),H25,IF(AND(A2&gt;84,A2&lt;87),H25,0)))))</f>
        <v>C2</v>
      </c>
      <c r="K14" s="783"/>
      <c r="L14" s="784"/>
      <c r="M14" s="110">
        <v>0</v>
      </c>
      <c r="N14" s="382" t="str">
        <f>IF(M13=M14,"résultat",IF(M13&lt;M14,J13,J14))</f>
        <v>C2</v>
      </c>
      <c r="T14" s="383"/>
      <c r="U14" s="169">
        <v>1</v>
      </c>
      <c r="V14" s="36"/>
      <c r="W14" s="591" t="str">
        <f>IF(OR(AND(Z3+Z4&gt;0,Z3+Z4&lt;9)),T10,0)</f>
        <v>A1</v>
      </c>
      <c r="X14" s="592"/>
      <c r="Y14" s="592"/>
      <c r="Z14" s="592"/>
      <c r="AA14" s="593"/>
      <c r="AB14" s="108"/>
    </row>
    <row r="15" spans="1:29" ht="18.95" customHeight="1" thickBot="1">
      <c r="A15"/>
      <c r="B15" s="228"/>
      <c r="D15" s="36"/>
      <c r="E15" s="36"/>
      <c r="F15" s="36"/>
      <c r="H15" s="386"/>
      <c r="T15" s="383"/>
      <c r="U15" s="260">
        <v>2</v>
      </c>
      <c r="V15" s="36"/>
      <c r="W15" s="621" t="str">
        <f>IF(OR(AND(Z3+Z4&gt;1,Z3+Z4&lt;9)),T11,0)</f>
        <v>B3</v>
      </c>
      <c r="X15" s="622"/>
      <c r="Y15" s="622"/>
      <c r="Z15" s="622"/>
      <c r="AA15" s="623"/>
      <c r="AB15" s="108"/>
      <c r="AC15" s="159"/>
    </row>
    <row r="16" spans="1:29" ht="18.95" customHeight="1" thickBot="1">
      <c r="A16"/>
      <c r="B16" s="228"/>
      <c r="D16" s="36"/>
      <c r="E16" s="36"/>
      <c r="F16" s="36"/>
      <c r="H16" s="386"/>
      <c r="I16" s="828" t="s">
        <v>11</v>
      </c>
      <c r="J16" s="829"/>
      <c r="K16" s="829"/>
      <c r="L16" s="829"/>
      <c r="M16" s="829"/>
      <c r="N16" s="829"/>
      <c r="O16" s="829"/>
      <c r="P16" s="829"/>
      <c r="Q16" s="829"/>
      <c r="R16" s="829"/>
      <c r="S16" s="830"/>
      <c r="T16" s="383"/>
      <c r="U16" s="170">
        <v>3</v>
      </c>
      <c r="V16" s="36"/>
      <c r="W16" s="594" t="str">
        <f>IF(OR(AND(Z3+Z4&gt;2,Z3+Z4&lt;9)),T19,0)</f>
        <v>C1</v>
      </c>
      <c r="X16" s="595"/>
      <c r="Y16" s="595"/>
      <c r="Z16" s="595"/>
      <c r="AA16" s="596"/>
      <c r="AB16" s="108"/>
      <c r="AC16" s="213"/>
    </row>
    <row r="17" spans="1:47" ht="18.95" customHeight="1" thickBot="1">
      <c r="A17"/>
      <c r="B17" s="228"/>
      <c r="D17" s="36"/>
      <c r="E17" s="36"/>
      <c r="F17" s="36"/>
      <c r="H17" s="386"/>
      <c r="J17" s="831" t="s">
        <v>51</v>
      </c>
      <c r="K17" s="832"/>
      <c r="L17" s="833"/>
      <c r="O17" s="840" t="s">
        <v>91</v>
      </c>
      <c r="P17" s="841"/>
      <c r="Q17" s="841"/>
      <c r="R17" s="841"/>
      <c r="S17" s="842"/>
      <c r="T17" s="383"/>
      <c r="U17" s="170">
        <v>4</v>
      </c>
      <c r="V17" s="36"/>
      <c r="W17" s="594" t="str">
        <f>IF(OR(AND(A2&gt;83,A2&lt;87)),T20,IF(OR(AND(Z3+Z4&gt;3,Z3+Z4&lt;9)),T20,IF(OR(AND(A2=0)),$N$14,IF(OR(AND(A2=0)),B13,0))))</f>
        <v>C2</v>
      </c>
      <c r="X17" s="595"/>
      <c r="Y17" s="595"/>
      <c r="Z17" s="595"/>
      <c r="AA17" s="596"/>
      <c r="AB17" s="108"/>
    </row>
    <row r="18" spans="1:47" ht="18.95" customHeight="1" thickBot="1">
      <c r="A18"/>
      <c r="B18" s="228"/>
      <c r="C18" s="107" t="s">
        <v>6</v>
      </c>
      <c r="D18" s="36"/>
      <c r="E18" s="105" t="s">
        <v>52</v>
      </c>
      <c r="F18" s="36"/>
      <c r="G18" s="107" t="s">
        <v>5</v>
      </c>
      <c r="H18" s="386"/>
      <c r="I18" s="107" t="s">
        <v>6</v>
      </c>
      <c r="K18" s="53" t="s">
        <v>14</v>
      </c>
      <c r="M18" s="107" t="s">
        <v>5</v>
      </c>
      <c r="O18" s="107" t="s">
        <v>6</v>
      </c>
      <c r="S18" s="107" t="s">
        <v>5</v>
      </c>
      <c r="T18" s="383"/>
      <c r="U18" s="170">
        <v>5</v>
      </c>
      <c r="V18" s="36"/>
      <c r="W18" s="594" t="str">
        <f>IF(OR(AND(Z3+Z4&gt;4,Z3+Z4&lt;9)),$T$24,IF(OR(AND(Z3+Z4&gt;3,Z3+Z4&lt;5)),0,0))</f>
        <v>A3</v>
      </c>
      <c r="X18" s="595"/>
      <c r="Y18" s="595"/>
      <c r="Z18" s="595"/>
      <c r="AA18" s="596"/>
      <c r="AB18" s="108"/>
    </row>
    <row r="19" spans="1:47" ht="18.95" customHeight="1" thickBot="1">
      <c r="A19"/>
      <c r="B19" s="228"/>
      <c r="C19" s="662"/>
      <c r="D19" s="794" t="str">
        <f>IF(OR(A2=0),"OFFICE",IF(AND(A2&gt;84,A2&lt;87),'Poule 1 et 2'!H26,IF(AND(A2&gt;90,A2&lt;97),'Poule 1 et 2'!H26,IF(AND(A2&gt;110,A2&lt;111),'Poule 1 et 2'!H26,IF(AND(A2&gt;99,A2&lt;169),'Poule 3 et 4'!H25,0)))))</f>
        <v>B3</v>
      </c>
      <c r="E19" s="795"/>
      <c r="F19" s="796"/>
      <c r="G19" s="120">
        <v>1</v>
      </c>
      <c r="H19" s="382" t="str">
        <f>IF(G19=G20,"résultat",IF(G19&gt;G20,D19,D20))</f>
        <v>B3</v>
      </c>
      <c r="I19" s="808"/>
      <c r="J19" s="803" t="str">
        <f>IF(OR(A2=0),"OFFICE",IF(AND(G7=G8),"Perdant 1/4 A",IF(AND(Z3+Z4&gt;4,Z3+Z4&lt;9),H8,0)))</f>
        <v>A3</v>
      </c>
      <c r="K19" s="846"/>
      <c r="L19" s="847"/>
      <c r="M19" s="120">
        <v>1</v>
      </c>
      <c r="N19" s="383" t="str">
        <f>IF(M19=M20,"résultat",IF(M19&gt;M20,J19,J20))</f>
        <v>A3</v>
      </c>
      <c r="O19" s="662"/>
      <c r="P19" s="843" t="str">
        <f>IF(OR(A2=0),"OFFICE",IF(OR(AND(Z3+Z4&gt;2,Z3+Z4&lt;9)),N8,IF(AND(A2=0,M7=M8),"Perdant 1/2 Finale A",IF(OR(A2&gt;80,A2&lt;83),0,0))))</f>
        <v>C1</v>
      </c>
      <c r="Q19" s="844"/>
      <c r="R19" s="845"/>
      <c r="S19" s="53">
        <v>1</v>
      </c>
      <c r="T19" s="383" t="str">
        <f>IF(S19=S20,"résultat",IF(S19&gt;S20,P19,P20))</f>
        <v>C1</v>
      </c>
      <c r="U19" s="170">
        <v>6</v>
      </c>
      <c r="V19" s="36"/>
      <c r="W19" s="621">
        <f>IF(OR(AND(Z3&gt;3,Z3&lt;5)),0,IF(OR(AND(Z3&gt;5,Z3&lt;9)),T25,0))</f>
        <v>0</v>
      </c>
      <c r="X19" s="622"/>
      <c r="Y19" s="622"/>
      <c r="Z19" s="622"/>
      <c r="AA19" s="623"/>
      <c r="AB19" s="108"/>
    </row>
    <row r="20" spans="1:47" ht="18.95" customHeight="1" thickBot="1">
      <c r="A20"/>
      <c r="B20" s="227"/>
      <c r="C20" s="663"/>
      <c r="D20" s="797" t="str">
        <f>IF(OR(A2=86,A2=85,A2=91,A2=92,A2=93,A2=95,A2=94,A2=96,A2=101,A2=102,A2=103,A2=104,A2=105,A2=106,A2=112,A2=113,A2=114,A2=115),"OFFICE",IF(AND(A2&gt;130,A2&lt;134),'Poule 3 et 4'!AB25,IF(AND(A2&gt;133,A2&lt;169),'Poule 3 et 4'!AB26,IF(AND(A2=111),'Poule 1 et 2'!AB27,IF(AND(A2=116),'Poule 1 et 2'!AB27,IF(AND(A2&gt;116,A2&lt;129),'Poule 1 et 2'!AB27,IF(AND(A2&gt;116,A2&lt;118),'Poule 1 et 2'!H27,IF(AND(A2&gt;106,A2&lt;111),'Poule 1 et 2'!H26,0))))))))</f>
        <v>C4</v>
      </c>
      <c r="E20" s="798"/>
      <c r="F20" s="799"/>
      <c r="G20" s="110">
        <v>0</v>
      </c>
      <c r="H20" s="382" t="str">
        <f>IF(G19=G20,"résultat",IF(G19&lt;G20,D19,D20))</f>
        <v>C4</v>
      </c>
      <c r="I20" s="809"/>
      <c r="J20" s="800" t="str">
        <f>IF(OR(A2=0),"OFFICE",IF(G25=G26,"Perdant 1/4 D ",IF(AND(Z3+Z4&gt;6,Z3+Z4&lt;8),H20,IF(AND(Z3+Z4&gt;0,Z3+Z4&lt;0),H26,IF(AND(Z3+Z4&gt;4,Z3+Z4&lt;9),H26,0)))))</f>
        <v>B4</v>
      </c>
      <c r="K20" s="801"/>
      <c r="L20" s="802"/>
      <c r="M20" s="110">
        <v>0</v>
      </c>
      <c r="N20" s="383" t="str">
        <f>IF(M19=M20,"résultat",IF(M19&lt;M20,J19,J20))</f>
        <v>B4</v>
      </c>
      <c r="O20" s="663"/>
      <c r="P20" s="851" t="str">
        <f>IF(OR(A2=0),"OFFICE",IF(OR(AND(Z3+Z4&gt;2,Z3+Z4&lt;9)),N14,IF(AND(A2=0,M13=M14),"Perdant 1/2 Finale B",IF(AND(A2&gt;82,A2&lt;87,M13&lt;M14),N14,0))))</f>
        <v>C2</v>
      </c>
      <c r="Q20" s="852"/>
      <c r="R20" s="853"/>
      <c r="S20" s="53">
        <v>0</v>
      </c>
      <c r="T20" s="383" t="str">
        <f>IF(S19=S20,"résultat",IF(S19&lt;S20,P19,P20))</f>
        <v>C2</v>
      </c>
      <c r="U20" s="170">
        <v>7</v>
      </c>
      <c r="V20" s="36"/>
      <c r="W20" s="594">
        <f>IF(OR(AND(Z3&gt;3,Z3&lt;5)),0,IF(OR(AND(Z3=7)),T29,IF(OR(AND(Z3&gt;6,Z3&lt;9)),T29,0)))</f>
        <v>0</v>
      </c>
      <c r="X20" s="595"/>
      <c r="Y20" s="595"/>
      <c r="Z20" s="595"/>
      <c r="AA20" s="596"/>
    </row>
    <row r="21" spans="1:47" ht="18.95" customHeight="1" thickBot="1">
      <c r="A21"/>
      <c r="B21" s="227"/>
      <c r="D21" s="36"/>
      <c r="E21" s="36"/>
      <c r="F21" s="36"/>
      <c r="H21" s="386"/>
      <c r="J21" s="36"/>
      <c r="K21" s="36"/>
      <c r="L21" s="36"/>
      <c r="M21" s="40" t="s">
        <v>74</v>
      </c>
      <c r="N21" s="383"/>
      <c r="O21"/>
      <c r="P21"/>
      <c r="Q21"/>
      <c r="R21"/>
      <c r="S21"/>
      <c r="T21" s="383"/>
      <c r="U21" s="171">
        <v>8</v>
      </c>
      <c r="V21" s="36"/>
      <c r="W21" s="848">
        <f>IF(OR(AND($Z$3&gt;3,$Z$3&lt;5)),0,IF(OR(AND(Z3&gt;7,Z3&lt;9)),T30,0))</f>
        <v>0</v>
      </c>
      <c r="X21" s="849"/>
      <c r="Y21" s="849"/>
      <c r="Z21" s="849"/>
      <c r="AA21" s="850"/>
    </row>
    <row r="22" spans="1:47" ht="18.95" customHeight="1" thickBot="1">
      <c r="A22"/>
      <c r="B22" s="226"/>
      <c r="D22" s="36"/>
      <c r="E22" s="36"/>
      <c r="F22" s="36"/>
      <c r="H22" s="386"/>
      <c r="I22" s="806"/>
      <c r="J22" s="807"/>
      <c r="K22" s="807"/>
      <c r="L22" s="807"/>
      <c r="M22" s="109"/>
      <c r="N22" s="383"/>
      <c r="O22" s="854" t="s">
        <v>99</v>
      </c>
      <c r="P22" s="855"/>
      <c r="Q22" s="855"/>
      <c r="R22" s="855"/>
      <c r="S22" s="856"/>
      <c r="T22" s="383"/>
      <c r="U22"/>
      <c r="V22"/>
      <c r="W22"/>
      <c r="X22"/>
      <c r="Y22"/>
      <c r="Z22"/>
      <c r="AA22"/>
    </row>
    <row r="23" spans="1:47" ht="18.95" customHeight="1" thickBot="1">
      <c r="A23"/>
      <c r="B23" s="226"/>
      <c r="D23" s="36"/>
      <c r="E23" s="36"/>
      <c r="F23" s="36"/>
      <c r="H23" s="386"/>
      <c r="I23" s="806"/>
      <c r="J23" s="807"/>
      <c r="K23" s="807"/>
      <c r="L23" s="807"/>
      <c r="M23" s="111"/>
      <c r="N23" s="383"/>
      <c r="O23" s="107" t="s">
        <v>6</v>
      </c>
      <c r="S23" s="107" t="s">
        <v>5</v>
      </c>
      <c r="T23" s="383"/>
      <c r="V23" s="121"/>
      <c r="W23" s="261" t="s">
        <v>103</v>
      </c>
      <c r="X23" s="121"/>
    </row>
    <row r="24" spans="1:47" ht="18.95" customHeight="1" thickBot="1">
      <c r="A24"/>
      <c r="B24" s="227"/>
      <c r="D24" s="36"/>
      <c r="E24" s="105" t="s">
        <v>44</v>
      </c>
      <c r="F24" s="36"/>
      <c r="H24" s="386"/>
      <c r="J24" s="36"/>
      <c r="K24" s="105" t="s">
        <v>15</v>
      </c>
      <c r="L24" s="36"/>
      <c r="N24" s="383"/>
      <c r="O24" s="662"/>
      <c r="P24" s="834" t="str">
        <f>IF(OR(A2=0),"OFFICE",IF(AND(A2&gt;80,A2&lt;85),0,IF(AND(Z3+Z4&gt;4,Z3+Z4&lt;9),N19,IF(AND(A2=0,M19=M20),"Gagnant 1ère Partie Repêchage A",0))))</f>
        <v>A3</v>
      </c>
      <c r="Q24" s="835"/>
      <c r="R24" s="836"/>
      <c r="S24" s="120">
        <v>1</v>
      </c>
      <c r="T24" s="383" t="str">
        <f>IF(S24=S25,"résultat",IF(S24&gt;S25,P24,P25))</f>
        <v>A3</v>
      </c>
      <c r="AB24"/>
      <c r="AC24"/>
      <c r="AD24"/>
      <c r="AE24"/>
    </row>
    <row r="25" spans="1:47" ht="18.95" customHeight="1" thickBot="1">
      <c r="A25"/>
      <c r="B25" s="226"/>
      <c r="C25" s="662"/>
      <c r="D25" s="785" t="str">
        <f>IF(OR(A2=0),"OFFICE",IF(AND(A2&gt;84,A2&lt;87),'Poule 1 et 2'!AB26,IF(AND(A2&gt;90,A2&lt;97),'Poule 3 et 4'!H25,IF(AND(A2&gt;99,A2&lt;169),'Poule 1 et 2'!AB26,0))))</f>
        <v>C2</v>
      </c>
      <c r="E25" s="786"/>
      <c r="F25" s="787"/>
      <c r="G25" s="120">
        <v>1</v>
      </c>
      <c r="H25" s="382" t="str">
        <f>IF(G25=G26,"résultat",IF(G25&gt;G26,D25,D26))</f>
        <v>C2</v>
      </c>
      <c r="I25" s="662"/>
      <c r="J25" s="803" t="str">
        <f>IF(OR(A2=0),"OFFICE",IF(G19=G20,"Perdant 1/4 B",IF(AND(Z3+Z4&gt;4,Z3+Z4&lt;9),H14,IF(AND(Z3+Z4&gt;0,Z3+Z4&lt;0),H14,0))))</f>
        <v>A2</v>
      </c>
      <c r="K25" s="804"/>
      <c r="L25" s="805"/>
      <c r="M25" s="120">
        <v>1</v>
      </c>
      <c r="N25" s="383" t="str">
        <f>IF(M25=M26,"résultat",IF(M25&gt;M26,J25,J26))</f>
        <v>A2</v>
      </c>
      <c r="O25" s="663"/>
      <c r="P25" s="837" t="str">
        <f>IF(OR(A2=0),"OFFICE",IF(AND(Z3+Z4&gt;4,Z3+Z4&lt;9),N25,IF(AND(A2&gt;124,A2=0,M25=M26),"Gagnant 1ère Partie Repêchage B",0)))</f>
        <v>A2</v>
      </c>
      <c r="Q25" s="838"/>
      <c r="R25" s="839"/>
      <c r="S25" s="110">
        <v>0</v>
      </c>
      <c r="T25" s="383" t="str">
        <f>IF(S24=S25,"résultat",IF(S24&lt;S25,P24,P25))</f>
        <v>A2</v>
      </c>
      <c r="V25" s="213"/>
      <c r="AB25"/>
      <c r="AC25"/>
      <c r="AD25"/>
      <c r="AE25"/>
    </row>
    <row r="26" spans="1:47" ht="18.95" customHeight="1" thickBot="1">
      <c r="A26"/>
      <c r="B26" s="227"/>
      <c r="C26" s="663"/>
      <c r="D26" s="797" t="str">
        <f>IF(OR(A2=85,A2=86,A2=92,A2=93,A2=94,A2=95,A2=96,A2=101,A2=102,A2=103,A2=104,A2=105,A2=106,A2=107,A2=108,A2=112,A2=113,A2=114,A2=115),"OFFICE",IF(AND(A2&gt;148,A2&lt;151),0,IF(AND(A2&gt;158,A2&lt;161),0,IF(AND(A2&gt;130,A2&lt;134),'Poule 3 et 4'!AB26,IF(AND(A2&gt;133,A2&lt;169),'Poule 3 et 4'!AB25,IF(AND(A2=111),'Poule 1 et 2'!H26,IF(AND(A2=116),'Poule 1 et 2'!H27,IF(AND(A2&gt;91,A2&lt;92),'Poule 3 et 4'!H25,IF(AND(A2&gt;116,A2&lt;129),'Poule 1 et 2'!H27,0)))))))))</f>
        <v>B4</v>
      </c>
      <c r="E26" s="798"/>
      <c r="F26" s="799"/>
      <c r="G26" s="221">
        <v>0</v>
      </c>
      <c r="H26" s="382" t="str">
        <f>IF(G25=G26,"résultat",IF(G25&lt;G26,D25,D26))</f>
        <v>B4</v>
      </c>
      <c r="I26" s="663"/>
      <c r="J26" s="810" t="str">
        <f>IF(OR(A2=106,A2=0),"OFFICE",IF(AND(G7=G8),"Perdant 1/4 A",IF(AND(Z3+Z4&gt;6,Z3+Z4&lt;8),H26,IF(AND(Z3+Z4&gt;4,Z3+Z4&lt;9),H20,0))))</f>
        <v>C4</v>
      </c>
      <c r="K26" s="811"/>
      <c r="L26" s="812"/>
      <c r="M26" s="110">
        <v>0</v>
      </c>
      <c r="N26" s="383" t="str">
        <f>IF(M25=M26,"résultat",IF(M25&lt;M26,J25,J26))</f>
        <v>C4</v>
      </c>
      <c r="T26" s="383"/>
      <c r="V26" s="159"/>
      <c r="AB26"/>
      <c r="AC26"/>
      <c r="AD26"/>
      <c r="AE26"/>
    </row>
    <row r="27" spans="1:47" ht="18.95" customHeight="1" thickBot="1">
      <c r="A27"/>
      <c r="B27" s="229"/>
      <c r="H27" s="214"/>
      <c r="J27" s="36"/>
      <c r="K27" s="36"/>
      <c r="L27" s="36"/>
      <c r="O27" s="819" t="s">
        <v>92</v>
      </c>
      <c r="P27" s="820"/>
      <c r="Q27" s="820"/>
      <c r="R27" s="820"/>
      <c r="S27" s="821"/>
      <c r="T27" s="384"/>
      <c r="V27"/>
      <c r="W27"/>
      <c r="X27"/>
      <c r="Y27"/>
      <c r="Z27"/>
      <c r="AA27"/>
      <c r="AB27"/>
      <c r="AC27"/>
      <c r="AD27"/>
      <c r="AE27"/>
    </row>
    <row r="28" spans="1:47" ht="18.95" customHeight="1" thickBot="1">
      <c r="A28"/>
      <c r="B28"/>
      <c r="C28"/>
      <c r="D28"/>
      <c r="E28"/>
      <c r="F28" s="168" t="str">
        <f>IF(E28=E29,"résultat",IF(E28&gt;E29,B28,B29))</f>
        <v>résultat</v>
      </c>
      <c r="G28" s="159"/>
      <c r="N28" s="40"/>
      <c r="O28" s="107" t="s">
        <v>6</v>
      </c>
      <c r="S28" s="107" t="s">
        <v>5</v>
      </c>
      <c r="T28" s="383"/>
      <c r="U28" s="159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47" ht="18.95" customHeight="1" thickBot="1">
      <c r="A29"/>
      <c r="B29"/>
      <c r="C29"/>
      <c r="D29"/>
      <c r="E29"/>
      <c r="F29" s="168" t="str">
        <f>IF(E28=E29,"résultat",IF(E28&lt;E29,B28,B29))</f>
        <v>résultat</v>
      </c>
      <c r="N29" s="40"/>
      <c r="O29" s="662"/>
      <c r="P29" s="813" t="str">
        <f>IF(OR(A2=0),"OFFICE",IF(AND(Z3+Z4&gt;6,Z3+Z4&lt;9),N20,IF(AND(A2&gt;0,A2&lt;0,M19=M20),"Gagnant 1ère Partie Repêchage A",0)))</f>
        <v>B4</v>
      </c>
      <c r="Q29" s="814"/>
      <c r="R29" s="815"/>
      <c r="S29" s="120">
        <v>1</v>
      </c>
      <c r="T29" s="383" t="str">
        <f>IF(S29=S30,"résultat",IF(S29&gt;S30,P29,P30))</f>
        <v>B4</v>
      </c>
      <c r="U29" s="213"/>
      <c r="V29"/>
      <c r="W29"/>
      <c r="X29"/>
      <c r="Y29"/>
      <c r="Z29"/>
      <c r="AA29"/>
      <c r="AB29"/>
      <c r="AC29"/>
      <c r="AD29"/>
      <c r="AE29"/>
      <c r="AG29"/>
      <c r="AH29"/>
    </row>
    <row r="30" spans="1:47" ht="15.75" thickBot="1">
      <c r="A30"/>
      <c r="B30"/>
      <c r="C30"/>
      <c r="D30"/>
      <c r="E30"/>
      <c r="N30" s="40"/>
      <c r="O30" s="663"/>
      <c r="P30" s="816" t="str">
        <f>IF(OR(A2=0),"OFFICE",IF(AND(Z3+Z4&gt;6,Z3+Z4&lt;9),N26,0))</f>
        <v>C4</v>
      </c>
      <c r="Q30" s="817"/>
      <c r="R30" s="818"/>
      <c r="S30" s="223">
        <v>0</v>
      </c>
      <c r="T30" s="383" t="str">
        <f>IF(S29=S30,"résultat",IF(S29&lt;S30,P29,P30))</f>
        <v>C4</v>
      </c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47" ht="19.5" customHeight="1">
      <c r="A31"/>
      <c r="B31"/>
      <c r="C31"/>
      <c r="D31"/>
      <c r="E31"/>
      <c r="F31" s="160"/>
      <c r="G31" s="160"/>
      <c r="H31" s="160"/>
      <c r="I31" s="160"/>
      <c r="J31" s="160"/>
      <c r="K31" s="160"/>
      <c r="L31" s="160"/>
      <c r="M31" s="160"/>
      <c r="N31" s="160"/>
      <c r="S31"/>
      <c r="T31" s="220"/>
      <c r="V31"/>
      <c r="W31"/>
      <c r="X31"/>
      <c r="Y31"/>
      <c r="Z31"/>
      <c r="AA31"/>
      <c r="AB31"/>
      <c r="AC31"/>
      <c r="AD31"/>
      <c r="AE31"/>
      <c r="AF31"/>
      <c r="AG31"/>
      <c r="AH31"/>
      <c r="AT31" s="127"/>
      <c r="AU31" s="127"/>
    </row>
    <row r="32" spans="1:47" ht="18" customHeight="1">
      <c r="N32" s="40"/>
      <c r="V32"/>
      <c r="W32"/>
      <c r="X32"/>
      <c r="Y32"/>
      <c r="Z32"/>
      <c r="AA32"/>
      <c r="AB32"/>
      <c r="AC32"/>
      <c r="AD32"/>
      <c r="AE32"/>
      <c r="AF32"/>
      <c r="AG32"/>
      <c r="AH32"/>
      <c r="AT32" s="127"/>
      <c r="AU32" s="127"/>
    </row>
    <row r="33" spans="10:37" ht="18.75">
      <c r="J33" s="134"/>
      <c r="K33" s="134"/>
      <c r="L33" s="134"/>
      <c r="M33" s="134"/>
      <c r="N33" s="211"/>
      <c r="V33"/>
      <c r="W33"/>
      <c r="X33"/>
      <c r="Y33"/>
      <c r="Z33"/>
      <c r="AA33"/>
      <c r="AB33"/>
      <c r="AC33"/>
      <c r="AD33"/>
      <c r="AE33"/>
      <c r="AJ33" s="127"/>
      <c r="AK33" s="127"/>
    </row>
    <row r="34" spans="10:37" ht="18" customHeight="1">
      <c r="J34" s="162"/>
      <c r="K34" s="162"/>
      <c r="L34" s="162"/>
      <c r="M34" s="162"/>
      <c r="N34" s="212"/>
      <c r="U34" s="160"/>
      <c r="V34"/>
      <c r="W34"/>
      <c r="X34"/>
      <c r="Y34"/>
      <c r="Z34"/>
      <c r="AA34"/>
      <c r="AJ34" s="127"/>
      <c r="AK34" s="127"/>
    </row>
    <row r="35" spans="10:37">
      <c r="U35" s="161"/>
      <c r="V35"/>
      <c r="W35"/>
      <c r="X35"/>
      <c r="Y35"/>
      <c r="Z35"/>
      <c r="AA35"/>
      <c r="AJ35" s="127"/>
      <c r="AK35" s="127"/>
    </row>
    <row r="36" spans="10:37">
      <c r="V36"/>
      <c r="W36"/>
      <c r="X36"/>
      <c r="Y36"/>
      <c r="Z36"/>
      <c r="AA36"/>
      <c r="AJ36" s="127"/>
      <c r="AK36" s="127"/>
    </row>
    <row r="37" spans="10:37">
      <c r="AJ37" s="127"/>
      <c r="AK37" s="127"/>
    </row>
  </sheetData>
  <sheetProtection formatCells="0" formatColumns="0" formatRows="0" insertColumns="0" insertRows="0" insertHyperlinks="0" deleteColumns="0" deleteRows="0" sort="0"/>
  <sortState ref="B10:B19">
    <sortCondition ref="B10"/>
  </sortState>
  <mergeCells count="67">
    <mergeCell ref="W18:AA18"/>
    <mergeCell ref="W19:AA19"/>
    <mergeCell ref="W20:AA20"/>
    <mergeCell ref="O8:S8"/>
    <mergeCell ref="V7:AC7"/>
    <mergeCell ref="W14:AA14"/>
    <mergeCell ref="W15:AA15"/>
    <mergeCell ref="W16:AA16"/>
    <mergeCell ref="W17:AA17"/>
    <mergeCell ref="W21:AA21"/>
    <mergeCell ref="P20:R20"/>
    <mergeCell ref="O22:S22"/>
    <mergeCell ref="F1:K1"/>
    <mergeCell ref="L1:M1"/>
    <mergeCell ref="N1:O1"/>
    <mergeCell ref="P1:R1"/>
    <mergeCell ref="S1:U1"/>
    <mergeCell ref="F2:N3"/>
    <mergeCell ref="O3:Y3"/>
    <mergeCell ref="D5:F5"/>
    <mergeCell ref="J5:L5"/>
    <mergeCell ref="P5:R5"/>
    <mergeCell ref="P4:W4"/>
    <mergeCell ref="AA1:AB1"/>
    <mergeCell ref="V1:Z1"/>
    <mergeCell ref="O29:O30"/>
    <mergeCell ref="P29:R29"/>
    <mergeCell ref="P30:R30"/>
    <mergeCell ref="O27:S27"/>
    <mergeCell ref="O10:O11"/>
    <mergeCell ref="P10:R10"/>
    <mergeCell ref="P11:R11"/>
    <mergeCell ref="I16:S16"/>
    <mergeCell ref="J17:L17"/>
    <mergeCell ref="P24:R24"/>
    <mergeCell ref="P25:R25"/>
    <mergeCell ref="O24:O25"/>
    <mergeCell ref="O17:S17"/>
    <mergeCell ref="O19:O20"/>
    <mergeCell ref="P19:R19"/>
    <mergeCell ref="J19:L19"/>
    <mergeCell ref="D19:F19"/>
    <mergeCell ref="D20:F20"/>
    <mergeCell ref="J20:L20"/>
    <mergeCell ref="C25:C26"/>
    <mergeCell ref="I25:I26"/>
    <mergeCell ref="J25:L25"/>
    <mergeCell ref="I22:I23"/>
    <mergeCell ref="J22:L22"/>
    <mergeCell ref="J23:L23"/>
    <mergeCell ref="C19:C20"/>
    <mergeCell ref="I19:I20"/>
    <mergeCell ref="D25:F25"/>
    <mergeCell ref="D26:F26"/>
    <mergeCell ref="J26:L26"/>
    <mergeCell ref="C7:C8"/>
    <mergeCell ref="J8:L8"/>
    <mergeCell ref="I7:I8"/>
    <mergeCell ref="J7:L7"/>
    <mergeCell ref="D7:F7"/>
    <mergeCell ref="D8:F8"/>
    <mergeCell ref="C13:C14"/>
    <mergeCell ref="J13:L13"/>
    <mergeCell ref="J14:L14"/>
    <mergeCell ref="D13:F13"/>
    <mergeCell ref="D14:F14"/>
    <mergeCell ref="I13:I14"/>
  </mergeCells>
  <conditionalFormatting sqref="W14:AA14">
    <cfRule type="expression" dxfId="16" priority="36">
      <formula>(OR(Z3+$Z$4=8,Z3+$Z$4=7,Z3+$Z$4=6,Z3+$Z$4=5,Z3+$Z$4=4,Z3+$Z$4=3,Z3+$Z$4=2))</formula>
    </cfRule>
  </conditionalFormatting>
  <conditionalFormatting sqref="W15 AA15">
    <cfRule type="expression" dxfId="15" priority="35">
      <formula>(OR(Z3+$Z$4=9,Z3+$Z$4=8,Z3+$Z$4=7,Z3+$Z$4=6,Z3+$Z$4=5,Z3+$Z$4=4,Z3+$Z$4=3,Z3+$Z$4=2))</formula>
    </cfRule>
  </conditionalFormatting>
  <conditionalFormatting sqref="W16:AA16">
    <cfRule type="expression" dxfId="14" priority="34">
      <formula>(OR(Z3+$Z$4=9,Z3+$Z$4=8,Z3+$Z$4=7,Z3+$Z$4=6,Z3+$Z$4=5,Z3+$Z$4=4,Z3+$Z$4=3))</formula>
    </cfRule>
  </conditionalFormatting>
  <conditionalFormatting sqref="W17:AA17">
    <cfRule type="expression" dxfId="13" priority="33">
      <formula>(OR(Z3+$Z$4=9,Z3+$Z$4=8,Z3+$Z$4=7,Z3+$Z$4=6,Z3+$Z$4=5,Z3+$Z$4=4))</formula>
    </cfRule>
  </conditionalFormatting>
  <conditionalFormatting sqref="W18">
    <cfRule type="expression" dxfId="12" priority="32">
      <formula>(OR(Z3+$Z$4=9,Z3+$Z$4=8,Z3+$Z$4=7,Z3+$Z$4=6,Z3+$Z$4=5))</formula>
    </cfRule>
  </conditionalFormatting>
  <conditionalFormatting sqref="W19">
    <cfRule type="expression" dxfId="11" priority="31">
      <formula>(OR(Z3=9,Z3=8,Z3=7,Z3=6))</formula>
    </cfRule>
  </conditionalFormatting>
  <conditionalFormatting sqref="W20:AA20">
    <cfRule type="expression" dxfId="10" priority="30">
      <formula>(OR(Z3=9,Z3=8,Z3=7))</formula>
    </cfRule>
  </conditionalFormatting>
  <conditionalFormatting sqref="W21:AA21">
    <cfRule type="expression" dxfId="9" priority="29">
      <formula>(OR(Z3=9,Z3=8))</formula>
    </cfRule>
  </conditionalFormatting>
  <conditionalFormatting sqref="K19:L25 Q17:R18 O17:P20 S17:S20 O29:S30 O24:S26 D7:F26 J7:L14 P10:R11 J19:J26">
    <cfRule type="containsText" dxfId="8" priority="21" operator="containsText" text="OFFICE">
      <formula>NOT(ISERROR(SEARCH("OFFICE",D7)))</formula>
    </cfRule>
  </conditionalFormatting>
  <conditionalFormatting sqref="U14">
    <cfRule type="expression" dxfId="7" priority="14">
      <formula>(OR(Z3+$Z$4=9,Z3+$Z$4=8,Z3+$Z$4=7,Z3+$Z$4=6,Z3+$Z$4=5,Z3+$Z$4=4,Z3+$Z$4=3,Z3+$Z$4=2,Z3+$Z$4=1))</formula>
    </cfRule>
  </conditionalFormatting>
  <conditionalFormatting sqref="U15">
    <cfRule type="expression" dxfId="6" priority="13">
      <formula>(OR(Z3+$Z$4=9,Z3+$Z$4=8,Z3+$Z$4=7,Z3+$Z$4=6,Z3+$Z$4=5,Z3+$Z$4=4,Z3+$Z$4=3,Z3+$Z$4=2))</formula>
    </cfRule>
  </conditionalFormatting>
  <conditionalFormatting sqref="U16">
    <cfRule type="expression" dxfId="5" priority="11">
      <formula>(OR(Z3+$Z$4=9,Z3+$Z$4=8,Z3+$Z$4=7,Z3+$Z$4=6,Z3+$Z$4=5,Z3+$Z$4=4,Z3+$Z$4=3))</formula>
    </cfRule>
  </conditionalFormatting>
  <conditionalFormatting sqref="U17">
    <cfRule type="expression" dxfId="4" priority="10">
      <formula>(OR(Z3+$Z$4=9,Z3+$Z$4=8,Z3+$Z$4=7,Z3+$Z$4=6,Z3+$Z$4=5,Z3+$Z$4=4))</formula>
    </cfRule>
  </conditionalFormatting>
  <conditionalFormatting sqref="U18">
    <cfRule type="expression" dxfId="3" priority="9">
      <formula>(OR(Z3+$Z$4=9,Z3+$Z$4=8,Z3+$Z$4=7,Z3+$Z$4=6,Z3+$Z$4=5))</formula>
    </cfRule>
  </conditionalFormatting>
  <conditionalFormatting sqref="U19">
    <cfRule type="expression" dxfId="2" priority="7">
      <formula>(OR(Z3=9,Z3=8,Z3=7,Z3=6))</formula>
    </cfRule>
  </conditionalFormatting>
  <conditionalFormatting sqref="U20">
    <cfRule type="expression" dxfId="1" priority="6">
      <formula>(OR(Z3=9,Z3=8,Z3=7))</formula>
    </cfRule>
  </conditionalFormatting>
  <conditionalFormatting sqref="U21">
    <cfRule type="expression" dxfId="0" priority="5">
      <formula>(OR(Z3=9,Z3=8))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P8:S14"/>
  <sheetViews>
    <sheetView workbookViewId="0">
      <selection activeCell="D5" sqref="D5"/>
    </sheetView>
  </sheetViews>
  <sheetFormatPr baseColWidth="10" defaultRowHeight="15"/>
  <cols>
    <col min="4" max="4" width="13.28515625" bestFit="1" customWidth="1"/>
  </cols>
  <sheetData>
    <row r="8" spans="16:19" ht="21">
      <c r="P8" s="236"/>
      <c r="Q8" s="236"/>
      <c r="R8" s="236"/>
    </row>
    <row r="9" spans="16:19" ht="21">
      <c r="P9" s="236"/>
      <c r="Q9" s="236"/>
      <c r="R9" s="236"/>
    </row>
    <row r="10" spans="16:19" ht="21">
      <c r="P10" s="236"/>
      <c r="Q10" s="236"/>
      <c r="R10" s="236"/>
    </row>
    <row r="11" spans="16:19" ht="21">
      <c r="P11" s="236"/>
      <c r="Q11" s="236"/>
      <c r="R11" s="236"/>
    </row>
    <row r="12" spans="16:19" ht="21">
      <c r="P12" s="236"/>
      <c r="Q12" s="236"/>
      <c r="R12" s="236"/>
    </row>
    <row r="13" spans="16:19" ht="21">
      <c r="P13" s="236"/>
      <c r="Q13" s="236"/>
      <c r="R13" s="236"/>
    </row>
    <row r="14" spans="16:19" ht="23.25" customHeight="1">
      <c r="P14" s="237"/>
      <c r="Q14" s="237"/>
      <c r="R14" s="237"/>
      <c r="S14" s="23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CA47"/>
  <sheetViews>
    <sheetView tabSelected="1" zoomScale="60" zoomScaleNormal="60" zoomScaleSheetLayoutView="70" workbookViewId="0">
      <selection activeCell="I3" sqref="I3:K3"/>
    </sheetView>
  </sheetViews>
  <sheetFormatPr baseColWidth="10" defaultRowHeight="15"/>
  <cols>
    <col min="1" max="1" width="10.85546875" style="303" customWidth="1"/>
    <col min="2" max="2" width="7.5703125" style="303" customWidth="1"/>
    <col min="3" max="3" width="11.42578125" style="303"/>
    <col min="4" max="4" width="8.7109375" style="303" customWidth="1"/>
    <col min="5" max="5" width="8.5703125" style="303" customWidth="1"/>
    <col min="6" max="6" width="7.85546875" style="303" customWidth="1"/>
    <col min="7" max="7" width="8.140625" style="303" customWidth="1"/>
    <col min="8" max="8" width="7.85546875" style="303" customWidth="1"/>
    <col min="9" max="9" width="6.5703125" style="303" customWidth="1"/>
    <col min="10" max="10" width="7" style="303" customWidth="1"/>
    <col min="11" max="11" width="8.5703125" style="303" customWidth="1"/>
    <col min="12" max="12" width="8.5703125" style="127" customWidth="1"/>
    <col min="13" max="14" width="17.140625" style="127" customWidth="1"/>
    <col min="15" max="15" width="11.42578125" style="127" customWidth="1"/>
    <col min="16" max="16" width="10" style="303" customWidth="1"/>
    <col min="17" max="17" width="7.5703125" style="303" customWidth="1"/>
    <col min="18" max="18" width="31.85546875" style="303" customWidth="1"/>
    <col min="19" max="19" width="27.28515625" style="303" customWidth="1"/>
    <col min="20" max="20" width="14" style="303" customWidth="1"/>
    <col min="21" max="21" width="9.5703125" style="303" customWidth="1"/>
    <col min="22" max="22" width="22.85546875" style="303" customWidth="1"/>
    <col min="23" max="23" width="5.28515625" style="303" customWidth="1"/>
    <col min="24" max="24" width="4.7109375" style="303" customWidth="1"/>
    <col min="25" max="25" width="10.42578125" style="303" customWidth="1"/>
    <col min="26" max="26" width="10.5703125" style="337" customWidth="1"/>
    <col min="27" max="27" width="6.7109375" style="303" customWidth="1"/>
    <col min="28" max="28" width="8.5703125" style="303" customWidth="1"/>
    <col min="29" max="29" width="26" style="303" customWidth="1"/>
    <col min="30" max="30" width="11.28515625" style="303" customWidth="1"/>
    <col min="31" max="31" width="8.42578125" style="303" customWidth="1"/>
    <col min="32" max="32" width="9.140625" style="303" customWidth="1"/>
    <col min="33" max="33" width="2" style="303" customWidth="1"/>
    <col min="34" max="34" width="26.28515625" style="303" customWidth="1"/>
    <col min="35" max="36" width="7.85546875" style="303" customWidth="1"/>
    <col min="37" max="37" width="2.7109375" style="303" customWidth="1"/>
    <col min="38" max="38" width="7.7109375" style="303" customWidth="1"/>
    <col min="39" max="39" width="1.85546875" style="303" customWidth="1"/>
    <col min="40" max="40" width="25.140625" style="303" customWidth="1"/>
    <col min="41" max="41" width="6.7109375" style="303" customWidth="1"/>
    <col min="42" max="42" width="5.140625" style="303" customWidth="1"/>
    <col min="43" max="43" width="8.42578125" style="303" customWidth="1"/>
    <col min="44" max="44" width="2.28515625" style="303" customWidth="1"/>
    <col min="45" max="45" width="24.85546875" style="303" customWidth="1"/>
    <col min="46" max="46" width="6.5703125" style="303" customWidth="1"/>
    <col min="47" max="47" width="9" style="303" hidden="1" customWidth="1"/>
    <col min="48" max="48" width="25" style="303" hidden="1" customWidth="1"/>
    <col min="49" max="49" width="6.5703125" style="303" customWidth="1"/>
    <col min="50" max="51" width="8.85546875" style="303" customWidth="1"/>
    <col min="52" max="52" width="9.5703125" style="303" customWidth="1"/>
    <col min="53" max="53" width="11.7109375" style="303" customWidth="1"/>
    <col min="54" max="54" width="4.85546875" style="127" customWidth="1"/>
    <col min="55" max="55" width="6" style="303" customWidth="1"/>
    <col min="56" max="56" width="8.28515625" style="303" customWidth="1"/>
    <col min="57" max="57" width="9.7109375" style="303" customWidth="1"/>
    <col min="58" max="58" width="10" style="303" customWidth="1"/>
    <col min="59" max="60" width="9.7109375" style="303" customWidth="1"/>
    <col min="61" max="61" width="13.7109375" style="337" customWidth="1"/>
    <col min="62" max="62" width="8.85546875" style="303" customWidth="1"/>
    <col min="63" max="63" width="9.85546875" style="303" customWidth="1"/>
    <col min="64" max="64" width="10.42578125" style="303" customWidth="1"/>
    <col min="65" max="66" width="10.140625" style="303" customWidth="1"/>
    <col min="67" max="67" width="16.28515625" style="303" customWidth="1"/>
    <col min="68" max="68" width="8.85546875" style="303" customWidth="1"/>
    <col min="69" max="69" width="7" style="303" customWidth="1"/>
    <col min="70" max="70" width="8.85546875" style="303" customWidth="1"/>
    <col min="71" max="71" width="6.5703125" style="303" customWidth="1"/>
    <col min="72" max="72" width="12" style="303" customWidth="1"/>
    <col min="73" max="73" width="11" style="303" customWidth="1"/>
    <col min="74" max="74" width="13.42578125" style="303" customWidth="1"/>
    <col min="75" max="75" width="9.7109375" style="303" customWidth="1"/>
    <col min="76" max="76" width="12.7109375" style="303" customWidth="1"/>
    <col min="77" max="77" width="13.42578125" style="303" customWidth="1"/>
    <col min="78" max="78" width="17.85546875" style="303" customWidth="1"/>
    <col min="79" max="79" width="8.7109375" style="303" customWidth="1"/>
    <col min="80" max="80" width="7.5703125" style="303" customWidth="1"/>
    <col min="81" max="81" width="3.28515625" style="303" customWidth="1"/>
    <col min="82" max="82" width="23.5703125" style="303" customWidth="1"/>
    <col min="83" max="83" width="9.5703125" style="303" customWidth="1"/>
    <col min="84" max="84" width="8.85546875" style="303" customWidth="1"/>
    <col min="85" max="85" width="9.28515625" style="303" customWidth="1"/>
    <col min="86" max="86" width="8.5703125" style="303" customWidth="1"/>
    <col min="87" max="87" width="9" style="303" customWidth="1"/>
    <col min="88" max="88" width="9.28515625" style="303" customWidth="1"/>
    <col min="89" max="89" width="9" style="303" customWidth="1"/>
    <col min="90" max="90" width="8.85546875" style="303" customWidth="1"/>
    <col min="91" max="92" width="9" style="303" customWidth="1"/>
    <col min="93" max="95" width="8.85546875" style="303" customWidth="1"/>
    <col min="96" max="97" width="9" style="303" customWidth="1"/>
    <col min="98" max="98" width="8.85546875" style="303" customWidth="1"/>
    <col min="99" max="99" width="9" style="303" customWidth="1"/>
    <col min="100" max="102" width="8.85546875" style="303" customWidth="1"/>
    <col min="103" max="103" width="3.5703125" style="303" customWidth="1"/>
    <col min="104" max="104" width="43.5703125" style="303" customWidth="1"/>
    <col min="105" max="16384" width="11.42578125" style="303"/>
  </cols>
  <sheetData>
    <row r="1" spans="1:79" ht="28.5" thickBot="1">
      <c r="B1" s="584" t="s">
        <v>79</v>
      </c>
      <c r="C1" s="585"/>
      <c r="D1" s="585"/>
      <c r="E1" s="585"/>
      <c r="F1" s="586"/>
      <c r="G1" s="570" t="s">
        <v>128</v>
      </c>
      <c r="H1" s="571"/>
      <c r="I1" s="571"/>
      <c r="J1" s="571"/>
      <c r="K1" s="571"/>
      <c r="L1" s="572"/>
      <c r="S1" s="304"/>
      <c r="X1" s="305"/>
      <c r="Y1" s="346"/>
      <c r="Z1" s="389"/>
      <c r="AA1" s="389"/>
      <c r="AB1" s="389"/>
      <c r="AC1" s="389"/>
      <c r="AD1" s="389"/>
      <c r="AF1" s="389"/>
      <c r="AG1" s="389"/>
      <c r="AH1" s="389"/>
      <c r="AI1" s="389"/>
      <c r="AJ1" s="389"/>
      <c r="AK1" s="389"/>
      <c r="AL1" s="641">
        <f>+H10</f>
        <v>88</v>
      </c>
      <c r="AM1" s="642"/>
      <c r="AN1" s="389"/>
      <c r="AO1" s="389"/>
      <c r="AQ1" s="332"/>
      <c r="AR1" s="332"/>
      <c r="AS1" s="332"/>
      <c r="AT1" s="393"/>
      <c r="AU1" s="332"/>
      <c r="AZ1" s="389"/>
      <c r="BA1" s="389"/>
      <c r="BH1" s="337"/>
      <c r="BI1" s="640">
        <f>+H10</f>
        <v>88</v>
      </c>
      <c r="BJ1" s="337"/>
      <c r="BK1" s="337"/>
      <c r="BL1" s="337"/>
      <c r="BM1" s="337"/>
      <c r="BN1" s="331"/>
      <c r="BO1" s="331"/>
      <c r="BP1" s="331"/>
      <c r="BU1" s="346"/>
      <c r="BV1" s="346"/>
    </row>
    <row r="2" spans="1:79" ht="37.5" customHeight="1" thickBot="1">
      <c r="X2" s="305"/>
      <c r="Y2" s="346"/>
      <c r="Z2" s="303"/>
      <c r="AB2" s="346"/>
      <c r="AL2" s="641"/>
      <c r="AM2" s="642"/>
      <c r="AP2" s="388"/>
      <c r="AV2" s="337"/>
      <c r="AW2" s="332"/>
      <c r="BD2" s="337"/>
      <c r="BF2" s="337"/>
      <c r="BI2" s="640"/>
    </row>
    <row r="3" spans="1:79" ht="28.5" customHeight="1" thickBot="1">
      <c r="A3" s="325" t="s">
        <v>24</v>
      </c>
      <c r="C3" s="390">
        <f ca="1">TODAY()</f>
        <v>44191</v>
      </c>
      <c r="D3" s="573">
        <f ca="1">YEAR(NOW())</f>
        <v>2020</v>
      </c>
      <c r="E3" s="574"/>
      <c r="F3" s="326"/>
      <c r="G3" s="575" t="s">
        <v>21</v>
      </c>
      <c r="H3" s="575"/>
      <c r="I3" s="567" t="s">
        <v>70</v>
      </c>
      <c r="J3" s="576"/>
      <c r="K3" s="568"/>
      <c r="P3" s="450"/>
      <c r="Q3" s="306"/>
      <c r="R3" s="306"/>
      <c r="S3" s="306"/>
      <c r="T3" s="381" t="s">
        <v>55</v>
      </c>
      <c r="X3" s="306"/>
      <c r="Y3" s="394"/>
      <c r="Z3" s="597" t="s">
        <v>51</v>
      </c>
      <c r="AA3" s="598"/>
      <c r="AB3" s="598"/>
      <c r="AC3" s="598"/>
      <c r="AD3" s="599"/>
      <c r="AE3" s="395"/>
      <c r="AF3" s="606" t="s">
        <v>125</v>
      </c>
      <c r="AG3" s="607"/>
      <c r="AH3" s="607"/>
      <c r="AI3" s="608"/>
      <c r="AJ3" s="395"/>
      <c r="AK3" s="395"/>
      <c r="AL3" s="612" t="s">
        <v>105</v>
      </c>
      <c r="AM3" s="613"/>
      <c r="AN3" s="613"/>
      <c r="AO3" s="614"/>
      <c r="AP3" s="395"/>
      <c r="AQ3" s="396"/>
      <c r="AR3" s="395"/>
      <c r="AS3" s="397" t="s">
        <v>59</v>
      </c>
      <c r="AT3" s="395"/>
      <c r="AU3" s="394"/>
      <c r="AV3" s="378"/>
      <c r="AW3" s="609" t="s">
        <v>118</v>
      </c>
      <c r="AX3" s="610"/>
      <c r="AY3" s="610"/>
      <c r="AZ3" s="610"/>
      <c r="BA3" s="611"/>
      <c r="BC3" s="378"/>
      <c r="BD3" s="600" t="s">
        <v>106</v>
      </c>
      <c r="BE3" s="601"/>
      <c r="BF3" s="601"/>
      <c r="BG3" s="601"/>
      <c r="BH3" s="602"/>
      <c r="BI3" s="395"/>
      <c r="BJ3" s="603" t="s">
        <v>107</v>
      </c>
      <c r="BK3" s="604"/>
      <c r="BL3" s="604"/>
      <c r="BM3" s="604"/>
      <c r="BN3" s="605"/>
      <c r="BO3" s="445"/>
      <c r="BP3" s="389"/>
      <c r="BQ3" s="546" t="s">
        <v>46</v>
      </c>
      <c r="BR3" s="547"/>
      <c r="BS3" s="547"/>
      <c r="BT3" s="547"/>
      <c r="BU3" s="547"/>
      <c r="BV3" s="547"/>
      <c r="BW3" s="548"/>
      <c r="BX3" s="395"/>
    </row>
    <row r="4" spans="1:79" ht="23.25" customHeight="1" thickBot="1">
      <c r="P4" s="307"/>
      <c r="Q4" s="308" t="s">
        <v>53</v>
      </c>
      <c r="R4" s="309" t="s">
        <v>56</v>
      </c>
      <c r="S4" s="310" t="s">
        <v>124</v>
      </c>
      <c r="T4" s="27" t="s">
        <v>80</v>
      </c>
      <c r="X4" s="300"/>
      <c r="Y4" s="346"/>
      <c r="Z4" s="302" t="s">
        <v>108</v>
      </c>
      <c r="AA4" s="302" t="s">
        <v>69</v>
      </c>
      <c r="AB4" s="442"/>
      <c r="AC4" s="302" t="s">
        <v>109</v>
      </c>
      <c r="AD4" s="302" t="s">
        <v>110</v>
      </c>
      <c r="AE4" s="398"/>
      <c r="AF4" s="262" t="s">
        <v>69</v>
      </c>
      <c r="AG4" s="262"/>
      <c r="AH4" s="262" t="s">
        <v>109</v>
      </c>
      <c r="AI4" s="262" t="s">
        <v>110</v>
      </c>
      <c r="AJ4" s="398"/>
      <c r="AK4" s="398"/>
      <c r="AL4" s="262" t="s">
        <v>69</v>
      </c>
      <c r="AM4" s="262"/>
      <c r="AN4" s="262" t="s">
        <v>109</v>
      </c>
      <c r="AO4" s="262" t="s">
        <v>110</v>
      </c>
      <c r="AP4" s="262"/>
      <c r="AQ4" s="399"/>
      <c r="AR4" s="400"/>
      <c r="AS4" s="401"/>
      <c r="AT4" s="398"/>
      <c r="AU4" s="402"/>
      <c r="AV4" s="263"/>
      <c r="AW4" s="311"/>
      <c r="AX4" s="263"/>
      <c r="AY4" s="263"/>
      <c r="AZ4" s="263"/>
      <c r="BA4" s="263"/>
      <c r="BC4" s="337"/>
      <c r="BD4" s="263"/>
      <c r="BE4" s="263"/>
      <c r="BF4" s="263"/>
      <c r="BG4" s="263"/>
      <c r="BH4" s="263"/>
      <c r="BI4" s="303"/>
      <c r="BJ4" s="263"/>
      <c r="BK4" s="263"/>
      <c r="BL4" s="263"/>
      <c r="BM4" s="263"/>
      <c r="BN4" s="263"/>
      <c r="BO4" s="263"/>
      <c r="BP4" s="389"/>
    </row>
    <row r="5" spans="1:79" ht="27" thickTop="1" thickBot="1">
      <c r="A5" s="454"/>
      <c r="B5" s="325" t="s">
        <v>22</v>
      </c>
      <c r="C5" s="325"/>
      <c r="D5" s="325"/>
      <c r="E5" s="567" t="s">
        <v>64</v>
      </c>
      <c r="F5" s="568"/>
      <c r="G5" s="127"/>
      <c r="H5" s="328"/>
      <c r="I5" s="329"/>
      <c r="J5" s="330"/>
      <c r="K5" s="327"/>
      <c r="P5" s="312">
        <v>1</v>
      </c>
      <c r="Q5" s="232"/>
      <c r="R5" s="230" t="s">
        <v>83</v>
      </c>
      <c r="S5" s="84"/>
      <c r="T5" s="29">
        <v>1</v>
      </c>
      <c r="U5" s="300"/>
      <c r="V5" s="300"/>
      <c r="W5" s="300"/>
      <c r="X5" s="337"/>
      <c r="Y5" s="457">
        <v>1</v>
      </c>
      <c r="Z5" s="577">
        <v>1</v>
      </c>
      <c r="AA5" s="580">
        <v>1</v>
      </c>
      <c r="AB5" s="465" t="s">
        <v>14</v>
      </c>
      <c r="AC5" s="338" t="str">
        <f>IF(ISNA(MATCH(Y5,$T$5:$T$20,0)),"",INDEX($R$5:$R$23,MATCH(Y5,$T$5:$T$20,0)))</f>
        <v>A1</v>
      </c>
      <c r="AD5" s="313">
        <v>1</v>
      </c>
      <c r="AE5" s="403"/>
      <c r="AF5" s="643">
        <v>4</v>
      </c>
      <c r="AG5" s="429"/>
      <c r="AH5" s="264" t="str">
        <f>IF(X5=X6,"résultat",IF(AD5&gt;AD6,AC5,AC6))</f>
        <v>A1</v>
      </c>
      <c r="AI5" s="313">
        <v>1</v>
      </c>
      <c r="AJ5" s="403"/>
      <c r="AK5" s="443"/>
      <c r="AL5" s="266"/>
      <c r="AM5" s="266"/>
      <c r="AN5" s="267"/>
      <c r="AO5" s="267"/>
      <c r="AQ5" s="404">
        <v>1</v>
      </c>
      <c r="AR5" s="405"/>
      <c r="AS5" s="339" t="str">
        <f>IF(X6+X7=0," ",IF(X6+X7=30," ",IF(X6+X7=40," ",IF($X6+$X7=43,IF($AI5=$AI6,"résultat",IF($AI5&gt;$AI6,$AH5,$AH6)),(IF($X6+$X7=42,IF($AI5=$AI6,"résultat",IF($AI5&gt;$AI6,$AH5,$AH6)),(IF($X6+$X7=32,IF($AI5=$AI6,"résultat",IF($AI5&gt;$AI6,$AH5,$AH6))))))))))</f>
        <v xml:space="preserve"> </v>
      </c>
      <c r="AU5" s="402"/>
      <c r="AV5" s="314"/>
      <c r="AW5" s="263" t="s">
        <v>111</v>
      </c>
      <c r="AX5" s="263"/>
      <c r="AY5" s="340" t="s">
        <v>14</v>
      </c>
      <c r="AZ5" s="341"/>
      <c r="BA5" s="268" t="s">
        <v>110</v>
      </c>
      <c r="BD5" s="269"/>
      <c r="BE5" s="269"/>
      <c r="BF5" s="269"/>
      <c r="BG5" s="269"/>
      <c r="BI5" s="263"/>
      <c r="BJ5" s="263"/>
      <c r="BK5" s="263"/>
      <c r="BL5" s="263"/>
      <c r="BM5" s="263"/>
      <c r="BN5" s="263"/>
      <c r="BO5" s="263"/>
      <c r="BP5" s="389"/>
      <c r="BT5" s="395"/>
      <c r="BU5" s="441" t="str">
        <f>+F11</f>
        <v>8</v>
      </c>
      <c r="BV5" s="407"/>
      <c r="BW5" s="395"/>
      <c r="CA5" s="346"/>
    </row>
    <row r="6" spans="1:79" ht="21.75" customHeight="1" thickBot="1">
      <c r="H6" s="505" t="s">
        <v>78</v>
      </c>
      <c r="I6" s="505"/>
      <c r="J6" s="505"/>
      <c r="K6" s="505"/>
      <c r="P6" s="34">
        <v>2</v>
      </c>
      <c r="Q6" s="233"/>
      <c r="R6" s="231" t="s">
        <v>84</v>
      </c>
      <c r="S6" s="91"/>
      <c r="T6" s="30">
        <v>2</v>
      </c>
      <c r="U6" s="300"/>
      <c r="V6" s="300"/>
      <c r="W6" s="300"/>
      <c r="X6" s="337" t="str">
        <f>CONCATENATE(E17,E18)</f>
        <v>40</v>
      </c>
      <c r="Y6" s="458">
        <v>2</v>
      </c>
      <c r="Z6" s="578"/>
      <c r="AA6" s="581"/>
      <c r="AB6" s="466" t="s">
        <v>15</v>
      </c>
      <c r="AC6" s="224" t="str">
        <f>IF(ISNA(MATCH(Y6,$T$5:$T$20,0)),"",INDEX($R$5:$R$23,MATCH(Y6,$T$5:$T$20,0)))</f>
        <v>B1</v>
      </c>
      <c r="AD6" s="315">
        <v>0</v>
      </c>
      <c r="AE6" s="408"/>
      <c r="AF6" s="520"/>
      <c r="AG6" s="430"/>
      <c r="AH6" s="265" t="str">
        <f>IF(X5=X6,"résultat",IF(AD7&gt;AD8,AC7,AC8))</f>
        <v>C1</v>
      </c>
      <c r="AI6" s="315">
        <v>0</v>
      </c>
      <c r="AJ6" s="408"/>
      <c r="AK6" s="332"/>
      <c r="AL6" s="519"/>
      <c r="AM6" s="427"/>
      <c r="AN6" s="270" t="str">
        <f>IF(X6+X7=0," ",IF(X6+X7=30," ",IF(X6+X7=40," ",IF(X6+X7=43," ",IF(X6+X7=42,IF($AI$5=$AI$6,"résultat",IF($AI$5&lt;$AI$6,$AH$5,$AH$6)),IF(X6+X7=32,IF($AI$5=$AI$6,"résultat",IF($AI$5&lt;$AI$6,$AH$5,$AH$6))))))))</f>
        <v xml:space="preserve"> </v>
      </c>
      <c r="AO6" s="316">
        <v>1</v>
      </c>
      <c r="AQ6" s="30">
        <v>2</v>
      </c>
      <c r="AR6" s="409"/>
      <c r="AS6" s="342" t="str">
        <f>IF(X6+X7=0," ",IF(X6+X7=30," ",IF(X6+X7=40," ",IF($X6+$X7=43,IF($AI5=$AI6,"résultat",IF($AI5&lt;$AI6,$AH5,$AH6)),(IF($X6+$X7=42,IF($AO6=$AO7,"résultat",IF($AO6&gt;$AO7,$AN6,$AN7)),(IF($X6+$X7=32,IF($AO6=$AO7,"résultat",IF($AO6&gt;$AO7,$AN6,$AN7))))))))))</f>
        <v xml:space="preserve"> </v>
      </c>
      <c r="AU6" s="402"/>
      <c r="AV6" s="268" t="s">
        <v>83</v>
      </c>
      <c r="AW6" s="530">
        <v>1</v>
      </c>
      <c r="AX6" s="532" t="str">
        <f>IF(OR(H10=0),"OFFICE",IF(OR(AND(H10&gt;0,H10&lt;0)),0,IF(AND(H10&gt;80,H10&lt;169),AS5)))</f>
        <v xml:space="preserve"> </v>
      </c>
      <c r="AY6" s="533"/>
      <c r="AZ6" s="534"/>
      <c r="BA6" s="317">
        <v>1</v>
      </c>
      <c r="BC6" s="411"/>
      <c r="BD6" s="269"/>
      <c r="BE6" s="269"/>
      <c r="BF6" s="269"/>
      <c r="BG6" s="269"/>
      <c r="BH6" s="269"/>
      <c r="BI6" s="303"/>
      <c r="BP6" s="389"/>
      <c r="BU6" s="412"/>
    </row>
    <row r="7" spans="1:79" ht="24" customHeight="1" thickBot="1">
      <c r="A7" s="325"/>
      <c r="B7" s="325"/>
      <c r="C7" s="569" t="s">
        <v>123</v>
      </c>
      <c r="D7" s="569"/>
      <c r="E7" s="569"/>
      <c r="G7" s="332"/>
      <c r="H7" s="332"/>
      <c r="P7" s="34">
        <v>3</v>
      </c>
      <c r="Q7" s="233"/>
      <c r="R7" s="231" t="s">
        <v>85</v>
      </c>
      <c r="S7" s="91"/>
      <c r="T7" s="30">
        <v>3</v>
      </c>
      <c r="U7" s="300"/>
      <c r="V7" s="300"/>
      <c r="W7" s="300"/>
      <c r="X7" s="337"/>
      <c r="Y7" s="458">
        <v>3</v>
      </c>
      <c r="Z7" s="578"/>
      <c r="AA7" s="582">
        <v>2</v>
      </c>
      <c r="AB7" s="467" t="s">
        <v>52</v>
      </c>
      <c r="AC7" s="343" t="str">
        <f>IF(ISNA(MATCH(Y7,$T$5:$T$20,0)),"",INDEX($R$5:$R$23,MATCH(Y7,$T$5:$T$20,0)))</f>
        <v>C1</v>
      </c>
      <c r="AD7" s="318">
        <v>1</v>
      </c>
      <c r="AE7" s="408"/>
      <c r="AF7" s="519">
        <v>5</v>
      </c>
      <c r="AG7" s="431"/>
      <c r="AH7" s="272" t="str">
        <f>IF(X5=X6,"résultat",IF(AD5&lt;AD6,AC5,AC6))</f>
        <v>B1</v>
      </c>
      <c r="AI7" s="318">
        <v>1</v>
      </c>
      <c r="AJ7" s="408"/>
      <c r="AK7" s="332"/>
      <c r="AL7" s="520"/>
      <c r="AM7" s="428"/>
      <c r="AN7" s="273" t="str">
        <f>IF(X6+X7=0," ",IF(X6+X7=30," ",IF(X6+X7=40," ",IF(X6+X7=43," ",IF(X6+X7=42,IF(AI7=AI8,"résultat",IF(AI7&gt;AI8,AH7,AH8)),(IF(X6+X7=32,IF(AI7=AI8,"résultat",IF(AI7&gt;AI8,AH7,AH8)))))))))</f>
        <v xml:space="preserve"> </v>
      </c>
      <c r="AO7" s="315">
        <v>0</v>
      </c>
      <c r="AQ7" s="191">
        <v>3</v>
      </c>
      <c r="AR7" s="409"/>
      <c r="AS7" s="344" t="str">
        <f>IF($X6+$X7=0," ",IF($X6+$X7=30," ",IF($X6+$X7=40," ",IF($X6+$X7=43,IF($AI7=$AI8,"résultat",IF($AI7&gt;$AI8,$AH7,$AH8)),(IF($X6+$X7=42," ",(IF($X6+$X7=32," "))))))))</f>
        <v xml:space="preserve"> </v>
      </c>
      <c r="AU7" s="402"/>
      <c r="AV7" s="268" t="s">
        <v>112</v>
      </c>
      <c r="AW7" s="531"/>
      <c r="AX7" s="645" t="str">
        <f>IF(OR(H10=0),"OFFICE",IF(AND(H10&gt;80,H10&lt;111),AS10,IF(AND(H10&gt;110,H10&lt;130),AS11,IF(AND(H10&gt;130,H10&lt;169),AS10," "))))</f>
        <v xml:space="preserve"> </v>
      </c>
      <c r="AY7" s="646"/>
      <c r="AZ7" s="647"/>
      <c r="BA7" s="319">
        <v>0</v>
      </c>
      <c r="BC7" s="411"/>
      <c r="BD7" s="263" t="s">
        <v>111</v>
      </c>
      <c r="BE7" s="263"/>
      <c r="BF7" s="340" t="s">
        <v>14</v>
      </c>
      <c r="BG7" s="345"/>
      <c r="BH7" s="268" t="s">
        <v>110</v>
      </c>
      <c r="BI7" s="303"/>
      <c r="BJ7" s="127"/>
      <c r="BK7" s="127"/>
      <c r="BL7" s="127"/>
      <c r="BM7" s="127"/>
      <c r="BN7" s="127"/>
      <c r="BO7" s="127"/>
      <c r="BP7" s="389"/>
    </row>
    <row r="8" spans="1:79" ht="27" customHeight="1" thickBot="1">
      <c r="A8" s="333"/>
      <c r="C8" s="325"/>
      <c r="D8" s="334"/>
      <c r="H8" s="328"/>
      <c r="I8" s="392">
        <f>IF(D17=8,4,IF(D17=9,3,IF(D17=10,4,IF(D17=11,5,IF(D17=12,6,IF(D17=13,5,IF(D17=14,6,IF(D17=15,7,IF(D17=16,8,"0")))))))))</f>
        <v>4</v>
      </c>
      <c r="J8" s="335" t="s">
        <v>69</v>
      </c>
      <c r="P8" s="34">
        <v>4</v>
      </c>
      <c r="Q8" s="233"/>
      <c r="R8" s="231" t="s">
        <v>86</v>
      </c>
      <c r="T8" s="30">
        <v>4</v>
      </c>
      <c r="U8" s="300"/>
      <c r="V8" s="300"/>
      <c r="W8" s="300"/>
      <c r="X8" s="337"/>
      <c r="Y8" s="459">
        <f>IF(OR(AND($H$10&gt;79,$H$10&lt;90),AND($H$10&gt;99,$H$10&lt;160),AND($H$10&gt;159,$H$10&lt;170),AND($H$10&gt;189,$H$10&lt;210),AND($H$10&gt;219,$H$10&lt;820),),4,0)</f>
        <v>4</v>
      </c>
      <c r="Z8" s="579"/>
      <c r="AA8" s="583"/>
      <c r="AB8" s="468" t="str">
        <f>IF(AC8="Office"," ","D")</f>
        <v>D</v>
      </c>
      <c r="AC8" s="350" t="str">
        <f>IF(ISNA(MATCH(Y8,$T$5:$T$20,0)),"OFFICE",INDEX($R$5:$R$23,MATCH(Y8,$T$5:$T$20,0)))</f>
        <v>D1</v>
      </c>
      <c r="AD8" s="320">
        <v>0</v>
      </c>
      <c r="AE8" s="413"/>
      <c r="AF8" s="644"/>
      <c r="AG8" s="432"/>
      <c r="AH8" s="274" t="str">
        <f>IF(X5=X6,"résultat",IF(AD7&lt;AD8,AC7,AC8))</f>
        <v>D1</v>
      </c>
      <c r="AI8" s="320">
        <v>0</v>
      </c>
      <c r="AJ8" s="413"/>
      <c r="AK8" s="398"/>
      <c r="AL8" s="275"/>
      <c r="AM8" s="275"/>
      <c r="AN8" s="321"/>
      <c r="AO8" s="414"/>
      <c r="AP8" s="414"/>
      <c r="AQ8" s="275"/>
      <c r="AR8" s="275"/>
      <c r="AS8" s="336"/>
      <c r="AT8" s="398"/>
      <c r="AU8" s="402"/>
      <c r="AV8" s="337"/>
      <c r="AW8" s="269"/>
      <c r="AX8" s="276"/>
      <c r="AY8" s="276"/>
      <c r="AZ8" s="276"/>
      <c r="BA8" s="269"/>
      <c r="BC8" s="411"/>
      <c r="BD8" s="530">
        <v>1</v>
      </c>
      <c r="BE8" s="532" t="str">
        <f>IF(AND(H10=0),"0",IF(AND(BA6=BA7),"Gagnant 1/8 A",IF(AND(H10&gt;85,H10&lt;169),IF(BA6&gt;BA7,AX6,AX7),IF(AND(BA6&lt;BA7),0," "))))</f>
        <v xml:space="preserve"> </v>
      </c>
      <c r="BF8" s="533"/>
      <c r="BG8" s="534"/>
      <c r="BH8" s="317">
        <v>1</v>
      </c>
      <c r="BI8" s="415"/>
      <c r="BP8" s="389"/>
    </row>
    <row r="9" spans="1:79" ht="27" customHeight="1" thickTop="1" thickBot="1">
      <c r="E9" s="331"/>
      <c r="H9" s="328"/>
      <c r="I9" s="389"/>
      <c r="J9" s="389"/>
      <c r="P9" s="34">
        <v>5</v>
      </c>
      <c r="Q9" s="233"/>
      <c r="R9" s="231" t="s">
        <v>87</v>
      </c>
      <c r="S9" s="91"/>
      <c r="T9" s="30">
        <v>5</v>
      </c>
      <c r="U9" s="300"/>
      <c r="V9" s="300"/>
      <c r="W9" s="300"/>
      <c r="X9" s="337"/>
      <c r="Y9" s="460">
        <f>IF(OR(AND($H$10&gt;89,$H$10&lt;100),AND(H10&gt;0,H10&lt;0)),4,IF(OR(AND($H$10&gt;80,$H$10&lt;90),AND($H$10&gt;99,$H$10&lt;110),AND($H$10&gt;109,$H$10&lt;170)),5,0))</f>
        <v>5</v>
      </c>
      <c r="Z9" s="577">
        <v>2</v>
      </c>
      <c r="AA9" s="354">
        <v>3</v>
      </c>
      <c r="AB9" s="469" t="s">
        <v>14</v>
      </c>
      <c r="AC9" s="355" t="str">
        <f>IF(ISNA(MATCH(Y9,$T$5:$T$20,0)),"",INDEX($R$5:$R$23,MATCH(Y9,$T$5:$T$20,0)))</f>
        <v>A2</v>
      </c>
      <c r="AD9" s="322">
        <v>1</v>
      </c>
      <c r="AE9" s="408"/>
      <c r="AF9" s="447">
        <v>6</v>
      </c>
      <c r="AG9" s="429"/>
      <c r="AH9" s="264" t="str">
        <f>IF(X9=X10,"résultat",IF(AD9&gt;AD10,AC9,AC10))</f>
        <v>A2</v>
      </c>
      <c r="AI9" s="316">
        <v>1</v>
      </c>
      <c r="AJ9" s="408"/>
      <c r="AK9" s="332"/>
      <c r="AL9" s="277"/>
      <c r="AM9" s="277"/>
      <c r="AN9" s="323"/>
      <c r="AO9" s="416"/>
      <c r="AP9" s="416"/>
      <c r="AQ9" s="417">
        <v>1</v>
      </c>
      <c r="AR9" s="409"/>
      <c r="AS9" s="356" t="str">
        <f>IF(X10+X11=0," ",IF(X10+X11=30," ",IF(X10+X11=40," ",IF($X10+$X11=43,IF($AI9=$AI10,"résultat",IF($AI9&gt;$AI10,$AH9,$AH10)),(IF($X10+$X11=42,IF($AI9=$AI10,"résultat",IF($AI9&gt;$AI10,$AH9,$AH10)),(IF($X10+$X11=32,IF($AI9=$AI10,"résultat",IF($AI9&gt;$AI10,$AH9,$AH10))))))))))</f>
        <v xml:space="preserve"> </v>
      </c>
      <c r="AU9" s="345"/>
      <c r="AV9" s="337"/>
      <c r="AW9" s="269"/>
      <c r="AX9" s="276"/>
      <c r="AY9" s="438" t="s">
        <v>15</v>
      </c>
      <c r="AZ9" s="227"/>
      <c r="BC9" s="341"/>
      <c r="BD9" s="531"/>
      <c r="BE9" s="624" t="str">
        <f>IF(OR(AND(H10=0,)),"0",IF(AND(H10&gt;85,H10&lt;169),IF(BA10&gt;BA11,AX10,AX11)," "))</f>
        <v xml:space="preserve"> </v>
      </c>
      <c r="BF9" s="625"/>
      <c r="BG9" s="626"/>
      <c r="BH9" s="319">
        <v>0</v>
      </c>
      <c r="BI9" s="402"/>
      <c r="BR9" s="615" t="s">
        <v>116</v>
      </c>
      <c r="BS9" s="616"/>
      <c r="BT9" s="616"/>
      <c r="BU9" s="616"/>
      <c r="BV9" s="617"/>
    </row>
    <row r="10" spans="1:79" ht="30" customHeight="1" thickBot="1">
      <c r="A10" s="633" t="s">
        <v>23</v>
      </c>
      <c r="B10" s="633"/>
      <c r="C10" s="633"/>
      <c r="D10" s="633"/>
      <c r="E10" s="634"/>
      <c r="F10" s="425" t="str">
        <f>IF(OR(AND(H10&gt;0,H10&lt;100)),LEFT(H10,1),IF(OR(AND(H10&gt;99,H10&lt;1000)),LEFT(H10,2)))</f>
        <v>8</v>
      </c>
      <c r="G10" s="127"/>
      <c r="H10" s="637">
        <v>88</v>
      </c>
      <c r="I10" s="638"/>
      <c r="L10" s="303"/>
      <c r="P10" s="34">
        <v>6</v>
      </c>
      <c r="Q10" s="233"/>
      <c r="R10" s="231" t="s">
        <v>88</v>
      </c>
      <c r="S10" s="91"/>
      <c r="T10" s="30">
        <v>6</v>
      </c>
      <c r="U10" s="300"/>
      <c r="V10" s="300"/>
      <c r="W10" s="300"/>
      <c r="X10" s="337" t="str">
        <f>CONCATENATE(F17,F18)</f>
        <v>40</v>
      </c>
      <c r="Y10" s="461">
        <f>IF(OR(AND($H$10&gt;89,$H$10&lt;100),AND(H10&gt;0,H10&lt;0)),5,IF(OR(AND($H$10&gt;99,$H$10&lt;110),AND($H$10&gt;80,$H$10&lt;90),AND($H$10&gt;109,$H$10&lt;170)),6,0))</f>
        <v>6</v>
      </c>
      <c r="Z10" s="578"/>
      <c r="AA10" s="452"/>
      <c r="AB10" s="466" t="s">
        <v>15</v>
      </c>
      <c r="AC10" s="224" t="str">
        <f>IF(ISNA(MATCH(Y10,$T$5:$T$20,0)),"",INDEX($R$5:$R$23,MATCH(Y10,$T$5:$T$20,0)))</f>
        <v>B2</v>
      </c>
      <c r="AD10" s="315">
        <v>0</v>
      </c>
      <c r="AE10" s="408"/>
      <c r="AF10" s="448"/>
      <c r="AG10" s="430"/>
      <c r="AH10" s="265" t="str">
        <f>IF(X9=X10,"résultat",IF(AD11&gt;AD12,AC11,AC12))</f>
        <v>C2</v>
      </c>
      <c r="AI10" s="315">
        <v>0</v>
      </c>
      <c r="AJ10" s="408"/>
      <c r="AK10" s="332"/>
      <c r="AL10" s="519"/>
      <c r="AM10" s="427"/>
      <c r="AN10" s="271" t="str">
        <f>IF(X10+X11=0," ",IF(X10+X11=30," ",IF(X10+X11=40," ",IF(X10+X11=43," ",IF(X10+X11=42,IF(AI9=AI10,"résultat",IF(AI9&lt;AI10,AH9,AH10)),IF(X10+X11=32,IF(AI9=AI10,"résultat",IF(AI9&lt;AI10,AH9,AH10))))))))</f>
        <v xml:space="preserve"> </v>
      </c>
      <c r="AO10" s="316">
        <v>1</v>
      </c>
      <c r="AQ10" s="30">
        <v>2</v>
      </c>
      <c r="AR10" s="409"/>
      <c r="AS10" s="342" t="str">
        <f>IF(X10+X11=0," ",IF(X10+X11=30," ",IF(X10+X11=40," ",IF($X10+$X11=43,IF($AI9=$AI10,"résultat",IF($AI9&lt;$AI10,$AH9,$AH10)),(IF($X10+$X11=42,IF($AO10=$AO11,"résultat",IF($AO10&gt;$AO11,$AN10,$AN11)),(IF($X10+$X11=32,IF($AO10=$AO11,"résultat",IF($AO10&gt;$AO11,$AN10,$AN11))))))))))</f>
        <v xml:space="preserve"> </v>
      </c>
      <c r="AU10" s="268"/>
      <c r="AV10" s="418" t="s">
        <v>87</v>
      </c>
      <c r="AW10" s="530">
        <v>2</v>
      </c>
      <c r="AX10" s="532" t="str">
        <f>IF(OR(H10=0),"OFFICE",IF(AND(H10&gt;80,H10&lt;169),AS9))</f>
        <v xml:space="preserve"> </v>
      </c>
      <c r="AY10" s="533"/>
      <c r="AZ10" s="534"/>
      <c r="BA10" s="317">
        <v>1</v>
      </c>
      <c r="BC10" s="411"/>
      <c r="BD10" s="361"/>
      <c r="BE10" s="439"/>
      <c r="BF10" s="362"/>
      <c r="BG10" s="362"/>
      <c r="BH10" s="268"/>
      <c r="BI10" s="363"/>
      <c r="BR10" s="363"/>
      <c r="BS10" s="363"/>
      <c r="BT10" s="363"/>
      <c r="BY10" s="395"/>
    </row>
    <row r="11" spans="1:79" s="395" customFormat="1" ht="31.5" customHeight="1" thickBot="1">
      <c r="A11" s="633" t="s">
        <v>58</v>
      </c>
      <c r="B11" s="633"/>
      <c r="C11" s="633"/>
      <c r="D11" s="633"/>
      <c r="E11" s="634"/>
      <c r="F11" s="426" t="str">
        <f>RIGHT(H10,1)</f>
        <v>8</v>
      </c>
      <c r="G11" s="127"/>
      <c r="H11" s="637"/>
      <c r="I11" s="638"/>
      <c r="J11" s="303"/>
      <c r="K11" s="303"/>
      <c r="L11" s="303"/>
      <c r="M11" s="127"/>
      <c r="N11" s="127"/>
      <c r="O11" s="127"/>
      <c r="P11" s="34">
        <v>7</v>
      </c>
      <c r="Q11" s="233"/>
      <c r="R11" s="231" t="s">
        <v>89</v>
      </c>
      <c r="S11" s="303"/>
      <c r="T11" s="30">
        <v>7</v>
      </c>
      <c r="U11" s="300"/>
      <c r="V11" s="300"/>
      <c r="W11" s="300"/>
      <c r="X11" s="337"/>
      <c r="Y11" s="461">
        <f>IF(OR(AND($H$10&gt;89,$H$10&lt;100),AND(H10&gt;0,H10&lt;0)),6,IF(OR(AND($H$10&gt;80,$H$10&lt;90),AND($H$10&gt;99,$H$10&lt;110),AND($H$10&gt;109,$H$10&lt;170)),7,0))</f>
        <v>7</v>
      </c>
      <c r="Z11" s="578"/>
      <c r="AA11" s="453">
        <v>4</v>
      </c>
      <c r="AB11" s="467" t="s">
        <v>52</v>
      </c>
      <c r="AC11" s="343" t="str">
        <f>IF(ISNA(MATCH(Y11,$T$5:$T$20,0)),"",INDEX($R$5:$R$23,MATCH(Y11,$T$5:$T$20,0)))</f>
        <v>C2</v>
      </c>
      <c r="AD11" s="318">
        <v>1</v>
      </c>
      <c r="AE11" s="408"/>
      <c r="AF11" s="449">
        <v>7</v>
      </c>
      <c r="AG11" s="431"/>
      <c r="AH11" s="272" t="str">
        <f>IF(X9=X10,"résultat",IF(AD9&lt;AD10,AC9,AC10))</f>
        <v>B2</v>
      </c>
      <c r="AI11" s="318">
        <v>1</v>
      </c>
      <c r="AJ11" s="408"/>
      <c r="AK11" s="332"/>
      <c r="AL11" s="520"/>
      <c r="AM11" s="428"/>
      <c r="AN11" s="279" t="str">
        <f>IF(X10+X11=0," ",IF(X10+X11=30," ",IF(X10+X11=40," ",IF(X10+X11=43," ",IF(X10+X11=42,IF(AI11=AI12,"résultat",IF(AI11&gt;AI12,AH11,AH12)),(IF(X10+X11=32,IF(AI11=AI12,"résultat",IF(AI11&gt;AI12,AH11,AH12)))))))))</f>
        <v xml:space="preserve"> </v>
      </c>
      <c r="AO11" s="315">
        <v>0</v>
      </c>
      <c r="AP11" s="303"/>
      <c r="AQ11" s="191">
        <v>3</v>
      </c>
      <c r="AR11" s="409"/>
      <c r="AS11" s="344" t="str">
        <f>IF($X10+$X11=0," ",IF($X10+$X11=30," ",IF($X10+$X11=40," ",IF($X10+$X11=43,IF($AI11=$AI12,"résultat",IF($AI11&gt;$AI12,$AH11,$AH12)),(IF($X10+$X11=42," ",(IF($X10+$X11=32," "))))))))</f>
        <v xml:space="preserve"> </v>
      </c>
      <c r="AT11" s="303"/>
      <c r="AU11" s="268"/>
      <c r="AV11" s="446" t="s">
        <v>113</v>
      </c>
      <c r="AW11" s="531"/>
      <c r="AX11" s="541" t="str">
        <f>IF(OR(H10=0),"OFFICE",IF(OR(AND(H10&gt;85,H10&lt;87)),AS6,IF(AND(H10&gt;80,H10&lt;90),AS6,IF(AND(H10&gt;90,H10&lt;111),AS14,IF(AND(H10&gt;110,H10&lt;129),AS7,IF(AND(H10&gt;130,H10&lt;169),AS6," "))))))</f>
        <v xml:space="preserve"> </v>
      </c>
      <c r="AY11" s="542"/>
      <c r="AZ11" s="543"/>
      <c r="BA11" s="319">
        <v>0</v>
      </c>
      <c r="BB11" s="127"/>
      <c r="BC11" s="411"/>
      <c r="BD11" s="361"/>
      <c r="BE11" s="439"/>
      <c r="BF11" s="362"/>
      <c r="BG11" s="362"/>
      <c r="BH11" s="268"/>
      <c r="BI11" s="363"/>
      <c r="BJ11" s="263" t="s">
        <v>111</v>
      </c>
      <c r="BK11" s="263"/>
      <c r="BL11" s="268" t="s">
        <v>109</v>
      </c>
      <c r="BM11" s="268"/>
      <c r="BN11" s="268" t="s">
        <v>110</v>
      </c>
      <c r="BO11" s="268"/>
      <c r="BP11" s="268"/>
      <c r="BQ11" s="346"/>
      <c r="BR11" s="420">
        <v>1</v>
      </c>
      <c r="BS11" s="363"/>
      <c r="BT11" s="591" t="str">
        <f>IF(OR(AND($BU$5+BU6&gt;0,$BU$5+BU6&lt;9)),IF($BN$12&gt;$BN$13,$BK$12,$BK$13)," ")</f>
        <v xml:space="preserve"> </v>
      </c>
      <c r="BU11" s="592"/>
      <c r="BV11" s="593"/>
      <c r="BW11" s="303"/>
      <c r="BX11" s="303"/>
      <c r="BY11" s="303"/>
    </row>
    <row r="12" spans="1:79" ht="25.5" customHeight="1" thickBot="1">
      <c r="A12" s="325"/>
      <c r="P12" s="34">
        <v>8</v>
      </c>
      <c r="Q12" s="233"/>
      <c r="R12" s="231" t="s">
        <v>90</v>
      </c>
      <c r="T12" s="30">
        <v>8</v>
      </c>
      <c r="U12" s="300"/>
      <c r="V12" s="300"/>
      <c r="W12" s="300"/>
      <c r="X12" s="337"/>
      <c r="Y12" s="460">
        <f>IF(OR(AND($H$10&gt;79,$H$10&lt;90)),8,IF(OR(AND($H$10&gt;109,$H$10&lt;130)),8,IF(OR(AND($H$10&gt;139,$H$10&lt;170)),8,0)))</f>
        <v>8</v>
      </c>
      <c r="Z12" s="587"/>
      <c r="AA12" s="452"/>
      <c r="AB12" s="470" t="str">
        <f>IF(AC12="Office"," ","D")</f>
        <v>D</v>
      </c>
      <c r="AC12" s="224" t="str">
        <f>IF(ISNA(MATCH(Y12,$T$5:$T$20,0)),"OFFICE",INDEX($R$5:$R$23,MATCH(Y12,$T$5:$T$20,0)))</f>
        <v>D2</v>
      </c>
      <c r="AD12" s="320">
        <v>0</v>
      </c>
      <c r="AE12" s="413"/>
      <c r="AF12" s="451"/>
      <c r="AG12" s="432"/>
      <c r="AH12" s="274" t="str">
        <f>IF(X9=X10,"résultat",IF(AD11&lt;AD12,AC11,AC12))</f>
        <v>D2</v>
      </c>
      <c r="AI12" s="320">
        <v>0</v>
      </c>
      <c r="AJ12" s="413"/>
      <c r="AK12" s="398"/>
      <c r="AL12" s="275"/>
      <c r="AM12" s="275"/>
      <c r="AN12" s="321"/>
      <c r="AO12" s="414"/>
      <c r="AP12" s="262"/>
      <c r="AQ12" s="262"/>
      <c r="AR12" s="262"/>
      <c r="AS12" s="336"/>
      <c r="AT12" s="262"/>
      <c r="AU12" s="346"/>
      <c r="AV12" s="446"/>
      <c r="AW12" s="421"/>
      <c r="AX12" s="439"/>
      <c r="AY12" s="439"/>
      <c r="AZ12" s="362"/>
      <c r="BA12" s="419"/>
      <c r="BC12" s="367"/>
      <c r="BD12" s="268"/>
      <c r="BE12" s="471"/>
      <c r="BF12" s="471"/>
      <c r="BG12" s="471"/>
      <c r="BH12" s="268"/>
      <c r="BI12" s="268"/>
      <c r="BJ12" s="530">
        <v>1</v>
      </c>
      <c r="BK12" s="532" t="str">
        <f>IF(OR(AND(H10&gt;80,H10&lt;86)),IF(BA6&gt;BA7,AX6,AX7),IF(AND(H10&gt;85,H10&lt;169),IF(BH8&gt;BH9,BE8,BE9)," "))</f>
        <v xml:space="preserve"> </v>
      </c>
      <c r="BL12" s="533"/>
      <c r="BM12" s="534"/>
      <c r="BN12" s="317">
        <v>1</v>
      </c>
      <c r="BO12" s="268"/>
      <c r="BP12" s="268"/>
      <c r="BQ12" s="402"/>
      <c r="BR12" s="410">
        <v>2</v>
      </c>
      <c r="BS12" s="363"/>
      <c r="BT12" s="594" t="str">
        <f>IF(OR(AND($BU$5+BU6&gt;1,$BU$5+BU6&lt;9)),IF($BN$12&lt;$BN$13,$BK$12,$BK$13)," ")</f>
        <v xml:space="preserve"> </v>
      </c>
      <c r="BU12" s="595"/>
      <c r="BV12" s="596"/>
    </row>
    <row r="13" spans="1:79" ht="24.95" customHeight="1" thickTop="1" thickBot="1">
      <c r="A13" s="325"/>
      <c r="C13" s="325"/>
      <c r="P13" s="34">
        <v>9</v>
      </c>
      <c r="Q13" s="233"/>
      <c r="R13" s="231" t="s">
        <v>93</v>
      </c>
      <c r="S13" s="91"/>
      <c r="T13" s="30">
        <v>9</v>
      </c>
      <c r="U13" s="300"/>
      <c r="V13" s="300"/>
      <c r="W13" s="300"/>
      <c r="X13" s="337"/>
      <c r="Y13" s="462">
        <f>IF(OR(AND($H$10&gt;89,$H$10&lt;100)),7,IF(OR(AND($H$10&gt;99,$H$10&lt;110)),8,IF(OR(AND($H$10&gt;109,$H$10&lt;130)),9,IF(OR(AND($H$10&gt;129,$H$10&lt;140)),8,IF(OR(AND($H$10&gt;139,$H$10&lt;170)),9,0)))))</f>
        <v>0</v>
      </c>
      <c r="Z13" s="627">
        <v>3</v>
      </c>
      <c r="AA13" s="582">
        <v>5</v>
      </c>
      <c r="AB13" s="467" t="s">
        <v>14</v>
      </c>
      <c r="AC13" s="343" t="str">
        <f>IF(ISNA(MATCH(Y13,$T$5:$T$20,0)),"",INDEX($R$5:$R$23,MATCH(Y13,$T$5:$T$20,0)))</f>
        <v/>
      </c>
      <c r="AD13" s="313">
        <v>1</v>
      </c>
      <c r="AE13" s="408"/>
      <c r="AF13" s="643">
        <v>8</v>
      </c>
      <c r="AG13" s="429"/>
      <c r="AH13" s="264" t="str">
        <f>IF(X13=X14,"résultat",IF(AD13&gt;AD14,AC13,AC14))</f>
        <v/>
      </c>
      <c r="AI13" s="316">
        <v>1</v>
      </c>
      <c r="AJ13" s="408"/>
      <c r="AK13" s="332"/>
      <c r="AL13" s="266"/>
      <c r="AM13" s="266"/>
      <c r="AN13" s="324"/>
      <c r="AO13" s="416"/>
      <c r="AP13" s="278"/>
      <c r="AQ13" s="404">
        <v>1</v>
      </c>
      <c r="AR13" s="405"/>
      <c r="AS13" s="356" t="str">
        <f>IF(X14+X15=0," ",IF(X14+X15=30," ",IF(X14+X15=40," ",IF($X14+$X15=43,IF($AI13=$AI14,"résultat",IF($AI13&gt;$AI14,$AH13,$AH14)),(IF($X14+$X15=42,IF($AI13=$AI14,"résultat",IF($AI13&gt;$AI14,$AH13,$AH14)),(IF($X14+$X15=32,IF($AI13=$AI14,"résultat",IF($AI13&gt;$AI14,$AH13,$AH14))))))))))</f>
        <v xml:space="preserve"> </v>
      </c>
      <c r="AT13" s="278"/>
      <c r="AU13" s="402"/>
      <c r="AV13" s="337"/>
      <c r="AW13" s="269"/>
      <c r="AX13" s="276"/>
      <c r="AY13" s="438" t="s">
        <v>52</v>
      </c>
      <c r="AZ13" s="440"/>
      <c r="BA13" s="269"/>
      <c r="BC13" s="337"/>
      <c r="BD13" s="269"/>
      <c r="BE13" s="472"/>
      <c r="BF13" s="472"/>
      <c r="BG13" s="472"/>
      <c r="BH13" s="269"/>
      <c r="BI13" s="363"/>
      <c r="BJ13" s="531"/>
      <c r="BK13" s="541" t="str">
        <f>IF(AND(H10&gt;80,H10&lt;86),IF(BA10&gt;BA11,AX10,AX11),IF(AND(H10&gt;85,H10&lt;93),IF(BH16&gt;BH17,BE16,BE17),IF(AND(H10&gt;93,H10&lt;97),IF(BH16&gt;BH17,BE16,BE17),IF(AND(H10&gt;92,H10&lt;94),IF(BH16&gt;BH17,BE16,BE17),IF(AND(H10&gt;100,H10&lt;169),IF(BH16&gt;BH17,BE16,BE17)," ")))))</f>
        <v xml:space="preserve"> </v>
      </c>
      <c r="BL13" s="542"/>
      <c r="BM13" s="543"/>
      <c r="BN13" s="319">
        <v>0</v>
      </c>
      <c r="BO13" s="268"/>
      <c r="BP13" s="268"/>
      <c r="BQ13" s="402"/>
      <c r="BR13" s="406">
        <v>3</v>
      </c>
      <c r="BS13" s="363"/>
      <c r="BT13" s="594" t="str">
        <f>IF(OR(AND($BU$5+BU6&gt;2,$BU$5+BU6&lt;9)),IF(BN25&gt;BN26,BK25,BK26)," ")</f>
        <v xml:space="preserve"> </v>
      </c>
      <c r="BU13" s="595"/>
      <c r="BV13" s="596"/>
    </row>
    <row r="14" spans="1:79" ht="24.95" customHeight="1" thickBot="1">
      <c r="P14" s="34">
        <v>10</v>
      </c>
      <c r="Q14" s="233"/>
      <c r="R14" s="231" t="s">
        <v>94</v>
      </c>
      <c r="S14" s="91"/>
      <c r="T14" s="30">
        <v>10</v>
      </c>
      <c r="U14" s="300"/>
      <c r="V14" s="300"/>
      <c r="W14" s="300"/>
      <c r="X14" s="337" t="str">
        <f>CONCATENATE(G17,G18)</f>
        <v>00</v>
      </c>
      <c r="Y14" s="30">
        <f>IF(OR(AND($H$10&gt;89,$H$10&lt;100)),8,IF(OR(AND($H$10&gt;99,$H$10&lt;110)),9,IF(OR(AND($H$10&gt;109,$H$10&lt;130)),10,IF(OR(AND($H$10&gt;129,$H$10&lt;140)),9,IF(OR(AND($H$10&gt;139,$H$10&lt;170)),10,0)))))</f>
        <v>0</v>
      </c>
      <c r="Z14" s="628"/>
      <c r="AA14" s="581"/>
      <c r="AB14" s="466" t="s">
        <v>15</v>
      </c>
      <c r="AC14" s="224" t="str">
        <f>IF(ISNA(MATCH(Y14,$T$5:$T$20,0)),"",INDEX($R$5:$R$23,MATCH(Y14,$T$5:$T$20,0)))</f>
        <v/>
      </c>
      <c r="AD14" s="315">
        <v>0</v>
      </c>
      <c r="AE14" s="408"/>
      <c r="AF14" s="520"/>
      <c r="AG14" s="430"/>
      <c r="AH14" s="265" t="str">
        <f>IF(X13=X14,"résultat",IF(AD15&gt;AD16,AC15,AC16))</f>
        <v/>
      </c>
      <c r="AI14" s="315">
        <v>0</v>
      </c>
      <c r="AJ14" s="408"/>
      <c r="AK14" s="332"/>
      <c r="AL14" s="519"/>
      <c r="AM14" s="427"/>
      <c r="AN14" s="280" t="str">
        <f>IF(X14+X15=0," ",IF(X14+X15=30," ",IF(X14+X15=43," ",IF(X14+X15=43," ",IF(X14+X15=40," ",(IF(X14+X15=42,IF(AI13=AI14,"résultat",IF(AI13&lt;AI14,AH13,AH14)),IF(X14+X15=32,IF(AI13=AI14,"résultat",IF(AI13&lt;AI14,AH13,AH14))))))))))</f>
        <v xml:space="preserve"> </v>
      </c>
      <c r="AO14" s="316">
        <v>1</v>
      </c>
      <c r="AQ14" s="191">
        <v>2</v>
      </c>
      <c r="AR14" s="409"/>
      <c r="AS14" s="344" t="str">
        <f>IF(X14+X15=0," ",IF(X14+X15=30," ",IF(X14+X15=40," ",IF($X14+$X15=43,IF($AI13=$AI14,"résultat",IF($AI13&gt;$AI14,$AH13,$AH14)),(IF($X14+$X15=42,IF($AO14=$AO15,"résultat",IF($AO14&gt;$AO15,$AN14,$AN15)),(IF($X14+$X15=32,IF($AO14=$AO15,"résultat",IF($AO14&gt;$AO15,$AN14,$AN15))))))))))</f>
        <v xml:space="preserve"> </v>
      </c>
      <c r="AU14" s="402"/>
      <c r="AV14" s="268" t="s">
        <v>93</v>
      </c>
      <c r="AW14" s="530">
        <v>3</v>
      </c>
      <c r="AX14" s="532" t="str">
        <f>IF(OR(AND(H10&gt;85,H10&lt;87)),AS7,IF(OR(AND(H10&gt;90,H10&lt;130)),AS13,IF(OR(AND(H10&gt;130,H10&lt;169)),AS13," ")))</f>
        <v xml:space="preserve"> </v>
      </c>
      <c r="AY14" s="533"/>
      <c r="AZ14" s="534"/>
      <c r="BA14" s="317">
        <v>1</v>
      </c>
      <c r="BC14" s="411"/>
      <c r="BD14" s="269"/>
      <c r="BE14" s="472"/>
      <c r="BF14" s="472"/>
      <c r="BG14" s="472"/>
      <c r="BH14" s="269"/>
      <c r="BI14" s="363"/>
      <c r="BJ14" s="361"/>
      <c r="BN14" s="268"/>
      <c r="BO14" s="268"/>
      <c r="BP14" s="268"/>
      <c r="BQ14" s="402"/>
      <c r="BR14" s="422">
        <v>4</v>
      </c>
      <c r="BS14" s="363"/>
      <c r="BT14" s="594" t="str">
        <f>IF(OR(AND(H10=86)),IF(BN32&gt;BN33,BK32,BK33),IF(OR(AND(H10+H9&gt;93,H10+H9&lt;107)),IF(BN32&gt;BN33,BK32,BK33),IF(OR(AND(H10+H9=107)),IF(BH32&gt;BH33,BE32,BE33),IF(OR(AND(H10+H9=116)),IF(BN25&lt;BN26,BK25,BK26),IF(OR(AND(H10=106)),IF(BA6&lt;BA7,AX6,AX7),IF(OR(AND($BU$5+BU6&gt;3,$BU$5+BU6&lt;9)),IF(BN25&lt;BN26,BK25,BK26)," "))))))</f>
        <v xml:space="preserve"> </v>
      </c>
      <c r="BU14" s="595"/>
      <c r="BV14" s="596"/>
    </row>
    <row r="15" spans="1:79" ht="24.95" customHeight="1" thickBot="1">
      <c r="A15" s="346"/>
      <c r="B15" s="346"/>
      <c r="C15" s="635" t="s">
        <v>72</v>
      </c>
      <c r="D15" s="636"/>
      <c r="E15" s="347" t="s">
        <v>40</v>
      </c>
      <c r="F15" s="348" t="s">
        <v>41</v>
      </c>
      <c r="G15" s="347" t="s">
        <v>42</v>
      </c>
      <c r="H15" s="349" t="s">
        <v>43</v>
      </c>
      <c r="P15" s="34">
        <v>11</v>
      </c>
      <c r="Q15" s="233"/>
      <c r="R15" s="231" t="s">
        <v>95</v>
      </c>
      <c r="S15" s="346"/>
      <c r="T15" s="30">
        <v>11</v>
      </c>
      <c r="U15" s="300"/>
      <c r="V15" s="300"/>
      <c r="W15" s="300"/>
      <c r="X15" s="337"/>
      <c r="Y15" s="30">
        <f>IF(OR(AND($H$10&gt;89,$H$10&lt;100)),9,IF(OR(AND($H$10&gt;99,$H$10&lt;110)),10,IF(OR(AND($H$10&gt;109,$H$10&lt;130)),11,IF(OR(AND($H$10&gt;129,$H$10&lt;140)),10,IF(OR(AND($H$10&gt;139,$H$10&lt;170)),11,0)))))</f>
        <v>0</v>
      </c>
      <c r="Z15" s="628"/>
      <c r="AA15" s="582">
        <v>6</v>
      </c>
      <c r="AB15" s="467" t="s">
        <v>52</v>
      </c>
      <c r="AC15" s="343" t="str">
        <f>IF(ISNA(MATCH(Y15,$T$5:$T$20,0)),"",INDEX($R$5:$R$23,MATCH(Y15,$T$5:$T$20,0)))</f>
        <v/>
      </c>
      <c r="AD15" s="318">
        <v>1</v>
      </c>
      <c r="AE15" s="408"/>
      <c r="AF15" s="519">
        <v>9</v>
      </c>
      <c r="AG15" s="434"/>
      <c r="AH15" s="272" t="str">
        <f>IF(X13=X14,"résultat",IF(AD13&lt;AD14,AC13,AC14))</f>
        <v/>
      </c>
      <c r="AI15" s="318">
        <v>1</v>
      </c>
      <c r="AJ15" s="408"/>
      <c r="AK15" s="332"/>
      <c r="AL15" s="520"/>
      <c r="AM15" s="428"/>
      <c r="AN15" s="281" t="str">
        <f>IF(X14+X15=0," ",IF(X14+X15=30," ",IF(X14+X15=43," ",IF(X14+X15=40," ",IF(X14+X15=32,IF(AI15=AI16,"résultat",IF(AI15&gt;AI16,AH15,AH16)),IF(X14+X15=42,IF(AI15=AI16,"résultat",IF(AI15&gt;AI16,AH15,AH16))))))))</f>
        <v xml:space="preserve"> </v>
      </c>
      <c r="AO15" s="315">
        <v>0</v>
      </c>
      <c r="AS15" s="227"/>
      <c r="AU15" s="402"/>
      <c r="AV15" s="268" t="s">
        <v>114</v>
      </c>
      <c r="AW15" s="531"/>
      <c r="AX15" s="541" t="str">
        <f>IF(OR(AND(H10&gt;85,H10&lt;87)),AS11,IF(OR(AND(H10&gt;90,H10&lt;129)),AS6,IF(OR(AND(H10&gt;129,H10&lt;169)),AS18," ")))</f>
        <v xml:space="preserve"> </v>
      </c>
      <c r="AY15" s="542"/>
      <c r="AZ15" s="543"/>
      <c r="BA15" s="319">
        <v>0</v>
      </c>
      <c r="BC15" s="411"/>
      <c r="BD15" s="269"/>
      <c r="BE15" s="472"/>
      <c r="BF15" s="438" t="s">
        <v>15</v>
      </c>
      <c r="BG15" s="473"/>
      <c r="BH15" s="269"/>
      <c r="BI15" s="363"/>
      <c r="BJ15" s="361"/>
      <c r="BN15" s="268"/>
      <c r="BO15" s="268"/>
      <c r="BP15" s="268"/>
      <c r="BQ15" s="402"/>
      <c r="BR15" s="422">
        <v>5</v>
      </c>
      <c r="BS15" s="363"/>
      <c r="BT15" s="621" t="str">
        <f>IF(OR(AND(H10=86)),IF(BN32&lt;BN33,BK32,BK33),IF(OR(AND(H10&gt;104,H10+H9&lt;108)),IF(BN32&lt;BN33,BK32,BK33),IF(OR(AND(H10&gt;94,H10&lt;97)),IF(BN32&lt;BN33,BK32,BK33),IF(OR(AND(H10&gt;115,H10&lt;117)),IF(BN32&gt;BN33,BK32,BK33),IF(OR(AND(BU5+BU6=106)),IF(BA10&lt;BA11,AX10,AX11),IF(OR(AND($BU$5+BU6&gt;4,$BU$5+BU6&lt;9)),IF($BN$32&gt;$BN$33,$BK$32,$BK$33)," "))))))</f>
        <v xml:space="preserve"> </v>
      </c>
      <c r="BU15" s="622"/>
      <c r="BV15" s="623"/>
    </row>
    <row r="16" spans="1:79" ht="24.95" customHeight="1" thickBot="1">
      <c r="E16" s="351"/>
      <c r="F16" s="352"/>
      <c r="G16" s="352"/>
      <c r="H16" s="353"/>
      <c r="P16" s="34">
        <v>12</v>
      </c>
      <c r="Q16" s="233"/>
      <c r="R16" s="231" t="s">
        <v>100</v>
      </c>
      <c r="T16" s="30">
        <v>12</v>
      </c>
      <c r="U16" s="300"/>
      <c r="V16" s="300"/>
      <c r="W16" s="300"/>
      <c r="X16" s="337"/>
      <c r="Y16" s="463">
        <f>IF(OR(AND($H$10&gt;119,$H$10&lt;130)),12,IF(OR(AND($H$10&gt;149,$H$10&lt;170)),12,0))</f>
        <v>0</v>
      </c>
      <c r="Z16" s="629"/>
      <c r="AA16" s="581"/>
      <c r="AB16" s="470" t="str">
        <f>IF(AC16="Office"," ","D")</f>
        <v xml:space="preserve"> </v>
      </c>
      <c r="AC16" s="224" t="str">
        <f>IF(ISNA(MATCH(Y16,$T$5:$T$20,0)),"OFFICE",INDEX($R$5:$R$23,MATCH(Y16,$T$5:$T$20,0)))</f>
        <v>OFFICE</v>
      </c>
      <c r="AD16" s="320">
        <v>0</v>
      </c>
      <c r="AE16" s="413"/>
      <c r="AF16" s="644"/>
      <c r="AG16" s="435"/>
      <c r="AH16" s="274" t="str">
        <f>IF(X13=X14,"résultat",IF(AD15&lt;AD16,AC15,AC16))</f>
        <v>OFFICE</v>
      </c>
      <c r="AI16" s="320">
        <v>0</v>
      </c>
      <c r="AJ16" s="413"/>
      <c r="AK16" s="398"/>
      <c r="AL16" s="275"/>
      <c r="AM16" s="275"/>
      <c r="AN16" s="321"/>
      <c r="AO16" s="414"/>
      <c r="AP16" s="262"/>
      <c r="AQ16" s="275"/>
      <c r="AR16" s="275"/>
      <c r="AS16" s="437"/>
      <c r="AT16" s="262"/>
      <c r="AU16" s="402"/>
      <c r="AV16" s="268"/>
      <c r="AW16" s="361"/>
      <c r="AX16" s="439"/>
      <c r="AY16" s="362"/>
      <c r="AZ16" s="362"/>
      <c r="BA16" s="268"/>
      <c r="BC16" s="411"/>
      <c r="BD16" s="530">
        <v>2</v>
      </c>
      <c r="BE16" s="532" t="str">
        <f>IF(AND(H10&gt;81,H10&lt;92),IF(BA14&gt;BA15,AX14,AX15),IF(AND(H10&gt;91,H10&lt;97),IF(BA14&gt;BA15,AX14,AX15),IF(AND(H10&gt;100,H10&lt;105),IF(BA14&gt;BA15,AX14,AX15),IF(AND(H10&gt;104,H10&lt;169),IF(BA14&gt;BA15,AX14,AX15)," "))))</f>
        <v xml:space="preserve"> </v>
      </c>
      <c r="BF16" s="533"/>
      <c r="BG16" s="534"/>
      <c r="BH16" s="317">
        <v>1</v>
      </c>
      <c r="BI16" s="402"/>
      <c r="BJ16" s="361"/>
      <c r="BN16" s="268"/>
      <c r="BO16" s="268"/>
      <c r="BP16" s="268"/>
      <c r="BQ16" s="402"/>
      <c r="BR16" s="422">
        <v>6</v>
      </c>
      <c r="BS16" s="363"/>
      <c r="BT16" s="621" t="str">
        <f>IF(OR(AND(H10=86)),IF(BH32&lt;BH33,BE32,BE33),IF(AND(H10&gt;96,H10&lt;106)," ",IF(OR(AND(H10+H9&gt;95,H10+H9&lt;97)),IF(BH32&lt;BH33,BE32,BE33),IF(OR(AND(H10=106)),IF(BH32&lt;BH33,BE32,BE33),IF(OR(AND(H10+H9&gt;107,H10+H9&lt;116))," ",IF(OR(AND(H10+H9&gt;119,H10+H9&lt;126))," ",IF(OR(AND(H10+H9&gt;130,H10+H9&lt;136))," ",IF(OR(AND(H10+H9&gt;138,H10+H9&lt;146))," ",IF(OR(AND(H10+H9&gt;154,H10+H9&lt;156))," ",IF(OR(AND(H10+H9&gt;164,H10+H9&lt;166))," ",IF(H10=86,AS11,IF(OR(AND(H10+H9&gt;80,H10+H9&lt;96))," ",IF(OR(AND(H10=86)),IF(BA14&lt;BA15,AX14,AX15),IF(OR(AND(H10=107)),IF(BH32&lt;BH33,BE32,BE33),IF(OR(AND(H10+H9&gt;115,H10+H9&lt;120)),IF(BN32&lt;BN33,BK32,BK33),IF(OR(AND(H10+H9&gt;125,H10+H9&lt;145)),IF(BN32&lt;BN33,BK32,BK33),IF(OR(AND(H10+H9&gt;145,H10+H9&lt;165)),IF(BN32&lt;BN33,BK32,BK33),IF(OR(AND(H10+H9&gt;165,H10+H9&lt;171)),IF(BN32&lt;BN33,BK32,BK33),IF(OR(AND(BU5+BU6=6,BN37&gt;BN38,BK37,BK38)),IF(OR(AND($BU$5+BU6&gt;6,$BU$5+BU6&lt;9)),IF($BN$32&lt;$BN$33,$BK$32,$BK$33)," "))))))))))))))))))))</f>
        <v xml:space="preserve"> </v>
      </c>
      <c r="BU16" s="622"/>
      <c r="BV16" s="623"/>
    </row>
    <row r="17" spans="1:75" ht="24.95" customHeight="1" thickTop="1" thickBot="1">
      <c r="A17" s="630" t="s">
        <v>66</v>
      </c>
      <c r="B17" s="631"/>
      <c r="C17" s="632"/>
      <c r="D17" s="380">
        <f>SUM(E17+F17+G17+H17)</f>
        <v>8</v>
      </c>
      <c r="E17" s="357" t="str">
        <f>IF(OR(AND(H10&gt;90,H10&lt;100),AND($H$10&gt;59,$H$10&lt;70)),"3",IF(OR(AND(H10&gt;39,H10&lt;50),AND(H10&gt;69,H10&lt;90),AND(H10&gt;100,H10&lt;110),AND(H10&gt;109,H10&lt;170)),"4",IF(OR(AND(H10&gt;0,H10&lt;0),AND(H10&gt;0,H10&lt;0)),5,0)))</f>
        <v>4</v>
      </c>
      <c r="F17" s="358">
        <f>IF(OR(AND(H10&gt;89,H10&lt;91)),0,IF(OR(AND(H10&gt;90,H10&lt;100),AND(H10&gt;100,H10&lt;110),AND(H10&gt;129,H10&lt;140)),3,IF(OR(AND(H10&gt;79,H10&lt;100),AND(H10&gt;109,H10&lt;130),AND(H10&gt;139,H10&lt;170)),4,IF(OR(AND(H10&gt;0,H10&lt;0)),"5","0"))))</f>
        <v>4</v>
      </c>
      <c r="G17" s="359">
        <f>IF(OR(AND(H10&gt;90,H10&lt;100),AND(H10&gt;100,H10&lt;110),AND(H10&gt;109,H10&lt;120),AND(H10&gt;129,H10&lt;150)),"3",IF(OR(AND(H10&gt;119,H10&lt;130),AND(H10&gt;149,H10&lt;170),AND(H10&gt;0,H10&lt;0)),"4",0))</f>
        <v>0</v>
      </c>
      <c r="H17" s="387" t="str">
        <f>IF(OR(AND(H10&gt;129,H10&lt;160)),"3",IF(OR(AND(H10&gt;159,H10&lt;170)),"4","0"))</f>
        <v>0</v>
      </c>
      <c r="J17" s="360"/>
      <c r="P17" s="34">
        <v>13</v>
      </c>
      <c r="Q17" s="233"/>
      <c r="R17" s="231" t="s">
        <v>96</v>
      </c>
      <c r="S17" s="91"/>
      <c r="T17" s="30">
        <v>13</v>
      </c>
      <c r="U17" s="300"/>
      <c r="V17" s="300"/>
      <c r="W17" s="300"/>
      <c r="X17" s="337"/>
      <c r="Y17" s="29">
        <f>IF(OR(AND($H$10&gt;129,$H$10&lt;140)),11,IF(OR(AND($H$10&gt;139,$H$10&lt;150)),12,IF(OR(AND($H$10&gt;149,$H$10&lt;170)),13,0)))</f>
        <v>0</v>
      </c>
      <c r="Z17" s="627">
        <v>4</v>
      </c>
      <c r="AA17" s="582">
        <v>7</v>
      </c>
      <c r="AB17" s="467" t="s">
        <v>14</v>
      </c>
      <c r="AC17" s="343" t="str">
        <f>IF(ISNA(MATCH(Y17,$T$5:$T$20,0)),"",INDEX($R$5:$R$23,MATCH(Y17,$T$5:$T$20,0)))</f>
        <v/>
      </c>
      <c r="AD17" s="313">
        <v>1</v>
      </c>
      <c r="AE17" s="408"/>
      <c r="AF17" s="643">
        <v>10</v>
      </c>
      <c r="AG17" s="433"/>
      <c r="AH17" s="264" t="str">
        <f>IF(X17=X18,"résultat",IF(AD17&gt;AD18,AC17,AC18))</f>
        <v/>
      </c>
      <c r="AI17" s="316">
        <v>1</v>
      </c>
      <c r="AJ17" s="408"/>
      <c r="AK17" s="332"/>
      <c r="AL17" s="266"/>
      <c r="AM17" s="266"/>
      <c r="AN17" s="324"/>
      <c r="AO17" s="416"/>
      <c r="AP17" s="278"/>
      <c r="AQ17" s="404">
        <v>1</v>
      </c>
      <c r="AR17" s="409"/>
      <c r="AS17" s="356" t="str">
        <f>IF(X18+X19=0," ",IF(X18+X19=40," ",IF(X18+X19=30," ",IF($X18+$X19=43,IF($AI17=$AI18,"résultat",IF($AI17&gt;$AI18,$AH17,$AH18)),(IF($X18+$X19=42,IF($AI17=$AI18,"résultat",IF($AI17&gt;$AI18,$AH17,$AH18)),(IF($X18+$X19=32,IF($AI17=$AI18,"résultat",IF($AI17&gt;$AI18,$AH17,$AH18))))))))))</f>
        <v xml:space="preserve"> </v>
      </c>
      <c r="AT17" s="278"/>
      <c r="AU17" s="263"/>
      <c r="AV17" s="337"/>
      <c r="AW17" s="269"/>
      <c r="AX17" s="276"/>
      <c r="AY17" s="438" t="s">
        <v>44</v>
      </c>
      <c r="AZ17" s="440"/>
      <c r="BA17" s="269"/>
      <c r="BC17" s="337"/>
      <c r="BD17" s="531"/>
      <c r="BE17" s="618" t="str">
        <f>IF(AND(H10&gt;85,H10&lt;111),"OFFICE",IF(AND(H10&gt;81,H10&lt;87),IF(BA18&gt;BA19,AX18,AX19),IF(AND(H10&gt;110,H10&lt;169),IF(BA18&gt;BA19,AX18,AX19)," ")))</f>
        <v>OFFICE</v>
      </c>
      <c r="BF17" s="619"/>
      <c r="BG17" s="620"/>
      <c r="BH17" s="319">
        <v>0</v>
      </c>
      <c r="BI17" s="402"/>
      <c r="BQ17" s="402"/>
      <c r="BR17" s="422">
        <v>7</v>
      </c>
      <c r="BS17" s="363"/>
      <c r="BT17" s="621" t="str">
        <f>IF(H10=87," ",IF(OR(AND(H10=127)),IF($BN$37&gt;$BN$38,$BK$37,$BK$38),IF(OR(AND($BU$5+BU6&gt;6,$BU$5+BU6&lt;9)),IF($BN$37&gt;$BN$38,$BK$37,$BK$38)," ")))</f>
        <v xml:space="preserve"> </v>
      </c>
      <c r="BU17" s="622"/>
      <c r="BV17" s="623"/>
    </row>
    <row r="18" spans="1:75" ht="24.95" customHeight="1" thickBot="1">
      <c r="A18" s="630" t="s">
        <v>81</v>
      </c>
      <c r="B18" s="631"/>
      <c r="C18" s="632"/>
      <c r="D18" s="379">
        <f>SUM(E18+F18+G18+H18)</f>
        <v>0</v>
      </c>
      <c r="E18" s="364" t="str">
        <f>IF(OR(AND(H10&gt;61,H10&lt;70),AND(H10&gt;69,H10&lt;85),AND(H10&gt;0,H10&lt;0),AND(H10&gt;90,H10&lt;97),AND(H10&gt;100,H10&lt;107),AND(H10&gt;115,H10&lt;116),AND(H10&gt;123,H10&lt;124),AND(H10&gt;130,H10&lt;139),AND(H10&gt;140,H10&lt;149),AND(H10&gt;150,H10&lt;159),AND(H10&gt;160,H10&lt;169)),"2",IF(OR(AND(H10&gt;72,H10&lt;74),AND(H10&gt;74,H10&lt;76),AND(H10&gt;84,H10&lt;87),AND(H10&gt;102,H10&lt;104),AND(H10&gt;106,H10&lt;108),AND(H10&gt;110,H10&lt;116),AND(H10&gt;115,H10&lt;119),AND(H10&gt;120,H10&lt;129),AND(H10&gt;168,H10&lt;170)),"3","0"))</f>
        <v>0</v>
      </c>
      <c r="F18" s="365" t="str">
        <f>IF(OR(AND(H10&gt;61,H10&lt;70),AND(H10&gt;69,H10&lt;75),AND(H10&gt;80,H10&lt;85),AND(H10&gt;83,H10&lt;85),AND(H10&gt;90,H10&lt;97),AND(H10&gt;100,H10&lt;108),AND(H10&gt;115,H10&lt;116),AND(H10&gt;123,H10&lt;124),AND(H10&gt;130,H10&lt;139),AND(H10&gt;140,H10&lt;149),AND(H10&gt;150,H10&lt;159),AND(H10&gt;160,H10&lt;170)),"2",IF(OR(AND(H10&gt;72,H10&lt;74),AND(H10&gt;74,H10&lt;76),AND(H10&gt;84,H10&lt;87),AND(H10&gt;0,H10&lt;0),AND(H10&gt;110,H10&lt;116),AND(H10&gt;102,H10&lt;104),AND(H10&gt;115,H10&lt;119),AND(H10&gt;120,H10&lt;129)),"3","0"))</f>
        <v>0</v>
      </c>
      <c r="G18" s="364" t="str">
        <f>IF(OR(AND(H10&gt;90,H10&lt;96),AND(H10&gt;95,H10&lt;97),AND(H10&gt;100,H10&lt;108),AND(H10&gt;110,H10&lt;119),AND(H10&gt;120,H10&lt;129),AND(H10&gt;130,H10&lt;139),AND(H10&gt;140,H10&lt;149),AND(H10&gt;150,H10&lt;159),AND(H10&gt;160,H10&lt;170)),"2",IF(OR(AND(H10&gt;124,H10&lt;129),AND(H10&gt;288,H10&lt;290)),"3","0"))</f>
        <v>0</v>
      </c>
      <c r="H18" s="366" t="str">
        <f>IF(OR(AND(H10&gt;130,H10&lt;139),AND(H10&gt;140,H10&lt;149),AND(H10&gt;150,H10&lt;159),AND(H10&gt;160,H10&lt;170)),"2","0")</f>
        <v>0</v>
      </c>
      <c r="P18" s="34">
        <v>14</v>
      </c>
      <c r="Q18" s="234"/>
      <c r="R18" s="231" t="s">
        <v>97</v>
      </c>
      <c r="S18" s="368"/>
      <c r="T18" s="30">
        <v>14</v>
      </c>
      <c r="U18" s="300"/>
      <c r="V18" s="300"/>
      <c r="W18" s="300"/>
      <c r="X18" s="337" t="str">
        <f>CONCATENATE(H17,H18)</f>
        <v>00</v>
      </c>
      <c r="Y18" s="30">
        <f>IF(OR(AND($H$10&gt;129,$H$10&lt;140)),12,IF(OR(AND($H$10&gt;139,$H$10&lt;150)),13,IF(OR(AND($H$10&gt;149,$H$10&lt;170)),14,0)))</f>
        <v>0</v>
      </c>
      <c r="Z18" s="628"/>
      <c r="AA18" s="581"/>
      <c r="AB18" s="466" t="s">
        <v>15</v>
      </c>
      <c r="AC18" s="224" t="str">
        <f>IF(ISNA(MATCH(Y18,$T$5:$T$20,0)),"",INDEX($R$5:$R$23,MATCH(Y18,$T$5:$T$20,0)))</f>
        <v/>
      </c>
      <c r="AD18" s="315">
        <v>0</v>
      </c>
      <c r="AE18" s="408"/>
      <c r="AF18" s="520"/>
      <c r="AG18" s="430"/>
      <c r="AH18" s="265" t="str">
        <f>IF(X17=X18,"résultat",IF(AD19&gt;AD20,AC19,AC20))</f>
        <v/>
      </c>
      <c r="AI18" s="315">
        <v>0</v>
      </c>
      <c r="AJ18" s="408"/>
      <c r="AK18" s="332"/>
      <c r="AL18" s="519"/>
      <c r="AM18" s="427"/>
      <c r="AN18" s="282" t="str">
        <f>IF($X$18+$X$19=0," ",IF($X$18+$X$19=40," ",IF($X$18+$X$19=30," ",IF($X$18+$X$19=43," ",(IF($X$18+$X$19=42,IF(AI17=AI18,"résultat",IF(AI17&lt;AI18,AH17,AH18)),IF($X$18+$X$19=32,IF(AI17=AI18,"résultat",IF(AI17&lt;AI18,AH17,AH18)))))))))</f>
        <v xml:space="preserve"> </v>
      </c>
      <c r="AO18" s="316">
        <v>1</v>
      </c>
      <c r="AP18" s="268"/>
      <c r="AQ18" s="191">
        <v>2</v>
      </c>
      <c r="AR18" s="409"/>
      <c r="AS18" s="344" t="str">
        <f>IF(X18+X19=0," ",IF(X18+X19=40," ",IF(X18+X19=30," ",IF($X18+$X19=43,IF($AI17=$AI18,"résultat",IF($AI17&lt;$AI18,$AH17,$AH18)),(IF($X18+$X19=42,IF($AO18=$AO19,"résultat",IF($AO18&gt;$AO19,$AN18,$AN19)),(IF($X18+$X19=32,IF($AO18=$AO19,"résultat",IF($AO18&gt;$AO19,$AN18,$AN19))))))))))</f>
        <v xml:space="preserve"> </v>
      </c>
      <c r="AU18" s="268"/>
      <c r="AV18" s="418" t="s">
        <v>96</v>
      </c>
      <c r="AW18" s="530">
        <v>4</v>
      </c>
      <c r="AX18" s="532" t="str">
        <f>IF(AND(H10&gt;110,H10&lt;129),AS10,IF(AND(H10&gt;130,H10&lt;169),AS17," "))</f>
        <v xml:space="preserve"> </v>
      </c>
      <c r="AY18" s="533"/>
      <c r="AZ18" s="534"/>
      <c r="BA18" s="317">
        <v>1</v>
      </c>
      <c r="BC18" s="411"/>
      <c r="BD18" s="361"/>
      <c r="BE18" s="423"/>
      <c r="BF18" s="423"/>
      <c r="BG18" s="423"/>
      <c r="BH18" s="268"/>
      <c r="BI18" s="402"/>
      <c r="BQ18" s="402"/>
      <c r="BR18" s="235">
        <v>8</v>
      </c>
      <c r="BS18" s="363"/>
      <c r="BT18" s="588" t="str">
        <f>IF(OR(AND($BU$5+BU6&gt;7,$BU$5+BU6&lt;9)),IF($BN$37&lt;$BN$38,$BK$37,$BK$38)," ")</f>
        <v xml:space="preserve"> </v>
      </c>
      <c r="BU18" s="589"/>
      <c r="BV18" s="590"/>
    </row>
    <row r="19" spans="1:75" ht="24.95" customHeight="1" thickBot="1">
      <c r="A19" s="377"/>
      <c r="B19" s="377"/>
      <c r="C19" s="376"/>
      <c r="D19" s="411"/>
      <c r="E19" s="346"/>
      <c r="H19" s="360"/>
      <c r="I19" s="360"/>
      <c r="J19" s="389"/>
      <c r="P19" s="34">
        <v>15</v>
      </c>
      <c r="Q19" s="233"/>
      <c r="R19" s="369" t="s">
        <v>98</v>
      </c>
      <c r="S19" s="91"/>
      <c r="T19" s="30">
        <v>15</v>
      </c>
      <c r="U19" s="300"/>
      <c r="V19" s="300"/>
      <c r="W19" s="300"/>
      <c r="X19" s="337"/>
      <c r="Y19" s="30">
        <f>IF(OR(AND($H$10&gt;129,$H$10&lt;140)),13,IF(OR(AND($H$10&gt;139,$H$10&lt;150)),14,IF(OR(AND($H$10&gt;149,$H$10&lt;170)),15,0)))</f>
        <v>0</v>
      </c>
      <c r="Z19" s="628"/>
      <c r="AA19" s="582">
        <v>8</v>
      </c>
      <c r="AB19" s="467" t="str">
        <f>IF(AI20=2,"","C")</f>
        <v>C</v>
      </c>
      <c r="AC19" s="343" t="str">
        <f>IF(ISNA(MATCH(Y19,$T$5:$T$20,0)),"",INDEX($R$5:$R$23,MATCH(Y19,$T$5:$T$20,0)))</f>
        <v/>
      </c>
      <c r="AD19" s="318">
        <v>1</v>
      </c>
      <c r="AE19" s="408"/>
      <c r="AF19" s="519">
        <v>11</v>
      </c>
      <c r="AG19" s="431"/>
      <c r="AH19" s="272" t="str">
        <f>IF(X17=X18,"résultat",IF(AD17&lt;AD18,AC17,AC18))</f>
        <v/>
      </c>
      <c r="AI19" s="318">
        <v>1</v>
      </c>
      <c r="AJ19" s="408"/>
      <c r="AK19" s="332"/>
      <c r="AL19" s="520"/>
      <c r="AM19" s="428"/>
      <c r="AN19" s="301" t="str">
        <f>IF($X$18+$X$19=0," ",IF($X$18+$X$19=40," ",IF($X$18+$X$19=30," ",IF($X$18+$X$19=43,"&amp;",(IF($X$18+$X$19=42,IF(AI19=AI20,"résultat",IF(AI19&lt;AI20,AH19,AH20)),IF($X$18+$X$19=32,IF(AI19=AI20,"résultat",IF(AI19&gt;AI20,AH19,AH20)))))))))</f>
        <v xml:space="preserve"> </v>
      </c>
      <c r="AO19" s="315">
        <v>0</v>
      </c>
      <c r="AP19" s="268"/>
      <c r="AU19" s="268"/>
      <c r="AV19" s="446" t="s">
        <v>115</v>
      </c>
      <c r="AW19" s="531"/>
      <c r="AX19" s="541" t="str">
        <f>IF(AND(H10&gt;110,H10&lt;129),AS14,IF(AND(H10&gt;130,H10&lt;169),AS14," "))</f>
        <v xml:space="preserve"> </v>
      </c>
      <c r="AY19" s="542"/>
      <c r="AZ19" s="543"/>
      <c r="BA19" s="319">
        <v>0</v>
      </c>
      <c r="BC19" s="411"/>
      <c r="BD19" s="361"/>
      <c r="BE19" s="423"/>
      <c r="BF19" s="423"/>
      <c r="BG19" s="423"/>
      <c r="BH19" s="268"/>
      <c r="BI19" s="402"/>
      <c r="BP19" s="402"/>
    </row>
    <row r="20" spans="1:75" ht="24.95" customHeight="1" thickBot="1">
      <c r="B20" s="639" t="s">
        <v>82</v>
      </c>
      <c r="C20" s="639"/>
      <c r="D20" s="639"/>
      <c r="I20" s="346"/>
      <c r="J20" s="389"/>
      <c r="P20" s="163">
        <v>16</v>
      </c>
      <c r="Q20" s="235"/>
      <c r="R20" s="370" t="s">
        <v>101</v>
      </c>
      <c r="S20" s="371"/>
      <c r="T20" s="191">
        <v>16</v>
      </c>
      <c r="U20" s="300"/>
      <c r="V20" s="300"/>
      <c r="W20" s="300"/>
      <c r="X20" s="337"/>
      <c r="Y20" s="464">
        <f>IF(OR(AND($H$10&gt;159)),16,0)</f>
        <v>0</v>
      </c>
      <c r="Z20" s="629"/>
      <c r="AA20" s="581"/>
      <c r="AB20" s="466" t="str">
        <f>IF(AC20="Office"," ","D")</f>
        <v xml:space="preserve"> </v>
      </c>
      <c r="AC20" s="224" t="str">
        <f>IF(ISNA(MATCH(Y20,$T$5:$T$20,0)),"OFFICE",INDEX($R$5:$R$23,MATCH(Y20,$T$5:$T$20,0)))</f>
        <v>OFFICE</v>
      </c>
      <c r="AD20" s="320">
        <v>0</v>
      </c>
      <c r="AE20" s="413"/>
      <c r="AF20" s="644"/>
      <c r="AG20" s="436"/>
      <c r="AH20" s="274" t="str">
        <f>IF(X17=X18,"résultat",IF(AD19&lt;AD20,AC19,AC20))</f>
        <v>OFFICE</v>
      </c>
      <c r="AI20" s="320">
        <v>0</v>
      </c>
      <c r="AJ20" s="413"/>
      <c r="AK20" s="398"/>
      <c r="AL20" s="275"/>
      <c r="AM20" s="275"/>
      <c r="AN20" s="275"/>
      <c r="AO20" s="414"/>
      <c r="AP20" s="262"/>
      <c r="AQ20" s="262"/>
      <c r="AR20" s="262"/>
      <c r="AS20" s="262"/>
      <c r="AT20" s="262"/>
      <c r="AU20" s="402"/>
      <c r="AV20" s="446"/>
      <c r="AW20" s="361"/>
      <c r="AX20" s="361"/>
      <c r="AY20" s="419"/>
      <c r="AZ20" s="419"/>
      <c r="BA20" s="268"/>
      <c r="BC20" s="411"/>
      <c r="BD20" s="361"/>
      <c r="BE20" s="423"/>
      <c r="BF20" s="423"/>
      <c r="BG20" s="423"/>
      <c r="BH20" s="268"/>
      <c r="BI20" s="402"/>
      <c r="BP20" s="402"/>
    </row>
    <row r="21" spans="1:75" ht="24.95" customHeight="1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X21" s="337"/>
      <c r="Z21" s="303"/>
      <c r="AD21" s="346"/>
      <c r="AE21" s="268"/>
      <c r="AF21" s="268"/>
      <c r="BD21" s="361"/>
      <c r="BE21" s="423"/>
      <c r="BF21" s="423"/>
      <c r="BG21" s="423"/>
      <c r="BH21" s="268"/>
      <c r="BI21" s="402"/>
      <c r="BP21" s="402"/>
    </row>
    <row r="22" spans="1:75" ht="24.95" customHeight="1" thickBot="1">
      <c r="A22" s="389"/>
      <c r="B22" s="389"/>
      <c r="C22" s="389"/>
      <c r="D22" s="389"/>
      <c r="E22" s="389"/>
      <c r="F22" s="389"/>
      <c r="G22" s="389"/>
      <c r="H22" s="389"/>
      <c r="I22" s="389"/>
      <c r="J22" s="389"/>
      <c r="X22" s="337"/>
      <c r="Z22" s="303"/>
      <c r="AC22" s="373"/>
      <c r="AF22" s="332"/>
      <c r="AG22" s="332"/>
      <c r="AI22" s="391"/>
      <c r="BB22" s="303"/>
      <c r="BC22" s="127"/>
      <c r="BD22" s="127"/>
      <c r="BE22" s="127"/>
      <c r="BF22" s="127"/>
      <c r="BG22" s="127"/>
      <c r="BH22" s="127"/>
      <c r="BI22" s="269"/>
      <c r="BJ22" s="363"/>
      <c r="BQ22" s="402"/>
    </row>
    <row r="23" spans="1:75" ht="24.95" customHeight="1" thickBot="1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X23" s="337"/>
      <c r="Z23" s="303"/>
      <c r="AC23" s="391"/>
      <c r="AN23" s="304"/>
      <c r="BD23" s="269"/>
      <c r="BE23" s="269"/>
      <c r="BF23" s="269"/>
      <c r="BG23" s="269"/>
      <c r="BH23" s="269"/>
      <c r="BI23" s="363"/>
      <c r="BJ23" s="538" t="s">
        <v>119</v>
      </c>
      <c r="BK23" s="539"/>
      <c r="BL23" s="539"/>
      <c r="BM23" s="539"/>
      <c r="BN23" s="540"/>
      <c r="BO23" s="376"/>
    </row>
    <row r="24" spans="1:75" ht="24.95" customHeight="1" thickBot="1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X24" s="337"/>
      <c r="Z24" s="303"/>
      <c r="AC24" s="391"/>
      <c r="BD24" s="269"/>
      <c r="BE24" s="269"/>
      <c r="BF24" s="269"/>
      <c r="BG24" s="269"/>
      <c r="BH24" s="269"/>
      <c r="BI24" s="363"/>
      <c r="BJ24" s="127"/>
      <c r="BK24" s="127"/>
      <c r="BL24" s="127"/>
      <c r="BM24" s="127"/>
      <c r="BN24" s="127"/>
      <c r="BO24" s="376"/>
    </row>
    <row r="25" spans="1:75" ht="24.95" customHeight="1" thickBot="1">
      <c r="A25" s="455" t="s">
        <v>131</v>
      </c>
      <c r="L25" s="40"/>
      <c r="M25" s="40"/>
      <c r="X25" s="337"/>
      <c r="Z25" s="303"/>
      <c r="AC25" s="391"/>
      <c r="BD25" s="269"/>
      <c r="BE25" s="269"/>
      <c r="BF25" s="269"/>
      <c r="BG25" s="269"/>
      <c r="BH25" s="269"/>
      <c r="BI25" s="363"/>
      <c r="BJ25" s="544">
        <v>3</v>
      </c>
      <c r="BK25" s="535" t="str">
        <f>IF(AND($H$10&gt;82,$H$10&lt;86),IF(BA6&lt;BA7,AX6,AX7),IF(AND(H10&gt;90,H10&lt;93)," ",IF(AND(H10&gt;85,H10&lt;169),IF(BH8&lt;BH9,BE8,BE9)," ")))</f>
        <v xml:space="preserve"> </v>
      </c>
      <c r="BL25" s="536"/>
      <c r="BM25" s="537"/>
      <c r="BN25" s="317">
        <v>1</v>
      </c>
      <c r="BO25" s="376"/>
    </row>
    <row r="26" spans="1:75" ht="24.95" customHeight="1" thickBot="1">
      <c r="B26" s="325" t="s">
        <v>132</v>
      </c>
      <c r="L26" s="40"/>
      <c r="M26" s="40"/>
      <c r="X26" s="337"/>
      <c r="Z26" s="303"/>
      <c r="AC26" s="391"/>
      <c r="BD26" s="269"/>
      <c r="BE26" s="269"/>
      <c r="BF26" s="269"/>
      <c r="BG26" s="269"/>
      <c r="BH26" s="269"/>
      <c r="BI26" s="363"/>
      <c r="BJ26" s="545"/>
      <c r="BK26" s="535" t="str">
        <f>IF(AND($H$10&gt;82,$H$10&lt;86),IF(BA10&lt;BA11,AX10,AX11),IF(AND(H10&gt;113,H10&lt;169),IF(BH16&lt;BH17,BE16,BE17)," "))</f>
        <v xml:space="preserve"> </v>
      </c>
      <c r="BL26" s="536"/>
      <c r="BM26" s="537"/>
      <c r="BN26" s="319">
        <v>0</v>
      </c>
      <c r="BO26" s="376"/>
    </row>
    <row r="27" spans="1:75" ht="24.95" customHeight="1" thickBot="1">
      <c r="L27" s="40"/>
      <c r="M27" s="40"/>
      <c r="X27" s="337"/>
      <c r="Z27" s="303"/>
      <c r="AC27" s="391"/>
      <c r="BD27" s="269"/>
      <c r="BE27" s="269"/>
      <c r="BF27" s="269"/>
      <c r="BG27" s="269"/>
      <c r="BH27" s="269"/>
      <c r="BI27" s="363"/>
      <c r="BJ27" s="127"/>
      <c r="BK27" s="127"/>
      <c r="BL27" s="127"/>
      <c r="BM27" s="127"/>
      <c r="BN27" s="127"/>
      <c r="BO27" s="376"/>
      <c r="BS27" s="127"/>
      <c r="BT27" s="127"/>
      <c r="BU27" s="127"/>
      <c r="BV27" s="127"/>
      <c r="BW27" s="127"/>
    </row>
    <row r="28" spans="1:75" ht="24.95" customHeight="1" thickBot="1">
      <c r="A28" s="455" t="s">
        <v>133</v>
      </c>
      <c r="J28" s="372"/>
      <c r="L28" s="40"/>
      <c r="M28" s="40"/>
      <c r="BD28" s="555" t="s">
        <v>117</v>
      </c>
      <c r="BE28" s="556"/>
      <c r="BF28" s="556"/>
      <c r="BG28" s="556"/>
      <c r="BH28" s="556"/>
      <c r="BI28" s="556"/>
      <c r="BJ28" s="556"/>
      <c r="BK28" s="556"/>
      <c r="BL28" s="556"/>
      <c r="BM28" s="556"/>
      <c r="BN28" s="557"/>
      <c r="BO28" s="419"/>
      <c r="BP28" s="402"/>
      <c r="BS28" s="127"/>
      <c r="BT28" s="127"/>
      <c r="BU28" s="127"/>
      <c r="BV28" s="127"/>
      <c r="BW28" s="127"/>
    </row>
    <row r="29" spans="1:75" ht="30" customHeight="1" thickBot="1">
      <c r="B29" s="198" t="s">
        <v>134</v>
      </c>
      <c r="C29" s="198"/>
      <c r="D29" s="372"/>
      <c r="E29" s="372"/>
      <c r="F29" s="372"/>
      <c r="G29" s="372"/>
      <c r="H29" s="372"/>
      <c r="I29" s="372"/>
      <c r="J29" s="372"/>
      <c r="L29" s="40"/>
      <c r="M29" s="40"/>
      <c r="BA29" s="424"/>
      <c r="BE29" s="337"/>
      <c r="BF29" s="263"/>
      <c r="BG29" s="263"/>
      <c r="BH29" s="263"/>
      <c r="BI29" s="263"/>
      <c r="BJ29" s="263"/>
      <c r="BR29" s="402"/>
      <c r="BS29" s="127"/>
      <c r="BT29" s="127"/>
      <c r="BU29" s="127"/>
      <c r="BV29" s="127"/>
      <c r="BW29" s="127"/>
    </row>
    <row r="30" spans="1:75" ht="24.95" customHeight="1" thickBot="1">
      <c r="B30" s="198"/>
      <c r="C30" s="198"/>
      <c r="D30" s="372"/>
      <c r="E30" s="372"/>
      <c r="F30" s="372"/>
      <c r="G30" s="372"/>
      <c r="H30" s="372"/>
      <c r="I30" s="372"/>
      <c r="J30" s="374"/>
      <c r="L30" s="40"/>
      <c r="M30" s="40"/>
      <c r="BD30" s="337"/>
      <c r="BE30" s="561" t="s">
        <v>51</v>
      </c>
      <c r="BF30" s="562"/>
      <c r="BG30" s="563"/>
      <c r="BH30" s="337"/>
      <c r="BI30" s="303"/>
      <c r="BJ30" s="564" t="s">
        <v>129</v>
      </c>
      <c r="BK30" s="565"/>
      <c r="BL30" s="565"/>
      <c r="BM30" s="565"/>
      <c r="BN30" s="566"/>
      <c r="BO30" s="444"/>
      <c r="BP30" s="444"/>
      <c r="BQ30" s="444"/>
      <c r="BR30" s="402"/>
      <c r="BS30" s="127"/>
      <c r="BT30" s="127"/>
      <c r="BU30" s="127"/>
      <c r="BV30" s="127"/>
      <c r="BW30" s="127"/>
    </row>
    <row r="31" spans="1:75" ht="24.95" customHeight="1" thickBot="1">
      <c r="A31" s="456" t="s">
        <v>127</v>
      </c>
      <c r="B31" s="198"/>
      <c r="C31" s="198"/>
      <c r="D31" s="372"/>
      <c r="E31" s="372"/>
      <c r="F31" s="372"/>
      <c r="G31" s="372"/>
      <c r="H31" s="372"/>
      <c r="I31" s="372"/>
      <c r="J31" s="374"/>
      <c r="K31" s="374"/>
      <c r="L31" s="40"/>
      <c r="M31" s="40"/>
      <c r="BD31" s="337" t="s">
        <v>6</v>
      </c>
      <c r="BE31" s="337"/>
      <c r="BF31" s="268" t="s">
        <v>109</v>
      </c>
      <c r="BG31" s="337"/>
      <c r="BH31" s="337" t="s">
        <v>5</v>
      </c>
      <c r="BI31" s="303"/>
      <c r="BJ31" s="337" t="s">
        <v>6</v>
      </c>
      <c r="BK31" s="337"/>
      <c r="BL31" s="268" t="s">
        <v>109</v>
      </c>
      <c r="BM31" s="337"/>
      <c r="BN31" s="337" t="s">
        <v>5</v>
      </c>
      <c r="BO31" s="337"/>
      <c r="BP31" s="337"/>
      <c r="BQ31" s="337"/>
      <c r="BS31" s="127"/>
      <c r="BT31" s="127"/>
      <c r="BU31" s="127"/>
      <c r="BV31" s="127"/>
      <c r="BW31" s="127"/>
    </row>
    <row r="32" spans="1:75" ht="24.95" customHeight="1">
      <c r="B32" s="40"/>
      <c r="C32" s="40"/>
      <c r="D32" s="374"/>
      <c r="E32" s="374"/>
      <c r="F32" s="374"/>
      <c r="G32" s="374"/>
      <c r="H32" s="374"/>
      <c r="I32" s="374"/>
      <c r="L32" s="40"/>
      <c r="M32" s="40"/>
      <c r="BD32" s="544">
        <v>3</v>
      </c>
      <c r="BE32" s="535" t="str">
        <f>IF(AND(H10&gt;85,H10&lt;90),IF(BA6&lt;BA7,AX6,AX7),IF(AND(H10&gt;91,H10&lt;93),IF(BA6&lt;BA7,AX6,AX7),IF(AND(H10&gt;93,H10&lt;97),IF(BA6&lt;BA7,AX6,AX7),IF(AND(H10&gt;103,H10&lt;108),IF(BA6&lt;BA7,AX6,AX7),IF(AND(H10&gt;114,H10&lt;119),IF(BA6&lt;BA7,AX6,AX7),IF(AND(H10&gt;124,H10&lt;129),IF(BA6&lt;BA7,AX6,AX7),IF(AND(H10&gt;134,H10&lt;141),IF(BA6&lt;BA7,AX6,AX7),IF(AND(H10&gt;144,H10&lt;149),IF(BA6&lt;BA7,AX6,AX7),IF(AND(H10&gt;154,H10&lt;159),IF(BA6&lt;BA7,AX6,AX7),IF(AND(H10&gt;164,H10&lt;169),IF(BA6&lt;BA7,AX6,AX7)," "))))))))))</f>
        <v xml:space="preserve"> </v>
      </c>
      <c r="BF32" s="536"/>
      <c r="BG32" s="537"/>
      <c r="BH32" s="317">
        <v>1</v>
      </c>
      <c r="BI32" s="402"/>
      <c r="BJ32" s="544">
        <v>4</v>
      </c>
      <c r="BK32" s="521" t="str">
        <f>IF(AND(H10&gt;84,H10&lt;86),AS7,IF(AND(H10+H9=86),IF(BH32&gt;BH33,BE32,BE33),IF(AND(H10&gt;93,H10&lt;97),IF(BH32&gt;BH33,BE32,BE33),IF(AND(H10&gt;94,H10&lt;97),IF(BA10&lt;BA11,AX10,AX11),IF(AND(H10&gt;103,H10&lt;107),IF(BH32&gt;BH33,BE32,BE33),IF(AND(H10&gt;106,H10&lt;108),IF(BA6&lt;BA7,AX6,AX7),IF(AND(H10&gt;114,H10&lt;119),IF(BH32&gt;BH33,BE32,BE33),IF(AND(H10&gt;124,H10&lt;129),IF(BH32&gt;BH33,BE32,BE33),IF(AND(H10&gt;134,H10&lt;141),IF(BH32&gt;BH33,BE32,BE33),IF(AND(H10&gt;144,H10&lt;149),IF(BH32&gt;BH33,BE32,BE33),IF(AND(H10&gt;154,H10&lt;159),IF(BH32&gt;BH33,BE32,BE33),IF(AND(H10&gt;164,H10&lt;169),IF(BH32&gt;BH33,BE32,BE33)," "))))))))))))</f>
        <v xml:space="preserve"> </v>
      </c>
      <c r="BL32" s="522"/>
      <c r="BM32" s="523"/>
      <c r="BN32" s="317">
        <v>1</v>
      </c>
      <c r="BO32" s="268"/>
      <c r="BP32" s="268"/>
      <c r="BQ32" s="268"/>
      <c r="BS32" s="127"/>
      <c r="BT32" s="127"/>
      <c r="BU32" s="127"/>
      <c r="BV32" s="127"/>
      <c r="BW32" s="127"/>
    </row>
    <row r="33" spans="1:75" ht="24.95" customHeight="1" thickBot="1">
      <c r="A33" s="374"/>
      <c r="B33" s="374"/>
      <c r="C33" s="374"/>
      <c r="D33" s="374"/>
      <c r="E33" s="374"/>
      <c r="F33" s="374"/>
      <c r="G33" s="374"/>
      <c r="H33" s="374"/>
      <c r="I33" s="374"/>
      <c r="L33" s="40"/>
      <c r="M33" s="40"/>
      <c r="BD33" s="545"/>
      <c r="BE33" s="524" t="str">
        <f>IF(AND(H10&gt;85,H10&lt;90),IF(BA10&lt;BA11,AX10,AX11),IF(AND(H10&gt;91,H10&lt;93),IF(BA10&lt;BA11,AX10,AX11),IF(AND(H10&gt;93,H10&lt;97),IF(BA10&lt;BA11,AX10,AX11),IF(AND(H10&gt;103,H10&lt;108),IF(BA10&lt;BA11,AX10,AX11),IF(AND(H10&gt;114,H10&lt;119),IF(BA10&lt;BA11,AX10,AX11),IF(AND(H10&gt;124,H10&lt;129),IF(BA10&lt;BA11,AX10,AX11),IF(AND(H10&gt;134,H10&lt;141),IF(BA10&lt;BA11,AX10,AX11),IF(AND(H10&gt;144,H10&lt;149),IF(BA10&lt;BA11,AX10,AX11),IF(AND(H10&gt;154,H10&lt;159),IF(BA10&lt;BA11,AX10,AX11),IF(AND(H10&gt;164,H10&lt;169),IF(BA10&lt;BA11,AX10,AX11)," "))))))))))</f>
        <v xml:space="preserve"> </v>
      </c>
      <c r="BF33" s="525"/>
      <c r="BG33" s="526"/>
      <c r="BH33" s="319">
        <v>0</v>
      </c>
      <c r="BI33" s="402"/>
      <c r="BJ33" s="545"/>
      <c r="BK33" s="527" t="str">
        <f>IF(AND(H10&gt;84,H10&lt;86),AS11,IF(AND(H10+H9=86),IF(BH37&gt;BH38,BE37,BE38),IF(AND(H10&gt;93,H10&lt;97),IF(BH37&gt;BH38,BE37,BE38),IF(AND(H10&gt;94,H10&lt;97),IF(BA14&lt;BA15,AX14,AX15),IF(AND(H10&gt;103,H10&lt;108),IF(BH37&gt;BH38,BE37,BE38),IF(AND(H10&gt;106,H10&lt;108),IF(BA10&lt;BA11,AX10,AX11),IF(AND(H10&gt;114,H10&lt;119),IF(BH37&gt;BH38,BE37,BE38),IF(AND(H10&gt;124,H10&lt;129),IF(BH37&gt;BH38,BE37,BE38),IF(AND(H10&gt;134,H10&lt;141),IF(BH37&gt;BH38,BE37,BE38),IF(AND(H10&gt;144,H10&lt;149),IF(BH37&gt;BH38,BE37,BE38),IF(AND(H10&gt;154,H10&lt;159),IF(BH37&gt;BH38,BE37,BE38),IF(AND(H10&gt;164,H10&lt;169),IF(BH37&gt;BH38,BE37,BE38)," "))))))))))))</f>
        <v xml:space="preserve"> </v>
      </c>
      <c r="BL33" s="528"/>
      <c r="BM33" s="529"/>
      <c r="BN33" s="319">
        <v>0</v>
      </c>
      <c r="BO33" s="268"/>
      <c r="BP33" s="268"/>
      <c r="BQ33" s="268"/>
      <c r="BS33" s="127"/>
      <c r="BT33" s="127"/>
      <c r="BU33" s="127"/>
      <c r="BV33" s="127"/>
      <c r="BW33" s="127"/>
    </row>
    <row r="34" spans="1:75" ht="24.95" customHeight="1" thickBot="1">
      <c r="BD34" s="375"/>
      <c r="BE34" s="474"/>
      <c r="BF34" s="475"/>
      <c r="BG34" s="475"/>
      <c r="BH34" s="376"/>
      <c r="BI34" s="402"/>
      <c r="BJ34" s="337"/>
      <c r="BK34" s="337"/>
      <c r="BL34" s="346"/>
      <c r="BM34" s="346"/>
      <c r="BN34" s="337"/>
      <c r="BO34" s="337"/>
      <c r="BS34" s="127"/>
      <c r="BT34" s="127"/>
      <c r="BU34" s="127"/>
      <c r="BV34" s="127"/>
      <c r="BW34" s="127"/>
    </row>
    <row r="35" spans="1:75" ht="24.95" customHeight="1" thickBot="1">
      <c r="BD35" s="375"/>
      <c r="BE35" s="474"/>
      <c r="BF35" s="475"/>
      <c r="BG35" s="475"/>
      <c r="BH35" s="377"/>
      <c r="BI35" s="402"/>
      <c r="BJ35" s="558" t="s">
        <v>130</v>
      </c>
      <c r="BK35" s="559"/>
      <c r="BL35" s="559"/>
      <c r="BM35" s="559"/>
      <c r="BN35" s="560"/>
      <c r="BO35" s="444"/>
    </row>
    <row r="36" spans="1:75" ht="24.95" customHeight="1" thickBot="1">
      <c r="BD36" s="378"/>
      <c r="BE36" s="476"/>
      <c r="BF36" s="477"/>
      <c r="BG36" s="477"/>
      <c r="BH36" s="337"/>
      <c r="BI36" s="402"/>
      <c r="BJ36" s="337" t="s">
        <v>6</v>
      </c>
      <c r="BK36" s="337"/>
      <c r="BL36" s="346"/>
      <c r="BM36" s="346"/>
      <c r="BN36" s="337" t="s">
        <v>5</v>
      </c>
      <c r="BO36" s="337"/>
    </row>
    <row r="37" spans="1:75" ht="24.95" customHeight="1">
      <c r="BD37" s="544">
        <v>5</v>
      </c>
      <c r="BE37" s="535" t="str">
        <f>IF(AND(H10&gt;85,H10&lt;90),IF(BA14&lt;BA15,AX14,AX15),IF(AND(H10&gt;93,H10&lt;97),IF(BA14&lt;BA15,AX14,AX15),IF(AND(H10&gt;103,H10&lt;108),IF(BA14&lt;BA15,AX14,AX15),IF(AND(H10&gt;114,H10&lt;119),IF(BA14&lt;BA15,AX14,AX15),IF(AND(H10&gt;124,H10&lt;129),IF(BA14&lt;BA15,AX14,AX15),IF(AND(H10&gt;134,H10&lt;141),IF(BA14&lt;BA15,AX14,AX15),IF(AND(H10&gt;144,H10&lt;149),IF(BA14&lt;BA15,AX14,AX15),IF(AND(H10&gt;154,H10&lt;159),IF(BA14&lt;BA15,AX14,AX15),IF(AND(H10&gt;164,H10&lt;169),IF(BA14&lt;BA15,AX14,AX15)," ")))))))))</f>
        <v xml:space="preserve"> </v>
      </c>
      <c r="BF37" s="536"/>
      <c r="BG37" s="537"/>
      <c r="BH37" s="317">
        <v>1</v>
      </c>
      <c r="BI37" s="402"/>
      <c r="BJ37" s="544">
        <v>6</v>
      </c>
      <c r="BK37" s="549" t="str">
        <f>IF(AND(H10&gt;106,H10&lt;108),AS7,IF(AND(H10&gt;116,H10&lt;119),IF(BH32&lt;BH33,BE32,BE33),IF(AND(H10&gt;126,H10&lt;129),IF(BH32&lt;BH33,BE32,BE33),IF(AND(H10&gt;136,H10&lt;146),IF(BH32&lt;BH33,BE32,BE33),IF(AND(H10&gt;146,H10&lt;149),IF(BH32&lt;BH33,BE32,BE33),IF(AND(H10&gt;156,H10&lt;159),IF(BH32&lt;BH33,BE32,BE33),IF(AND(H10&gt;166,H10&lt;169),IF(BH32&lt;BH33,BE32,BE33)," ")))))))</f>
        <v xml:space="preserve"> </v>
      </c>
      <c r="BL37" s="550"/>
      <c r="BM37" s="551"/>
      <c r="BN37" s="317">
        <v>1</v>
      </c>
      <c r="BO37" s="268"/>
    </row>
    <row r="38" spans="1:75" ht="24.95" customHeight="1" thickBot="1">
      <c r="BD38" s="545"/>
      <c r="BE38" s="524" t="str">
        <f>IF(OR(AND(H10=86)),"OFFICE",IF(OR(AND(H10+H9&gt;93,H10&lt;97)),"OFFICE",IF(OR(AND(H10&gt;96,H10&lt;100))," ",IF(OR(AND(H10+H9&gt;103,H10&lt;109)),"OFFICE",IF(AND(H10&gt;114,H10&lt;119),IF(BA18&lt;BA19,AX18,AX19),IF(AND(H10&gt;124,H10&lt;129),IF(BA18&lt;BA19,AX18,AX19),IF(AND(H10&gt;134,H10&lt;141),IF(BA18&lt;BA19,AX18,AX19),IF(AND(H10&gt;144,H10&lt;149),IF(BA18&lt;BA19,AX18,AX19),IF(AND(H10&gt;154,H10&lt;159),IF(BA18&lt;BA19,AX18,AX19),IF(AND(H10&gt;164,H10&lt;169),IF(BA18&lt;BA19,AX18,AX19)," "))))))))))</f>
        <v xml:space="preserve"> </v>
      </c>
      <c r="BF38" s="525"/>
      <c r="BG38" s="526"/>
      <c r="BH38" s="319">
        <v>0</v>
      </c>
      <c r="BI38" s="402"/>
      <c r="BJ38" s="545"/>
      <c r="BK38" s="552" t="str">
        <f>IF(AND(H10=107),IF(BH32&lt;BH33,BE32,BE33),IF(AND(H10&gt;116,H10&lt;119),IF(BH37&lt;BH38,BE37,BE38),IF(AND(H10&gt;126,H10&lt;129),IF(BH37&lt;BH38,BE37,BE38),IF(AND(H10&gt;136,H10&lt;146),IF(BH37&lt;BH38,BE37,BE38),IF(AND(H10&gt;146,H10&lt;149),IF(BH37&lt;BH38,BE37,BE38),IF(AND(H10&gt;157,H10&lt;159),IF(BH37&lt;BH38,BE37,BE38),IF(AND(H10&gt;166,H10&lt;169),IF(BH37&lt;BH38,BE37,BE38)," ")))))))</f>
        <v xml:space="preserve"> </v>
      </c>
      <c r="BL38" s="553"/>
      <c r="BM38" s="554"/>
      <c r="BN38" s="319">
        <v>2</v>
      </c>
      <c r="BO38" s="268"/>
    </row>
    <row r="39" spans="1:75" ht="24.95" customHeight="1"/>
    <row r="40" spans="1:75" ht="24.95" customHeight="1"/>
    <row r="41" spans="1:75" ht="24.95" customHeight="1"/>
    <row r="42" spans="1:75" ht="24.75" customHeight="1"/>
    <row r="43" spans="1:75" ht="24" customHeight="1"/>
    <row r="44" spans="1:75" ht="26.25" customHeight="1"/>
    <row r="45" spans="1:75" ht="24.75" customHeight="1"/>
    <row r="46" spans="1:75" ht="24" customHeight="1"/>
    <row r="47" spans="1:75" ht="26.25" customHeight="1"/>
  </sheetData>
  <sheetProtection password="CFC3" sheet="1" objects="1" scenarios="1"/>
  <mergeCells count="94">
    <mergeCell ref="BI1:BI2"/>
    <mergeCell ref="AL1:AM2"/>
    <mergeCell ref="AL10:AL11"/>
    <mergeCell ref="AF17:AF18"/>
    <mergeCell ref="AF19:AF20"/>
    <mergeCell ref="AF15:AF16"/>
    <mergeCell ref="AL18:AL19"/>
    <mergeCell ref="AF7:AF8"/>
    <mergeCell ref="AW6:AW7"/>
    <mergeCell ref="AX6:AZ6"/>
    <mergeCell ref="AX7:AZ7"/>
    <mergeCell ref="AL6:AL7"/>
    <mergeCell ref="AF5:AF6"/>
    <mergeCell ref="AX14:AZ14"/>
    <mergeCell ref="AW14:AW15"/>
    <mergeCell ref="AF13:AF14"/>
    <mergeCell ref="Z13:Z16"/>
    <mergeCell ref="AA13:AA14"/>
    <mergeCell ref="AA15:AA16"/>
    <mergeCell ref="A17:C17"/>
    <mergeCell ref="A10:E10"/>
    <mergeCell ref="A11:E11"/>
    <mergeCell ref="C15:D15"/>
    <mergeCell ref="H10:I11"/>
    <mergeCell ref="Z17:Z20"/>
    <mergeCell ref="AA17:AA18"/>
    <mergeCell ref="A18:C18"/>
    <mergeCell ref="AA19:AA20"/>
    <mergeCell ref="B20:D20"/>
    <mergeCell ref="BT16:BV16"/>
    <mergeCell ref="BT17:BV17"/>
    <mergeCell ref="BE9:BG9"/>
    <mergeCell ref="BD8:BD9"/>
    <mergeCell ref="BE8:BG8"/>
    <mergeCell ref="BD16:BD17"/>
    <mergeCell ref="BT14:BV14"/>
    <mergeCell ref="BT15:BV15"/>
    <mergeCell ref="BT18:BV18"/>
    <mergeCell ref="BT11:BV11"/>
    <mergeCell ref="BT12:BV12"/>
    <mergeCell ref="BT13:BV13"/>
    <mergeCell ref="Z3:AD3"/>
    <mergeCell ref="BD3:BH3"/>
    <mergeCell ref="BJ3:BN3"/>
    <mergeCell ref="AF3:AI3"/>
    <mergeCell ref="AW3:BA3"/>
    <mergeCell ref="AL3:AO3"/>
    <mergeCell ref="BR9:BV9"/>
    <mergeCell ref="BE17:BG17"/>
    <mergeCell ref="AW18:AW19"/>
    <mergeCell ref="AX18:AZ18"/>
    <mergeCell ref="AX19:AZ19"/>
    <mergeCell ref="BJ12:BJ13"/>
    <mergeCell ref="E5:F5"/>
    <mergeCell ref="H6:K6"/>
    <mergeCell ref="C7:E7"/>
    <mergeCell ref="AX11:AZ11"/>
    <mergeCell ref="G1:L1"/>
    <mergeCell ref="D3:E3"/>
    <mergeCell ref="G3:H3"/>
    <mergeCell ref="I3:K3"/>
    <mergeCell ref="Z5:Z8"/>
    <mergeCell ref="AA5:AA6"/>
    <mergeCell ref="AA7:AA8"/>
    <mergeCell ref="B1:F1"/>
    <mergeCell ref="Z9:Z12"/>
    <mergeCell ref="BQ3:BW3"/>
    <mergeCell ref="BK12:BM12"/>
    <mergeCell ref="BK13:BM13"/>
    <mergeCell ref="BD37:BD38"/>
    <mergeCell ref="BE37:BG37"/>
    <mergeCell ref="BJ37:BJ38"/>
    <mergeCell ref="BK37:BM37"/>
    <mergeCell ref="BE38:BG38"/>
    <mergeCell ref="BK38:BM38"/>
    <mergeCell ref="BD28:BN28"/>
    <mergeCell ref="BJ32:BJ33"/>
    <mergeCell ref="BJ35:BN35"/>
    <mergeCell ref="BE30:BG30"/>
    <mergeCell ref="BJ30:BN30"/>
    <mergeCell ref="BD32:BD33"/>
    <mergeCell ref="BE32:BG32"/>
    <mergeCell ref="AL14:AL15"/>
    <mergeCell ref="BK32:BM32"/>
    <mergeCell ref="BE33:BG33"/>
    <mergeCell ref="BK33:BM33"/>
    <mergeCell ref="AW10:AW11"/>
    <mergeCell ref="AX10:AZ10"/>
    <mergeCell ref="BK25:BM25"/>
    <mergeCell ref="BJ23:BN23"/>
    <mergeCell ref="AX15:AZ15"/>
    <mergeCell ref="BJ25:BJ26"/>
    <mergeCell ref="BK26:BM26"/>
    <mergeCell ref="BE16:BG16"/>
  </mergeCells>
  <conditionalFormatting sqref="BA6:BA7">
    <cfRule type="duplicateValues" dxfId="629" priority="445"/>
    <cfRule type="iconSet" priority="446">
      <iconSet iconSet="3Signs">
        <cfvo type="percent" val="0"/>
        <cfvo type="percent" val="12"/>
        <cfvo type="percent" val="13" gte="0"/>
      </iconSet>
    </cfRule>
  </conditionalFormatting>
  <conditionalFormatting sqref="BH8:BH11 BD12:BI12">
    <cfRule type="duplicateValues" dxfId="628" priority="443"/>
    <cfRule type="iconSet" priority="444">
      <iconSet>
        <cfvo type="percent" val="0"/>
        <cfvo type="percent" val="12"/>
        <cfvo type="percent" val="13"/>
      </iconSet>
    </cfRule>
  </conditionalFormatting>
  <conditionalFormatting sqref="AN10:AN11 AN6:AN7 AN14:AN15 AN18:AN19 AH5:AH20">
    <cfRule type="containsText" dxfId="627" priority="408" operator="containsText" text="résultat">
      <formula>NOT(ISERROR(SEARCH("résultat",AH5)))</formula>
    </cfRule>
    <cfRule type="containsText" dxfId="626" priority="409" operator="containsText" text="OFFICE">
      <formula>NOT(ISERROR(SEARCH("OFFICE",AH5)))</formula>
    </cfRule>
  </conditionalFormatting>
  <conditionalFormatting sqref="AN10:AN11 AN6:AN7 AN14:AN15 AN18:AN19">
    <cfRule type="containsText" dxfId="625" priority="407" operator="containsText" text="résultat">
      <formula>NOT(ISERROR(SEARCH("résultat",AN6)))</formula>
    </cfRule>
  </conditionalFormatting>
  <conditionalFormatting sqref="BR18">
    <cfRule type="expression" dxfId="624" priority="389">
      <formula>(OR(BU5+$BU$6=8))</formula>
    </cfRule>
  </conditionalFormatting>
  <conditionalFormatting sqref="AI5:AI6">
    <cfRule type="iconSet" priority="381">
      <iconSet iconSet="3Signs">
        <cfvo type="percent" val="0"/>
        <cfvo type="percent" val="12"/>
        <cfvo type="percent" val="13" gte="0"/>
      </iconSet>
    </cfRule>
  </conditionalFormatting>
  <conditionalFormatting sqref="AI7:AI8">
    <cfRule type="iconSet" priority="380">
      <iconSet iconSet="3Signs">
        <cfvo type="percent" val="0"/>
        <cfvo type="percent" val="12"/>
        <cfvo type="percent" val="13" gte="0"/>
      </iconSet>
    </cfRule>
  </conditionalFormatting>
  <conditionalFormatting sqref="AI9:AI10">
    <cfRule type="iconSet" priority="379">
      <iconSet iconSet="3Signs">
        <cfvo type="percent" val="0"/>
        <cfvo type="percent" val="12"/>
        <cfvo type="percent" val="13" gte="0"/>
      </iconSet>
    </cfRule>
  </conditionalFormatting>
  <conditionalFormatting sqref="AI11:AI12">
    <cfRule type="iconSet" priority="378">
      <iconSet iconSet="3Signs">
        <cfvo type="percent" val="0"/>
        <cfvo type="percent" val="12"/>
        <cfvo type="percent" val="13" gte="0"/>
      </iconSet>
    </cfRule>
  </conditionalFormatting>
  <conditionalFormatting sqref="AI13:AI14">
    <cfRule type="iconSet" priority="377">
      <iconSet iconSet="3Signs">
        <cfvo type="percent" val="0"/>
        <cfvo type="percent" val="12"/>
        <cfvo type="percent" val="13" gte="0"/>
      </iconSet>
    </cfRule>
  </conditionalFormatting>
  <conditionalFormatting sqref="AI15:AI16">
    <cfRule type="iconSet" priority="376">
      <iconSet iconSet="3Signs">
        <cfvo type="percent" val="0"/>
        <cfvo type="percent" val="12"/>
        <cfvo type="percent" val="13" gte="0"/>
      </iconSet>
    </cfRule>
  </conditionalFormatting>
  <conditionalFormatting sqref="AI17:AI18">
    <cfRule type="iconSet" priority="375">
      <iconSet iconSet="3Signs">
        <cfvo type="percent" val="0"/>
        <cfvo type="percent" val="12"/>
        <cfvo type="percent" val="13" gte="0"/>
      </iconSet>
    </cfRule>
  </conditionalFormatting>
  <conditionalFormatting sqref="AI19:AI20">
    <cfRule type="iconSet" priority="374">
      <iconSet iconSet="3Signs">
        <cfvo type="percent" val="0"/>
        <cfvo type="percent" val="12"/>
        <cfvo type="percent" val="13" gte="0"/>
      </iconSet>
    </cfRule>
  </conditionalFormatting>
  <conditionalFormatting sqref="AD7:AD8">
    <cfRule type="iconSet" priority="369">
      <iconSet iconSet="3Signs">
        <cfvo type="percent" val="0"/>
        <cfvo type="percent" val="12"/>
        <cfvo type="percent" val="13" gte="0"/>
      </iconSet>
    </cfRule>
  </conditionalFormatting>
  <conditionalFormatting sqref="AS5 AS9">
    <cfRule type="expression" dxfId="623" priority="368" stopIfTrue="1">
      <formula>(OR(BY1048566="1",BY1048566="2",BY1048566="3"))</formula>
    </cfRule>
  </conditionalFormatting>
  <conditionalFormatting sqref="AS6">
    <cfRule type="expression" dxfId="622" priority="367">
      <formula>(OR(BY1048566="2",BY1048566="3"))</formula>
    </cfRule>
  </conditionalFormatting>
  <conditionalFormatting sqref="AS7">
    <cfRule type="cellIs" dxfId="621" priority="365" operator="equal">
      <formula>0</formula>
    </cfRule>
    <cfRule type="expression" dxfId="620" priority="366">
      <formula>(BY1048566="3")</formula>
    </cfRule>
  </conditionalFormatting>
  <conditionalFormatting sqref="AD5:AD6">
    <cfRule type="iconSet" priority="352">
      <iconSet iconSet="3Signs">
        <cfvo type="percent" val="0"/>
        <cfvo type="percent" val="12"/>
        <cfvo type="percent" val="13" gte="0"/>
      </iconSet>
    </cfRule>
  </conditionalFormatting>
  <conditionalFormatting sqref="AD9:AD10">
    <cfRule type="iconSet" priority="351">
      <iconSet iconSet="3Signs">
        <cfvo type="percent" val="0"/>
        <cfvo type="percent" val="12"/>
        <cfvo type="percent" val="13" gte="0"/>
      </iconSet>
    </cfRule>
  </conditionalFormatting>
  <conditionalFormatting sqref="AD11:AD12">
    <cfRule type="iconSet" priority="350">
      <iconSet iconSet="3Signs">
        <cfvo type="percent" val="0"/>
        <cfvo type="percent" val="12"/>
        <cfvo type="percent" val="13" gte="0"/>
      </iconSet>
    </cfRule>
  </conditionalFormatting>
  <conditionalFormatting sqref="AD13:AD14">
    <cfRule type="iconSet" priority="349">
      <iconSet iconSet="3Signs">
        <cfvo type="percent" val="0"/>
        <cfvo type="percent" val="12"/>
        <cfvo type="percent" val="13" gte="0"/>
      </iconSet>
    </cfRule>
  </conditionalFormatting>
  <conditionalFormatting sqref="AD15:AD16">
    <cfRule type="iconSet" priority="348">
      <iconSet iconSet="3Signs">
        <cfvo type="percent" val="0"/>
        <cfvo type="percent" val="12"/>
        <cfvo type="percent" val="13" gte="0"/>
      </iconSet>
    </cfRule>
  </conditionalFormatting>
  <conditionalFormatting sqref="AD17:AD18">
    <cfRule type="iconSet" priority="347">
      <iconSet iconSet="3Signs">
        <cfvo type="percent" val="0"/>
        <cfvo type="percent" val="12"/>
        <cfvo type="percent" val="13" gte="0"/>
      </iconSet>
    </cfRule>
  </conditionalFormatting>
  <conditionalFormatting sqref="AD19:AD20">
    <cfRule type="iconSet" priority="345">
      <iconSet iconSet="3Signs">
        <cfvo type="percent" val="0"/>
        <cfvo type="percent" val="12"/>
        <cfvo type="percent" val="13" gte="0"/>
      </iconSet>
    </cfRule>
    <cfRule type="iconSet" priority="346">
      <iconSet iconSet="3Signs">
        <cfvo type="percent" val="0"/>
        <cfvo type="percent" val="12"/>
        <cfvo type="percent" val="13" gte="0"/>
      </iconSet>
    </cfRule>
  </conditionalFormatting>
  <conditionalFormatting sqref="BA10:BA11">
    <cfRule type="duplicateValues" dxfId="619" priority="263"/>
    <cfRule type="iconSet" priority="264">
      <iconSet>
        <cfvo type="percent" val="0"/>
        <cfvo type="percent" val="12"/>
        <cfvo type="percent" val="13"/>
      </iconSet>
    </cfRule>
  </conditionalFormatting>
  <conditionalFormatting sqref="BA14:BA16">
    <cfRule type="duplicateValues" dxfId="618" priority="261"/>
    <cfRule type="iconSet" priority="262">
      <iconSet>
        <cfvo type="percent" val="0"/>
        <cfvo type="percent" val="12"/>
        <cfvo type="percent" val="13"/>
      </iconSet>
    </cfRule>
  </conditionalFormatting>
  <conditionalFormatting sqref="BA18:BA20">
    <cfRule type="duplicateValues" dxfId="617" priority="259"/>
    <cfRule type="iconSet" priority="260">
      <iconSet>
        <cfvo type="percent" val="0"/>
        <cfvo type="percent" val="12"/>
        <cfvo type="percent" val="13"/>
      </iconSet>
    </cfRule>
  </conditionalFormatting>
  <conditionalFormatting sqref="AS9 AS13">
    <cfRule type="expression" dxfId="616" priority="258" stopIfTrue="1">
      <formula>(OR(#REF!="1",#REF!="2",#REF!="3"))</formula>
    </cfRule>
  </conditionalFormatting>
  <conditionalFormatting sqref="AS10 AS14">
    <cfRule type="expression" dxfId="615" priority="257">
      <formula>(OR(#REF!="2",#REF!="3"))</formula>
    </cfRule>
  </conditionalFormatting>
  <conditionalFormatting sqref="AS11">
    <cfRule type="cellIs" dxfId="614" priority="255" operator="equal">
      <formula>0</formula>
    </cfRule>
    <cfRule type="expression" dxfId="613" priority="256">
      <formula>(#REF!="3")</formula>
    </cfRule>
  </conditionalFormatting>
  <conditionalFormatting sqref="AS13">
    <cfRule type="expression" dxfId="612" priority="242" stopIfTrue="1">
      <formula>(OR(#REF!="1",#REF!="2",#REF!="3"))</formula>
    </cfRule>
  </conditionalFormatting>
  <conditionalFormatting sqref="AS14">
    <cfRule type="expression" dxfId="611" priority="241">
      <formula>(OR(#REF!="2",#REF!="3"))</formula>
    </cfRule>
  </conditionalFormatting>
  <conditionalFormatting sqref="AS13">
    <cfRule type="expression" dxfId="610" priority="238" stopIfTrue="1">
      <formula>(OR(#REF!="1",#REF!="2",#REF!="3"))</formula>
    </cfRule>
  </conditionalFormatting>
  <conditionalFormatting sqref="AS14">
    <cfRule type="expression" dxfId="609" priority="237">
      <formula>(OR(#REF!="2",#REF!="3"))</formula>
    </cfRule>
  </conditionalFormatting>
  <conditionalFormatting sqref="AS9 AS13 AS17">
    <cfRule type="expression" dxfId="608" priority="234" stopIfTrue="1">
      <formula>(OR(#REF!="1",#REF!="2",#REF!="3"))</formula>
    </cfRule>
  </conditionalFormatting>
  <conditionalFormatting sqref="AS14 AS18 AS10">
    <cfRule type="expression" dxfId="607" priority="233">
      <formula>(OR(#REF!="2",#REF!="3"))</formula>
    </cfRule>
  </conditionalFormatting>
  <conditionalFormatting sqref="AS11">
    <cfRule type="cellIs" dxfId="606" priority="223" operator="equal">
      <formula>0</formula>
    </cfRule>
    <cfRule type="expression" dxfId="605" priority="224">
      <formula>(#REF!="3")</formula>
    </cfRule>
  </conditionalFormatting>
  <conditionalFormatting sqref="AS13">
    <cfRule type="expression" dxfId="604" priority="189" stopIfTrue="1">
      <formula>(OR(#REF!="1",#REF!="2",#REF!="3"))</formula>
    </cfRule>
  </conditionalFormatting>
  <conditionalFormatting sqref="BA10:BA11">
    <cfRule type="duplicateValues" dxfId="603" priority="103"/>
    <cfRule type="iconSet" priority="104">
      <iconSet iconSet="3Signs">
        <cfvo type="percent" val="0"/>
        <cfvo type="percent" val="12"/>
        <cfvo type="percent" val="13" gte="0"/>
      </iconSet>
    </cfRule>
  </conditionalFormatting>
  <conditionalFormatting sqref="BA14:BA15">
    <cfRule type="duplicateValues" dxfId="602" priority="101"/>
    <cfRule type="iconSet" priority="102">
      <iconSet iconSet="3Signs">
        <cfvo type="percent" val="0"/>
        <cfvo type="percent" val="12"/>
        <cfvo type="percent" val="13" gte="0"/>
      </iconSet>
    </cfRule>
  </conditionalFormatting>
  <conditionalFormatting sqref="BA18:BA19">
    <cfRule type="duplicateValues" dxfId="601" priority="99"/>
    <cfRule type="iconSet" priority="100">
      <iconSet iconSet="3Signs">
        <cfvo type="percent" val="0"/>
        <cfvo type="percent" val="12"/>
        <cfvo type="percent" val="13" gte="0"/>
      </iconSet>
    </cfRule>
  </conditionalFormatting>
  <conditionalFormatting sqref="BH8:BH9">
    <cfRule type="duplicateValues" dxfId="600" priority="97"/>
    <cfRule type="iconSet" priority="98">
      <iconSet iconSet="3Signs">
        <cfvo type="percent" val="0"/>
        <cfvo type="percent" val="12"/>
        <cfvo type="percent" val="13" gte="0"/>
      </iconSet>
    </cfRule>
  </conditionalFormatting>
  <conditionalFormatting sqref="BH32:BH33">
    <cfRule type="duplicateValues" dxfId="599" priority="93"/>
    <cfRule type="iconSet" priority="94">
      <iconSet iconSet="3Signs">
        <cfvo type="percent" val="0"/>
        <cfvo type="percent" val="12"/>
        <cfvo type="percent" val="13" gte="0"/>
      </iconSet>
    </cfRule>
  </conditionalFormatting>
  <conditionalFormatting sqref="BH37:BH38">
    <cfRule type="duplicateValues" dxfId="598" priority="91"/>
    <cfRule type="iconSet" priority="92">
      <iconSet iconSet="3Signs">
        <cfvo type="percent" val="0"/>
        <cfvo type="percent" val="12"/>
        <cfvo type="percent" val="13" gte="0"/>
      </iconSet>
    </cfRule>
  </conditionalFormatting>
  <conditionalFormatting sqref="BN37:BO38">
    <cfRule type="duplicateValues" dxfId="597" priority="83"/>
    <cfRule type="iconSet" priority="84">
      <iconSet iconSet="3Signs">
        <cfvo type="percent" val="0"/>
        <cfvo type="percent" val="12"/>
        <cfvo type="percent" val="13" gte="0"/>
      </iconSet>
    </cfRule>
  </conditionalFormatting>
  <conditionalFormatting sqref="BC12">
    <cfRule type="duplicateValues" dxfId="596" priority="81"/>
    <cfRule type="iconSet" priority="82">
      <iconSet>
        <cfvo type="percent" val="0"/>
        <cfvo type="percent" val="12"/>
        <cfvo type="percent" val="13"/>
      </iconSet>
    </cfRule>
  </conditionalFormatting>
  <conditionalFormatting sqref="BT13">
    <cfRule type="expression" dxfId="595" priority="79">
      <formula>OR($BU$5+$BU$6=8,$BU$5+$BU$6=7,$BU$5+$BU$6=6,$BU$5+$BU$6=5,$BU$5+BU$6=4,$BU$5+$BU$6=3)</formula>
    </cfRule>
  </conditionalFormatting>
  <conditionalFormatting sqref="BT18">
    <cfRule type="expression" dxfId="594" priority="72">
      <formula>(OR(BU5+$BU$6=8))</formula>
    </cfRule>
  </conditionalFormatting>
  <conditionalFormatting sqref="Y8">
    <cfRule type="cellIs" dxfId="593" priority="67" operator="equal">
      <formula>0</formula>
    </cfRule>
    <cfRule type="cellIs" dxfId="592" priority="68" operator="equal">
      <formula>4</formula>
    </cfRule>
  </conditionalFormatting>
  <conditionalFormatting sqref="Y20">
    <cfRule type="cellIs" dxfId="591" priority="64" operator="equal">
      <formula>0</formula>
    </cfRule>
    <cfRule type="cellIs" dxfId="590" priority="65" operator="equal">
      <formula>16</formula>
    </cfRule>
    <cfRule type="cellIs" dxfId="589" priority="66" operator="equal">
      <formula>19</formula>
    </cfRule>
  </conditionalFormatting>
  <conditionalFormatting sqref="Y12">
    <cfRule type="cellIs" dxfId="588" priority="61" operator="equal">
      <formula>0</formula>
    </cfRule>
    <cfRule type="cellIs" dxfId="587" priority="62" operator="equal">
      <formula>0</formula>
    </cfRule>
    <cfRule type="cellIs" dxfId="586" priority="63" operator="equal">
      <formula>8</formula>
    </cfRule>
  </conditionalFormatting>
  <conditionalFormatting sqref="Y13">
    <cfRule type="cellIs" dxfId="585" priority="58" operator="equal">
      <formula>8</formula>
    </cfRule>
    <cfRule type="cellIs" dxfId="584" priority="59" operator="equal">
      <formula>7</formula>
    </cfRule>
    <cfRule type="cellIs" dxfId="583" priority="60" operator="equal">
      <formula>9</formula>
    </cfRule>
  </conditionalFormatting>
  <conditionalFormatting sqref="Y14">
    <cfRule type="cellIs" dxfId="582" priority="55" operator="equal">
      <formula>9</formula>
    </cfRule>
    <cfRule type="cellIs" dxfId="581" priority="56" operator="equal">
      <formula>8</formula>
    </cfRule>
    <cfRule type="cellIs" dxfId="580" priority="57" operator="equal">
      <formula>10</formula>
    </cfRule>
  </conditionalFormatting>
  <conditionalFormatting sqref="Y15">
    <cfRule type="cellIs" dxfId="579" priority="52" operator="equal">
      <formula>10</formula>
    </cfRule>
    <cfRule type="cellIs" dxfId="578" priority="53" operator="equal">
      <formula>9</formula>
    </cfRule>
    <cfRule type="cellIs" dxfId="577" priority="54" operator="equal">
      <formula>11</formula>
    </cfRule>
  </conditionalFormatting>
  <conditionalFormatting sqref="Y16">
    <cfRule type="cellIs" dxfId="576" priority="50" operator="equal">
      <formula>0</formula>
    </cfRule>
    <cfRule type="cellIs" dxfId="575" priority="51" operator="equal">
      <formula>12</formula>
    </cfRule>
  </conditionalFormatting>
  <conditionalFormatting sqref="Y17">
    <cfRule type="cellIs" dxfId="574" priority="47" operator="equal">
      <formula>11</formula>
    </cfRule>
    <cfRule type="cellIs" dxfId="573" priority="48" operator="equal">
      <formula>12</formula>
    </cfRule>
    <cfRule type="cellIs" dxfId="572" priority="49" operator="equal">
      <formula>13</formula>
    </cfRule>
  </conditionalFormatting>
  <conditionalFormatting sqref="Y18">
    <cfRule type="cellIs" dxfId="571" priority="44" operator="equal">
      <formula>12</formula>
    </cfRule>
    <cfRule type="cellIs" dxfId="570" priority="45" operator="equal">
      <formula>13</formula>
    </cfRule>
    <cfRule type="cellIs" dxfId="569" priority="46" operator="equal">
      <formula>14</formula>
    </cfRule>
  </conditionalFormatting>
  <conditionalFormatting sqref="Y19">
    <cfRule type="cellIs" dxfId="568" priority="41" operator="equal">
      <formula>14</formula>
    </cfRule>
    <cfRule type="cellIs" dxfId="567" priority="42" operator="equal">
      <formula>13</formula>
    </cfRule>
    <cfRule type="cellIs" dxfId="566" priority="43" operator="equal">
      <formula>15</formula>
    </cfRule>
  </conditionalFormatting>
  <conditionalFormatting sqref="Y9">
    <cfRule type="cellIs" dxfId="565" priority="39" operator="equal">
      <formula>4</formula>
    </cfRule>
    <cfRule type="cellIs" dxfId="564" priority="40" operator="equal">
      <formula>5</formula>
    </cfRule>
  </conditionalFormatting>
  <conditionalFormatting sqref="Y10">
    <cfRule type="cellIs" dxfId="563" priority="37" operator="equal">
      <formula>5</formula>
    </cfRule>
    <cfRule type="cellIs" dxfId="562" priority="38" operator="equal">
      <formula>6</formula>
    </cfRule>
  </conditionalFormatting>
  <conditionalFormatting sqref="Y11">
    <cfRule type="cellIs" dxfId="561" priority="35" operator="equal">
      <formula>6</formula>
    </cfRule>
    <cfRule type="cellIs" dxfId="560" priority="36" operator="equal">
      <formula>7</formula>
    </cfRule>
  </conditionalFormatting>
  <conditionalFormatting sqref="AB5:AB20">
    <cfRule type="containsText" dxfId="559" priority="32" operator="containsText" text="D">
      <formula>NOT(ISERROR(SEARCH("D",AB5)))</formula>
    </cfRule>
  </conditionalFormatting>
  <conditionalFormatting sqref="BT11:BV11">
    <cfRule type="expression" dxfId="558" priority="27">
      <formula>OR($BU$5+$BU$6=8,BU5+BU6=7,BU5+$BU$6=6,BU5+$BU$6=5,BU5+$BU$6=4,BU5+$BU$6=3,BU5+$BU$6=2,BU5+$BU$6=1)</formula>
    </cfRule>
  </conditionalFormatting>
  <conditionalFormatting sqref="BR11">
    <cfRule type="expression" dxfId="557" priority="26">
      <formula>OR(BU5+$BU$6=8,BU5+$BU$6=7,BU5+$BU$6=6,BU5+$BU$6=5,BU5+$BU$6=4,BU5+$BU$6=4,BU5+$BU$6=3,BU5+$BU$6=2,BU5+$BU$6=1)</formula>
    </cfRule>
  </conditionalFormatting>
  <conditionalFormatting sqref="BR12">
    <cfRule type="expression" dxfId="556" priority="25">
      <formula>OR(BU5+$BU$6=8,BU5+$BU$6=7,BU5+$BU$6=6,BU5+$BU$6=5,BU5+$BU$6=4,BU5+$BU$6=3,BU5+$BU$6=2,)</formula>
    </cfRule>
  </conditionalFormatting>
  <conditionalFormatting sqref="BR13">
    <cfRule type="expression" dxfId="555" priority="24">
      <formula>OR(BU5+$BU$6=8,BU5+$BU$6=7,BU5+$BU$6=6,BU5+$BU$6=5,BU5+$BU$6=4,BU5+$BU$6=3)</formula>
    </cfRule>
  </conditionalFormatting>
  <conditionalFormatting sqref="BT12">
    <cfRule type="expression" dxfId="554" priority="729">
      <formula>(OR(BU5+$BU$6=8,BU5+$BU$6=7,BU5+$BU$6=6,BU5+$BU$6=5,BU5+$BU$6=4,BU5+$BU$6=3,BU5+$BU$6=2))</formula>
    </cfRule>
  </conditionalFormatting>
  <conditionalFormatting sqref="BT14">
    <cfRule type="expression" dxfId="553" priority="667">
      <formula>(OR($BU$5+$BU$6=8,BU5+$BU$6=7,BU5+$BU$6=6,BU5+$BU$6=5,$BU$5+$BU$6=4))</formula>
    </cfRule>
  </conditionalFormatting>
  <conditionalFormatting sqref="BT15">
    <cfRule type="expression" dxfId="552" priority="733">
      <formula>(OR(BU5+$BU$6=8,BU5+$BU$6=7,BU5+$BU$6=6,BU5+$BU$6=5))</formula>
    </cfRule>
  </conditionalFormatting>
  <conditionalFormatting sqref="BT16">
    <cfRule type="expression" dxfId="551" priority="735">
      <formula>(OR(BU5+$BU$6=8,BU5+$BU$6=7,BU5+$BU$6=6))</formula>
    </cfRule>
  </conditionalFormatting>
  <conditionalFormatting sqref="BT17">
    <cfRule type="expression" dxfId="550" priority="737">
      <formula>(OR(BU5+$BU$6=8,BU5+$BU$6=7))</formula>
    </cfRule>
  </conditionalFormatting>
  <conditionalFormatting sqref="BR14">
    <cfRule type="expression" dxfId="549" priority="777">
      <formula>OR($BU$5+$BU$6=8,$BU$5+$BU$6=7,$BU$5+$BU$6=6,$BU$5+$BU$6=5,$BU$5+$BU$6=4)</formula>
    </cfRule>
  </conditionalFormatting>
  <conditionalFormatting sqref="BR17">
    <cfRule type="expression" dxfId="548" priority="780">
      <formula>(OR(BU5+$BU$6=8,BU5+$BU$6=7))</formula>
    </cfRule>
  </conditionalFormatting>
  <conditionalFormatting sqref="BR15">
    <cfRule type="expression" dxfId="547" priority="781">
      <formula>(OR(BU5+$BU$6=8,BU5+$BU$6=7,BU5+$BU$6=6,BU5+$BU$6=5))</formula>
    </cfRule>
  </conditionalFormatting>
  <conditionalFormatting sqref="BR16">
    <cfRule type="expression" dxfId="546" priority="782">
      <formula>(OR(BU5+$BU$6=8,BU5+$BU$6=7,BU5+$BU$6=6))</formula>
    </cfRule>
  </conditionalFormatting>
  <conditionalFormatting sqref="AO6:AO7">
    <cfRule type="iconSet" priority="22">
      <iconSet iconSet="3Signs">
        <cfvo type="percent" val="0"/>
        <cfvo type="percent" val="12"/>
        <cfvo type="percent" val="13" gte="0"/>
      </iconSet>
    </cfRule>
  </conditionalFormatting>
  <conditionalFormatting sqref="AO10:AO11">
    <cfRule type="iconSet" priority="21">
      <iconSet iconSet="3Signs">
        <cfvo type="percent" val="0"/>
        <cfvo type="percent" val="12"/>
        <cfvo type="percent" val="13" gte="0"/>
      </iconSet>
    </cfRule>
  </conditionalFormatting>
  <conditionalFormatting sqref="AO14:AO15">
    <cfRule type="iconSet" priority="20">
      <iconSet iconSet="3Signs">
        <cfvo type="percent" val="0"/>
        <cfvo type="percent" val="12"/>
        <cfvo type="percent" val="13" gte="0"/>
      </iconSet>
    </cfRule>
  </conditionalFormatting>
  <conditionalFormatting sqref="AO18:AO19">
    <cfRule type="iconSet" priority="19">
      <iconSet iconSet="3Signs">
        <cfvo type="percent" val="0"/>
        <cfvo type="percent" val="12"/>
        <cfvo type="percent" val="13" gte="0"/>
      </iconSet>
    </cfRule>
  </conditionalFormatting>
  <conditionalFormatting sqref="BN12:BP16">
    <cfRule type="duplicateValues" dxfId="545" priority="910"/>
    <cfRule type="iconSet" priority="911">
      <iconSet>
        <cfvo type="percent" val="0"/>
        <cfvo type="percent" val="12"/>
        <cfvo type="percent" val="13"/>
      </iconSet>
    </cfRule>
  </conditionalFormatting>
  <conditionalFormatting sqref="BN12:BP13">
    <cfRule type="duplicateValues" dxfId="544" priority="912"/>
    <cfRule type="iconSet" priority="913">
      <iconSet iconSet="3Signs">
        <cfvo type="percent" val="0"/>
        <cfvo type="percent" val="12"/>
        <cfvo type="percent" val="13" gte="0"/>
      </iconSet>
    </cfRule>
  </conditionalFormatting>
  <conditionalFormatting sqref="AC5:AC20 BE17:BG17 BE38:BG38">
    <cfRule type="containsText" dxfId="543" priority="18" operator="containsText" text="OFFICE">
      <formula>NOT(ISERROR(SEARCH("OFFICE",AC5)))</formula>
    </cfRule>
  </conditionalFormatting>
  <conditionalFormatting sqref="BH16:BH21">
    <cfRule type="duplicateValues" dxfId="542" priority="926"/>
    <cfRule type="iconSet" priority="927">
      <iconSet>
        <cfvo type="percent" val="0"/>
        <cfvo type="percent" val="12"/>
        <cfvo type="percent" val="13"/>
      </iconSet>
    </cfRule>
  </conditionalFormatting>
  <conditionalFormatting sqref="BH16:BH21">
    <cfRule type="duplicateValues" dxfId="541" priority="989"/>
    <cfRule type="iconSet" priority="990">
      <iconSet iconSet="3Signs">
        <cfvo type="percent" val="0"/>
        <cfvo type="percent" val="12"/>
        <cfvo type="percent" val="13" gte="0"/>
      </iconSet>
    </cfRule>
  </conditionalFormatting>
  <conditionalFormatting sqref="AS10">
    <cfRule type="expression" dxfId="540" priority="1121">
      <formula>(OR(BY1048570="2",BY1048570="3"))</formula>
    </cfRule>
  </conditionalFormatting>
  <conditionalFormatting sqref="AS11">
    <cfRule type="cellIs" dxfId="539" priority="1122" operator="equal">
      <formula>0</formula>
    </cfRule>
    <cfRule type="expression" dxfId="538" priority="1123">
      <formula>(BY1048570="3")</formula>
    </cfRule>
  </conditionalFormatting>
  <conditionalFormatting sqref="BN25:BN26">
    <cfRule type="duplicateValues" dxfId="537" priority="16"/>
    <cfRule type="iconSet" priority="17">
      <iconSet iconSet="3Signs">
        <cfvo type="percent" val="0"/>
        <cfvo type="percent" val="12"/>
        <cfvo type="percent" val="13" gte="0"/>
      </iconSet>
    </cfRule>
  </conditionalFormatting>
  <conditionalFormatting sqref="BN32:BQ33">
    <cfRule type="duplicateValues" dxfId="536" priority="1124"/>
    <cfRule type="iconSet" priority="1125">
      <iconSet iconSet="3Signs">
        <cfvo type="percent" val="0"/>
        <cfvo type="percent" val="12"/>
        <cfvo type="percent" val="13" gte="0"/>
      </iconSet>
    </cfRule>
  </conditionalFormatting>
  <conditionalFormatting sqref="BT11:BV18">
    <cfRule type="duplicateValues" dxfId="535" priority="11"/>
  </conditionalFormatting>
  <conditionalFormatting sqref="AC5:AC20">
    <cfRule type="duplicateValues" dxfId="534" priority="10"/>
  </conditionalFormatting>
  <conditionalFormatting sqref="AH5:AH20">
    <cfRule type="duplicateValues" dxfId="533" priority="9"/>
  </conditionalFormatting>
  <conditionalFormatting sqref="AN6:AN20">
    <cfRule type="duplicateValues" dxfId="532" priority="8"/>
  </conditionalFormatting>
  <conditionalFormatting sqref="AS5:AS18">
    <cfRule type="duplicateValues" dxfId="531" priority="7"/>
  </conditionalFormatting>
  <conditionalFormatting sqref="AX6:AZ19">
    <cfRule type="duplicateValues" dxfId="530" priority="6"/>
  </conditionalFormatting>
  <conditionalFormatting sqref="BE8:BG17">
    <cfRule type="duplicateValues" dxfId="529" priority="5"/>
  </conditionalFormatting>
  <conditionalFormatting sqref="BE32:BG38">
    <cfRule type="duplicateValues" dxfId="528" priority="4"/>
  </conditionalFormatting>
  <conditionalFormatting sqref="BJ32:BN38">
    <cfRule type="duplicateValues" dxfId="527" priority="3"/>
  </conditionalFormatting>
  <conditionalFormatting sqref="BK12:BM13">
    <cfRule type="duplicateValues" dxfId="526" priority="1"/>
  </conditionalFormatting>
  <pageMargins left="0.27559055118110237" right="0.31496062992125984" top="0.32" bottom="0.42" header="0.19685039370078741" footer="0.2"/>
  <pageSetup paperSize="9" orientation="landscape" horizontalDpi="4294967293" verticalDpi="0" r:id="rId1"/>
  <headerFooter>
    <oddFooter>&amp;F&amp;RPage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tabColor rgb="FF66FF33"/>
  </sheetPr>
  <dimension ref="A1:AV52"/>
  <sheetViews>
    <sheetView zoomScale="90" zoomScaleNormal="90" workbookViewId="0">
      <selection activeCell="B3" sqref="B3"/>
    </sheetView>
  </sheetViews>
  <sheetFormatPr baseColWidth="10" defaultRowHeight="15"/>
  <cols>
    <col min="1" max="1" width="4" style="40" customWidth="1"/>
    <col min="2" max="2" width="4.42578125" style="40" customWidth="1"/>
    <col min="3" max="3" width="6.42578125" style="40" customWidth="1"/>
    <col min="4" max="4" width="6.85546875" style="40" customWidth="1"/>
    <col min="5" max="5" width="4.42578125" style="40" customWidth="1"/>
    <col min="6" max="6" width="7.42578125" style="40" customWidth="1"/>
    <col min="7" max="7" width="6.42578125" style="40" customWidth="1"/>
    <col min="8" max="8" width="7.140625" style="40" customWidth="1"/>
    <col min="9" max="9" width="5.5703125" style="40" customWidth="1"/>
    <col min="10" max="10" width="6.140625" style="40" customWidth="1"/>
    <col min="11" max="11" width="6.28515625" style="40" customWidth="1"/>
    <col min="12" max="12" width="4.42578125" style="40" customWidth="1"/>
    <col min="13" max="13" width="8.140625" style="40" customWidth="1"/>
    <col min="14" max="14" width="6.28515625" style="40" customWidth="1"/>
    <col min="15" max="16" width="6" style="40" customWidth="1"/>
    <col min="17" max="17" width="7.7109375" style="40" customWidth="1"/>
    <col min="18" max="18" width="5.28515625" style="40" customWidth="1"/>
    <col min="19" max="19" width="8.42578125" style="40" customWidth="1"/>
    <col min="20" max="20" width="6.5703125" style="40" customWidth="1"/>
    <col min="21" max="21" width="4.140625" style="40" customWidth="1"/>
    <col min="22" max="22" width="7.85546875" style="40" customWidth="1"/>
    <col min="23" max="23" width="6.42578125" style="40" customWidth="1"/>
    <col min="24" max="24" width="7.28515625" style="40" customWidth="1"/>
    <col min="25" max="25" width="4.42578125" style="40" customWidth="1"/>
    <col min="26" max="26" width="7.42578125" style="40" customWidth="1"/>
    <col min="27" max="27" width="6" style="40" customWidth="1"/>
    <col min="28" max="28" width="8" style="40" customWidth="1"/>
    <col min="29" max="29" width="5.5703125" style="40" customWidth="1"/>
    <col min="30" max="30" width="5" style="40" customWidth="1"/>
    <col min="31" max="31" width="6.28515625" style="40" customWidth="1"/>
    <col min="32" max="32" width="4.42578125" style="40" customWidth="1"/>
    <col min="33" max="33" width="8.28515625" style="40" customWidth="1"/>
    <col min="34" max="36" width="6" style="40" customWidth="1"/>
    <col min="37" max="37" width="7.7109375" style="40" customWidth="1"/>
    <col min="38" max="38" width="5.28515625" style="40" customWidth="1"/>
    <col min="39" max="39" width="12.28515625" style="40" customWidth="1"/>
    <col min="40" max="40" width="7.5703125" style="40" customWidth="1"/>
    <col min="41" max="41" width="6.5703125" style="40" hidden="1" customWidth="1"/>
    <col min="42" max="16384" width="11.42578125" style="40"/>
  </cols>
  <sheetData>
    <row r="1" spans="2:48" ht="23.25" customHeight="1" thickBot="1">
      <c r="B1" s="705" t="s">
        <v>68</v>
      </c>
      <c r="C1" s="706"/>
      <c r="D1" s="706"/>
      <c r="E1" s="701" t="str">
        <f>Rens.!J2</f>
        <v>ST PERAY</v>
      </c>
      <c r="F1" s="701"/>
      <c r="G1" s="701"/>
      <c r="H1" s="190">
        <f ca="1">Rens.!$D$4</f>
        <v>2020</v>
      </c>
      <c r="I1" s="701" t="str">
        <f>Rens.!$J$4</f>
        <v xml:space="preserve"> Quadrettes</v>
      </c>
      <c r="J1" s="701"/>
      <c r="K1" s="701"/>
      <c r="L1" s="701"/>
      <c r="M1" s="112" t="str">
        <f>Rens.!$E$6</f>
        <v>4 Div.</v>
      </c>
      <c r="N1" s="702" t="s">
        <v>25</v>
      </c>
      <c r="O1" s="701"/>
      <c r="P1" s="701"/>
      <c r="Q1" s="701"/>
      <c r="R1" s="701"/>
      <c r="S1" s="703"/>
      <c r="T1" s="166">
        <f>+Rens.!D18</f>
        <v>16</v>
      </c>
      <c r="V1" s="702" t="s">
        <v>68</v>
      </c>
      <c r="W1" s="701"/>
      <c r="X1" s="701"/>
      <c r="Y1" s="701" t="str">
        <f>Rens.!J2</f>
        <v>ST PERAY</v>
      </c>
      <c r="Z1" s="701"/>
      <c r="AA1" s="701"/>
      <c r="AB1" s="190">
        <f ca="1">Rens.!$D$4</f>
        <v>2020</v>
      </c>
      <c r="AC1" s="701" t="str">
        <f>Rens.!$J$4</f>
        <v xml:space="preserve"> Quadrettes</v>
      </c>
      <c r="AD1" s="701"/>
      <c r="AE1" s="701"/>
      <c r="AF1" s="701"/>
      <c r="AG1" s="112" t="str">
        <f>Rens.!$E$6</f>
        <v>4 Div.</v>
      </c>
      <c r="AH1" s="702" t="s">
        <v>25</v>
      </c>
      <c r="AI1" s="701"/>
      <c r="AJ1" s="701"/>
      <c r="AK1" s="701"/>
      <c r="AL1" s="701"/>
      <c r="AM1" s="703"/>
      <c r="AN1" s="79">
        <f>+Rens.!D18</f>
        <v>16</v>
      </c>
      <c r="AO1" s="39"/>
      <c r="AP1" s="39"/>
      <c r="AQ1" s="39"/>
    </row>
    <row r="2" spans="2:48" ht="24" customHeight="1" thickBot="1">
      <c r="B2" s="707" t="s">
        <v>26</v>
      </c>
      <c r="C2" s="708"/>
      <c r="D2" s="708"/>
      <c r="E2" s="41" t="str">
        <f>+Rens.!E18</f>
        <v>4</v>
      </c>
      <c r="F2" s="704" t="s">
        <v>19</v>
      </c>
      <c r="G2" s="704"/>
      <c r="H2" s="42" t="str">
        <f>+Rens.!E19</f>
        <v>2</v>
      </c>
      <c r="I2" s="701" t="s">
        <v>20</v>
      </c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3"/>
      <c r="V2" s="707" t="s">
        <v>27</v>
      </c>
      <c r="W2" s="708"/>
      <c r="X2" s="708"/>
      <c r="Y2" s="41">
        <f>+Rens.!F18</f>
        <v>4</v>
      </c>
      <c r="Z2" s="704" t="s">
        <v>19</v>
      </c>
      <c r="AA2" s="704"/>
      <c r="AB2" s="42" t="str">
        <f>Rens.!$F$19</f>
        <v>2</v>
      </c>
      <c r="AC2" s="701" t="s">
        <v>20</v>
      </c>
      <c r="AD2" s="701"/>
      <c r="AE2" s="701"/>
      <c r="AF2" s="701"/>
      <c r="AG2" s="701"/>
      <c r="AH2" s="701"/>
      <c r="AI2" s="701"/>
      <c r="AJ2" s="701"/>
      <c r="AK2" s="701"/>
      <c r="AL2" s="701"/>
      <c r="AM2" s="701"/>
      <c r="AN2" s="703"/>
      <c r="AO2" s="39"/>
      <c r="AP2" s="39"/>
      <c r="AQ2" s="39"/>
    </row>
    <row r="3" spans="2:48" s="132" customFormat="1" ht="18.75" customHeight="1" thickBot="1">
      <c r="B3" s="136">
        <f>+Rens.!J11</f>
        <v>168</v>
      </c>
      <c r="C3" s="203"/>
      <c r="D3" s="203"/>
      <c r="E3" s="205"/>
      <c r="F3" s="207" t="str">
        <f>CONCATENATE(E2,H2)</f>
        <v>42</v>
      </c>
      <c r="G3" s="205"/>
      <c r="H3" s="205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4"/>
      <c r="V3" s="136">
        <f>+Rens.!J11</f>
        <v>168</v>
      </c>
      <c r="W3" s="203"/>
      <c r="X3" s="203"/>
      <c r="Y3" s="208"/>
      <c r="Z3" s="207" t="str">
        <f>CONCATENATE(Y2,AB2)</f>
        <v>42</v>
      </c>
      <c r="AA3" s="205"/>
      <c r="AB3" s="205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4"/>
      <c r="AO3" s="109"/>
      <c r="AP3" s="109"/>
      <c r="AQ3" s="109"/>
    </row>
    <row r="4" spans="2:48" ht="15.75" thickBot="1">
      <c r="B4" s="113"/>
      <c r="C4" s="689" t="s">
        <v>67</v>
      </c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1"/>
      <c r="T4" s="688"/>
      <c r="V4" s="113"/>
      <c r="W4" s="689" t="s">
        <v>67</v>
      </c>
      <c r="X4" s="690"/>
      <c r="Y4" s="690"/>
      <c r="Z4" s="690"/>
      <c r="AA4" s="690"/>
      <c r="AB4" s="690"/>
      <c r="AC4" s="690"/>
      <c r="AD4" s="690"/>
      <c r="AE4" s="690"/>
      <c r="AF4" s="690"/>
      <c r="AG4" s="690"/>
      <c r="AH4" s="690"/>
      <c r="AI4" s="690"/>
      <c r="AJ4" s="690"/>
      <c r="AK4" s="690"/>
      <c r="AL4" s="690"/>
      <c r="AM4" s="691"/>
      <c r="AN4" s="688"/>
      <c r="AO4" s="39"/>
      <c r="AP4" s="39"/>
      <c r="AQ4" s="39"/>
    </row>
    <row r="5" spans="2:48">
      <c r="B5" s="113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688"/>
      <c r="V5" s="113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688"/>
      <c r="AO5" s="39"/>
      <c r="AP5" s="39"/>
      <c r="AQ5" s="39"/>
    </row>
    <row r="6" spans="2:48" s="95" customFormat="1" ht="15" customHeight="1" thickBot="1">
      <c r="B6" s="116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94"/>
      <c r="S6" s="118"/>
      <c r="T6" s="119"/>
      <c r="V6" s="116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94"/>
      <c r="AM6" s="118"/>
      <c r="AN6" s="119"/>
      <c r="AO6" s="94"/>
      <c r="AP6" s="94"/>
      <c r="AQ6" s="94"/>
    </row>
    <row r="7" spans="2:48" ht="15.75" thickBot="1">
      <c r="B7" s="180"/>
      <c r="C7" s="206" t="s">
        <v>6</v>
      </c>
      <c r="D7" s="120" t="s">
        <v>14</v>
      </c>
      <c r="E7" s="173"/>
      <c r="F7" s="121"/>
      <c r="G7" s="121"/>
      <c r="H7" s="114" t="s">
        <v>5</v>
      </c>
      <c r="I7" s="114"/>
      <c r="J7" s="114"/>
      <c r="K7" s="114"/>
      <c r="L7" s="114"/>
      <c r="M7" s="114"/>
      <c r="N7" s="114" t="s">
        <v>6</v>
      </c>
      <c r="O7" s="50" t="str">
        <f>IF(E2=2,"","C")</f>
        <v>C</v>
      </c>
      <c r="P7" s="174"/>
      <c r="Q7" s="47"/>
      <c r="R7" s="47"/>
      <c r="S7" s="114" t="s">
        <v>5</v>
      </c>
      <c r="T7" s="115"/>
      <c r="U7"/>
      <c r="V7" s="180"/>
      <c r="W7" s="114" t="s">
        <v>6</v>
      </c>
      <c r="X7" s="50" t="s">
        <v>14</v>
      </c>
      <c r="Y7" s="188"/>
      <c r="Z7" s="47"/>
      <c r="AA7" s="47"/>
      <c r="AB7" s="114" t="s">
        <v>5</v>
      </c>
      <c r="AC7" s="114"/>
      <c r="AD7" s="114"/>
      <c r="AE7" s="114"/>
      <c r="AF7" s="114"/>
      <c r="AG7" s="114"/>
      <c r="AH7" s="114" t="s">
        <v>6</v>
      </c>
      <c r="AI7" s="50" t="str">
        <f>IF(Y2=2,"","C")</f>
        <v>C</v>
      </c>
      <c r="AJ7" s="188"/>
      <c r="AK7" s="47"/>
      <c r="AL7" s="47"/>
      <c r="AM7" s="114" t="s">
        <v>5</v>
      </c>
      <c r="AN7" s="115"/>
      <c r="AO7" s="114"/>
      <c r="AP7"/>
      <c r="AQ7"/>
      <c r="AR7"/>
      <c r="AS7" s="39"/>
      <c r="AT7" s="39"/>
      <c r="AU7" s="39"/>
      <c r="AV7" s="39"/>
    </row>
    <row r="8" spans="2:48" ht="15.75" thickBot="1">
      <c r="B8" s="193">
        <v>1</v>
      </c>
      <c r="C8" s="662"/>
      <c r="D8" s="664" t="str">
        <f>IF(ISNA(MATCH($B$8,Rens.!$V$6:$V$21,0)),"",INDEX(Rens.!$AB$6:$AB$21,MATCH($B$8,Rens.!$V$6:$V$21,0)))</f>
        <v>A1</v>
      </c>
      <c r="E8" s="692"/>
      <c r="F8" s="692"/>
      <c r="G8" s="693"/>
      <c r="H8" s="53">
        <v>1</v>
      </c>
      <c r="I8" s="114"/>
      <c r="J8" s="114"/>
      <c r="K8" s="114"/>
      <c r="L8" s="114"/>
      <c r="M8" s="192">
        <v>3</v>
      </c>
      <c r="N8" s="662"/>
      <c r="O8" s="664" t="str">
        <f>IF(ISNA(MATCH($M$8,Rens.!$V$6:$V$21,0)),"",INDEX(Rens.!$AB$6:$AB$82,MATCH($M$8,Rens.!$V$6:$V$21,0)))</f>
        <v>C1</v>
      </c>
      <c r="P8" s="692"/>
      <c r="Q8" s="692"/>
      <c r="R8" s="693"/>
      <c r="S8" s="53">
        <v>1</v>
      </c>
      <c r="T8" s="115"/>
      <c r="U8"/>
      <c r="V8" s="194">
        <v>5</v>
      </c>
      <c r="W8" s="662"/>
      <c r="X8" s="664" t="str">
        <f>IF(ISNA(MATCH(V8,Rens.!$V$6:$V$21,0)),"",INDEX(Rens.!$AB$6:$AB$21,MATCH(V8,Rens.!$V$6:$V$21,0)))</f>
        <v>A2</v>
      </c>
      <c r="Y8" s="692"/>
      <c r="Z8" s="692"/>
      <c r="AA8" s="693"/>
      <c r="AB8" s="53">
        <v>1</v>
      </c>
      <c r="AC8" s="114"/>
      <c r="AD8" s="114"/>
      <c r="AE8" s="114"/>
      <c r="AF8" s="114"/>
      <c r="AG8" s="192">
        <v>7</v>
      </c>
      <c r="AH8" s="662"/>
      <c r="AI8" s="664" t="str">
        <f>IF(ISNA(MATCH($AG$8,Rens.!$V$6:$V$21,0)),"",INDEX(Rens.!$AB$6:$AB$21,MATCH($AG$8,Rens.!$V$6:$V$21,0)))</f>
        <v>C2</v>
      </c>
      <c r="AJ8" s="692"/>
      <c r="AK8" s="692"/>
      <c r="AL8" s="693"/>
      <c r="AM8" s="53">
        <v>1</v>
      </c>
      <c r="AN8" s="115"/>
      <c r="AO8" s="121"/>
      <c r="AP8"/>
      <c r="AQ8"/>
      <c r="AR8"/>
      <c r="AS8" s="39"/>
      <c r="AT8" s="39"/>
      <c r="AU8" s="39"/>
      <c r="AV8" s="39"/>
    </row>
    <row r="9" spans="2:48" ht="15.75" thickBot="1">
      <c r="B9" s="193">
        <v>2</v>
      </c>
      <c r="C9" s="663"/>
      <c r="D9" s="694" t="str">
        <f>IF(ISNA(MATCH($B$9,Rens.!$V$6:$V$21,0)),"",INDEX(Rens.!$AB$6:$AB$82,MATCH($B$9,Rens.!$V$6:$V$82,0)))</f>
        <v>B1</v>
      </c>
      <c r="E9" s="695"/>
      <c r="F9" s="695"/>
      <c r="G9" s="696"/>
      <c r="H9" s="172">
        <v>0</v>
      </c>
      <c r="I9" s="114"/>
      <c r="J9" s="114"/>
      <c r="K9" s="114"/>
      <c r="L9" s="114"/>
      <c r="M9" s="192">
        <v>4</v>
      </c>
      <c r="N9" s="663"/>
      <c r="O9" s="709" t="str">
        <f>IF(ISNA(MATCH($M$9,Rens.!$V$6:$V$21,0)),"",INDEX(Rens.!$AB$6:$AB$21,MATCH($M$9,Rens.!$V$6:$V$21,0)))</f>
        <v>D1</v>
      </c>
      <c r="P9" s="710"/>
      <c r="Q9" s="710"/>
      <c r="R9" s="711"/>
      <c r="S9" s="53">
        <v>0</v>
      </c>
      <c r="T9" s="115"/>
      <c r="U9"/>
      <c r="V9" s="194">
        <v>6</v>
      </c>
      <c r="W9" s="663"/>
      <c r="X9" s="694" t="str">
        <f>IF(ISNA(MATCH(V9,Rens.!$V$6:$V$21,0)),"",INDEX(Rens.!$AB$6:$AB$21,MATCH(V9,Rens.!$V$6:$V$21,0)))</f>
        <v>B2</v>
      </c>
      <c r="Y9" s="695"/>
      <c r="Z9" s="695"/>
      <c r="AA9" s="696"/>
      <c r="AB9" s="187">
        <v>0</v>
      </c>
      <c r="AC9" s="114"/>
      <c r="AD9" s="114"/>
      <c r="AE9" s="114"/>
      <c r="AF9" s="114"/>
      <c r="AG9" s="192">
        <v>8</v>
      </c>
      <c r="AH9" s="663"/>
      <c r="AI9" s="697" t="str">
        <f>IF(ISNA(MATCH($AG$9,Rens.!$V$6:$V$21,0)),"",INDEX(Rens.!$AB$6:$AB$82,MATCH($AG$9,Rens.!$V$6:$V$21,0)))</f>
        <v>D2</v>
      </c>
      <c r="AJ9" s="698"/>
      <c r="AK9" s="698"/>
      <c r="AL9" s="699"/>
      <c r="AM9" s="53">
        <v>0</v>
      </c>
      <c r="AN9" s="115"/>
      <c r="AO9" s="121"/>
      <c r="AP9"/>
      <c r="AQ9"/>
      <c r="AR9"/>
      <c r="AS9" s="39"/>
      <c r="AT9" s="39"/>
      <c r="AU9" s="39"/>
      <c r="AV9" s="39"/>
    </row>
    <row r="10" spans="2:48" ht="15.75" thickBot="1">
      <c r="B10" s="113"/>
      <c r="D10" s="93" t="s">
        <v>15</v>
      </c>
      <c r="E10" s="47"/>
      <c r="F10" s="47"/>
      <c r="G10" s="121"/>
      <c r="H10" s="121"/>
      <c r="I10" s="121"/>
      <c r="J10" s="121"/>
      <c r="K10" s="121"/>
      <c r="L10" s="121"/>
      <c r="M10" s="175"/>
      <c r="O10" s="50" t="s">
        <v>44</v>
      </c>
      <c r="P10" s="47"/>
      <c r="Q10" s="47"/>
      <c r="R10" s="121"/>
      <c r="S10" s="121"/>
      <c r="T10" s="122"/>
      <c r="U10" s="47"/>
      <c r="V10" s="113"/>
      <c r="X10" s="93" t="s">
        <v>15</v>
      </c>
      <c r="Y10" s="47"/>
      <c r="Z10" s="47"/>
      <c r="AA10" s="121"/>
      <c r="AB10" s="121"/>
      <c r="AC10" s="121"/>
      <c r="AD10" s="121"/>
      <c r="AE10" s="121"/>
      <c r="AF10" s="121"/>
      <c r="AG10" s="195"/>
      <c r="AI10" s="50" t="s">
        <v>44</v>
      </c>
      <c r="AJ10" s="47"/>
      <c r="AK10" s="47"/>
      <c r="AL10" s="121"/>
      <c r="AM10" s="121"/>
      <c r="AN10" s="122"/>
      <c r="AO10" s="121"/>
      <c r="AP10" s="121"/>
      <c r="AQ10" s="121"/>
      <c r="AR10" s="39"/>
      <c r="AS10" s="39"/>
      <c r="AT10" s="39"/>
      <c r="AU10" s="39"/>
    </row>
    <row r="11" spans="2:48">
      <c r="B11" s="113"/>
      <c r="C11" s="47"/>
      <c r="D11" s="47"/>
      <c r="E11" s="47"/>
      <c r="F11" s="47"/>
      <c r="G11" s="121"/>
      <c r="H11" s="121"/>
      <c r="I11" s="121"/>
      <c r="J11" s="47"/>
      <c r="K11" s="47"/>
      <c r="L11" s="47"/>
      <c r="M11" s="47"/>
      <c r="N11" s="121"/>
      <c r="O11" s="121"/>
      <c r="P11" s="121"/>
      <c r="Q11" s="47"/>
      <c r="R11" s="47"/>
      <c r="S11" s="47"/>
      <c r="T11" s="122"/>
      <c r="V11" s="113"/>
      <c r="W11" s="48"/>
      <c r="X11" s="48"/>
      <c r="Y11" s="48"/>
      <c r="Z11" s="48"/>
      <c r="AA11" s="121"/>
      <c r="AB11" s="121"/>
      <c r="AC11" s="121"/>
      <c r="AD11" s="47"/>
      <c r="AE11" s="47"/>
      <c r="AF11" s="47"/>
      <c r="AG11" s="47"/>
      <c r="AH11" s="121"/>
      <c r="AI11" s="121"/>
      <c r="AJ11" s="121"/>
      <c r="AK11" s="121"/>
      <c r="AL11" s="121"/>
      <c r="AM11" s="121"/>
      <c r="AN11" s="122"/>
      <c r="AO11" s="39"/>
      <c r="AP11" s="39"/>
      <c r="AQ11" s="39"/>
    </row>
    <row r="12" spans="2:48">
      <c r="B12" s="113"/>
      <c r="C12" s="47"/>
      <c r="D12" s="47"/>
      <c r="E12" s="47"/>
      <c r="F12" s="47"/>
      <c r="G12" s="121"/>
      <c r="H12" s="121"/>
      <c r="I12" s="121"/>
      <c r="J12" s="47"/>
      <c r="K12" s="47"/>
      <c r="L12" s="47"/>
      <c r="M12" s="47"/>
      <c r="N12" s="121"/>
      <c r="O12" s="121"/>
      <c r="P12" s="121"/>
      <c r="Q12" s="47"/>
      <c r="R12" s="47"/>
      <c r="S12" s="47"/>
      <c r="T12" s="122"/>
      <c r="V12" s="113"/>
      <c r="W12" s="48"/>
      <c r="X12" s="48"/>
      <c r="Y12" s="48"/>
      <c r="Z12" s="48"/>
      <c r="AA12" s="121"/>
      <c r="AB12" s="121"/>
      <c r="AC12" s="121"/>
      <c r="AD12" s="47"/>
      <c r="AE12" s="47"/>
      <c r="AF12" s="47"/>
      <c r="AG12" s="47"/>
      <c r="AH12" s="121"/>
      <c r="AI12" s="121"/>
      <c r="AJ12" s="121"/>
      <c r="AK12" s="121"/>
      <c r="AL12" s="121"/>
      <c r="AM12" s="121"/>
      <c r="AN12" s="122"/>
      <c r="AO12" s="39"/>
      <c r="AP12" s="39"/>
      <c r="AQ12" s="39"/>
    </row>
    <row r="13" spans="2:48" ht="15.75" thickBot="1">
      <c r="B13" s="180"/>
      <c r="C13" s="176" t="s">
        <v>6</v>
      </c>
      <c r="D13" s="47"/>
      <c r="E13" s="649" t="s">
        <v>61</v>
      </c>
      <c r="F13" s="649"/>
      <c r="G13" s="47"/>
      <c r="H13" s="114" t="s">
        <v>5</v>
      </c>
      <c r="I13" s="114"/>
      <c r="J13" s="121"/>
      <c r="K13" s="176"/>
      <c r="L13" s="176"/>
      <c r="M13" s="176"/>
      <c r="N13" s="114" t="s">
        <v>6</v>
      </c>
      <c r="O13" s="47"/>
      <c r="P13" s="648" t="s">
        <v>60</v>
      </c>
      <c r="Q13" s="648"/>
      <c r="R13" s="47"/>
      <c r="S13" s="186" t="s">
        <v>5</v>
      </c>
      <c r="T13" s="115"/>
      <c r="U13" s="114"/>
      <c r="V13" s="113"/>
      <c r="W13" s="114" t="s">
        <v>6</v>
      </c>
      <c r="X13" s="48"/>
      <c r="Y13" s="649" t="s">
        <v>61</v>
      </c>
      <c r="Z13" s="649"/>
      <c r="AA13" s="48"/>
      <c r="AB13" s="114" t="s">
        <v>5</v>
      </c>
      <c r="AC13" s="114"/>
      <c r="AD13" s="121"/>
      <c r="AE13" s="121"/>
      <c r="AF13" s="176"/>
      <c r="AG13" s="176"/>
      <c r="AH13" s="114" t="s">
        <v>6</v>
      </c>
      <c r="AI13" s="121"/>
      <c r="AJ13" s="700" t="s">
        <v>60</v>
      </c>
      <c r="AK13" s="700"/>
      <c r="AL13" s="121"/>
      <c r="AM13" s="114" t="s">
        <v>5</v>
      </c>
      <c r="AN13" s="122"/>
      <c r="AO13" s="39"/>
      <c r="AP13" s="39"/>
    </row>
    <row r="14" spans="2:48" ht="15.75" thickBot="1">
      <c r="B14" s="113"/>
      <c r="C14" s="662"/>
      <c r="D14" s="664" t="str">
        <f>IF($H$8=$H$9,"résultat",IF($H$8&gt;$H$9,$D$9,$D$8))</f>
        <v>B1</v>
      </c>
      <c r="E14" s="665"/>
      <c r="F14" s="665"/>
      <c r="G14" s="666"/>
      <c r="H14" s="53">
        <v>1</v>
      </c>
      <c r="I14" s="114"/>
      <c r="J14" s="121"/>
      <c r="K14" s="176"/>
      <c r="L14" s="176"/>
      <c r="M14" s="176"/>
      <c r="N14" s="662"/>
      <c r="O14" s="664" t="str">
        <f>IF($S$8=$S$9,"résultat",IF($S$8&gt;$S$9,$O$8,$O$9))</f>
        <v>C1</v>
      </c>
      <c r="P14" s="692"/>
      <c r="Q14" s="692"/>
      <c r="R14" s="693"/>
      <c r="S14" s="53">
        <v>0</v>
      </c>
      <c r="T14" s="115"/>
      <c r="U14" s="114"/>
      <c r="V14" s="180"/>
      <c r="W14" s="662"/>
      <c r="X14" s="664" t="str">
        <f>IF($AB$8=$AB$9,"résultat",IF($AB$8&gt;$AB$9,$X$9,$X$8))</f>
        <v>B2</v>
      </c>
      <c r="Y14" s="665"/>
      <c r="Z14" s="665"/>
      <c r="AA14" s="666"/>
      <c r="AB14" s="53">
        <v>11</v>
      </c>
      <c r="AC14" s="114"/>
      <c r="AD14" s="121"/>
      <c r="AE14" s="121"/>
      <c r="AF14" s="176"/>
      <c r="AG14" s="176"/>
      <c r="AH14" s="662"/>
      <c r="AI14" s="664" t="str">
        <f>IF(AM8=AM9,"résultat",IF($AM$8&gt;$AM$9,$AI$8,$AI$9))</f>
        <v>C2</v>
      </c>
      <c r="AJ14" s="692"/>
      <c r="AK14" s="692"/>
      <c r="AL14" s="693"/>
      <c r="AM14" s="53">
        <v>1</v>
      </c>
      <c r="AN14" s="181"/>
      <c r="AO14"/>
      <c r="AP14" s="39"/>
    </row>
    <row r="15" spans="2:48" ht="15.75" thickBot="1">
      <c r="B15" s="113"/>
      <c r="C15" s="663"/>
      <c r="D15" s="656" t="str">
        <f>IF($S$8=$S$9,"résultat",IF($S$8&lt;$S$9,$O$8,$O$9))</f>
        <v>D1</v>
      </c>
      <c r="E15" s="657"/>
      <c r="F15" s="657"/>
      <c r="G15" s="658"/>
      <c r="H15" s="64">
        <v>0</v>
      </c>
      <c r="I15" s="114"/>
      <c r="J15" s="121"/>
      <c r="K15" s="176"/>
      <c r="L15" s="176"/>
      <c r="M15" s="176"/>
      <c r="N15" s="663"/>
      <c r="O15" s="656" t="str">
        <f>IF(H8=H9,"résultat",IF($H$8&gt;$H$9,$D$8,$D$9))</f>
        <v>A1</v>
      </c>
      <c r="P15" s="657"/>
      <c r="Q15" s="657"/>
      <c r="R15" s="658"/>
      <c r="S15" s="172">
        <v>1</v>
      </c>
      <c r="T15" s="115"/>
      <c r="U15" s="114"/>
      <c r="V15" s="180"/>
      <c r="W15" s="663"/>
      <c r="X15" s="656" t="str">
        <f>IF($AM$8=$AM$9,"résultat",IF($AM$8&lt;$AM$9,$AI$8,$AI$9))</f>
        <v>D2</v>
      </c>
      <c r="Y15" s="657"/>
      <c r="Z15" s="657"/>
      <c r="AA15" s="658"/>
      <c r="AB15" s="53">
        <v>0</v>
      </c>
      <c r="AC15" s="114"/>
      <c r="AD15" s="121"/>
      <c r="AE15" s="121"/>
      <c r="AF15" s="121"/>
      <c r="AG15" s="121"/>
      <c r="AH15" s="663"/>
      <c r="AI15" s="656" t="str">
        <f>IF(AB8=AB9,"résultat",IF($AB$8&gt;$AB$9,$X$8,$X$9))</f>
        <v>A2</v>
      </c>
      <c r="AJ15" s="657"/>
      <c r="AK15" s="657"/>
      <c r="AL15" s="658"/>
      <c r="AM15" s="187">
        <v>3</v>
      </c>
      <c r="AN15" s="181"/>
      <c r="AO15"/>
      <c r="AP15" s="39"/>
    </row>
    <row r="16" spans="2:48">
      <c r="B16" s="113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4"/>
      <c r="Q16" s="121"/>
      <c r="R16" s="121"/>
      <c r="S16" s="121"/>
      <c r="T16" s="122"/>
      <c r="V16" s="113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2"/>
      <c r="AO16" s="39"/>
      <c r="AP16" s="39"/>
      <c r="AQ16" s="39"/>
    </row>
    <row r="17" spans="1:44">
      <c r="B17" s="113"/>
      <c r="C17" s="202"/>
      <c r="D17" s="121"/>
      <c r="E17" s="121"/>
      <c r="F17" s="121"/>
      <c r="G17" s="121"/>
      <c r="H17" s="121"/>
      <c r="I17" s="121"/>
      <c r="J17" s="121"/>
      <c r="N17" s="121"/>
      <c r="O17" s="121"/>
      <c r="P17" s="121"/>
      <c r="Q17" s="121"/>
      <c r="R17" s="121"/>
      <c r="S17" s="121"/>
      <c r="T17" s="122"/>
      <c r="V17" s="113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2"/>
      <c r="AO17" s="39"/>
      <c r="AP17" s="39"/>
      <c r="AQ17" s="39"/>
    </row>
    <row r="18" spans="1:44" ht="15.75" thickBot="1">
      <c r="B18" s="113"/>
      <c r="C18" s="121"/>
      <c r="D18" s="121"/>
      <c r="E18" s="121"/>
      <c r="F18" s="121"/>
      <c r="G18" s="121"/>
      <c r="H18" s="121"/>
      <c r="I18" s="114" t="s">
        <v>6</v>
      </c>
      <c r="J18" s="121"/>
      <c r="K18"/>
      <c r="L18"/>
      <c r="M18"/>
      <c r="N18" s="114" t="s">
        <v>5</v>
      </c>
      <c r="O18" s="114"/>
      <c r="P18" s="126"/>
      <c r="Q18" s="121"/>
      <c r="R18" s="121"/>
      <c r="S18" s="121"/>
      <c r="T18" s="122"/>
      <c r="V18" s="113"/>
      <c r="W18" s="121"/>
      <c r="X18" s="121"/>
      <c r="Y18" s="121"/>
      <c r="Z18" s="121"/>
      <c r="AA18" s="121"/>
      <c r="AB18" s="121"/>
      <c r="AC18" s="114" t="s">
        <v>6</v>
      </c>
      <c r="AD18" s="121"/>
      <c r="AE18" s="121"/>
      <c r="AF18" s="121"/>
      <c r="AG18" s="121"/>
      <c r="AH18" s="114" t="s">
        <v>5</v>
      </c>
      <c r="AI18" s="114"/>
      <c r="AJ18" s="126"/>
      <c r="AK18" s="121"/>
      <c r="AL18" s="121"/>
      <c r="AM18" s="121"/>
      <c r="AN18" s="122"/>
      <c r="AO18" s="39"/>
      <c r="AP18" s="39"/>
      <c r="AQ18" s="39"/>
    </row>
    <row r="19" spans="1:44" ht="15.75" thickBot="1">
      <c r="B19" s="113"/>
      <c r="C19" s="121"/>
      <c r="D19" s="121"/>
      <c r="E19" s="121"/>
      <c r="F19" s="121"/>
      <c r="G19" s="121"/>
      <c r="H19" s="121"/>
      <c r="I19" s="662"/>
      <c r="J19" s="715" t="str">
        <f>IF($F$3+$G$3=42,IF($S$14=$S$15,"résultat",IF($S$14&lt;$S$15,$O$14,$O$15)),IF($F$3+$G$3=32,IF($S$14=$S$15,"résultat",IF($S$14&lt;$S$15,$O$14,$O$15))))</f>
        <v>C1</v>
      </c>
      <c r="K19" s="718"/>
      <c r="L19" s="718"/>
      <c r="M19" s="719"/>
      <c r="N19" s="53">
        <v>2</v>
      </c>
      <c r="O19" s="114"/>
      <c r="P19" s="121"/>
      <c r="Q19" s="121"/>
      <c r="R19" s="121"/>
      <c r="S19" s="121"/>
      <c r="T19" s="122"/>
      <c r="V19" s="113"/>
      <c r="W19" s="121"/>
      <c r="X19" s="121"/>
      <c r="Y19" s="121"/>
      <c r="Z19" s="121"/>
      <c r="AA19" s="121"/>
      <c r="AB19" s="121"/>
      <c r="AC19" s="662"/>
      <c r="AD19" s="715" t="str">
        <f>IF($Z$3+$AA$3=42,IF($AM$14=$AM$15,"résultat",IF($AM$14&lt;$AM$15,$AI$14,$AI$15)),IF($Z$3+$AA$3=32,IF($AM$14=$AM$15,"résultat",IF($AM$14&lt;$AM$15,$AI$14,$AI$15))))</f>
        <v>C2</v>
      </c>
      <c r="AE19" s="716"/>
      <c r="AF19" s="716"/>
      <c r="AG19" s="717"/>
      <c r="AH19" s="53">
        <v>1</v>
      </c>
      <c r="AI19" s="114"/>
      <c r="AJ19" s="121"/>
      <c r="AK19" s="121"/>
      <c r="AL19" s="121"/>
      <c r="AM19" s="121"/>
      <c r="AN19" s="122"/>
      <c r="AO19" s="39"/>
      <c r="AP19" s="39"/>
      <c r="AQ19" s="39"/>
    </row>
    <row r="20" spans="1:44" ht="15.75" thickBot="1">
      <c r="B20" s="113"/>
      <c r="C20" s="121"/>
      <c r="D20" s="121"/>
      <c r="E20" s="121"/>
      <c r="F20" s="121"/>
      <c r="G20" s="121"/>
      <c r="H20" s="121"/>
      <c r="I20" s="663"/>
      <c r="J20" s="712" t="str">
        <f>IF(F3+G3=31,IF(H14=H15,"résultat",IF(H14&gt;H15,D14,D15)),IF(F3+G3=32,IF(H14=H15,"résultat",IF(H14&gt;H15,D14,D15)),IF(F3+G3=42,IF(H14=H15,"résultat",IF(H14&gt;H15,D14,D15)))))</f>
        <v>B1</v>
      </c>
      <c r="K20" s="713"/>
      <c r="L20" s="713"/>
      <c r="M20" s="714"/>
      <c r="N20" s="53">
        <v>1</v>
      </c>
      <c r="O20" s="114"/>
      <c r="P20" s="121"/>
      <c r="Q20" s="121"/>
      <c r="R20" s="121"/>
      <c r="S20" s="121"/>
      <c r="T20" s="122"/>
      <c r="V20" s="113"/>
      <c r="W20" s="121"/>
      <c r="X20" s="121"/>
      <c r="Y20" s="121"/>
      <c r="Z20" s="121"/>
      <c r="AA20" s="121"/>
      <c r="AB20" s="121"/>
      <c r="AC20" s="663"/>
      <c r="AD20" s="712" t="str">
        <f>IF($Z$3+$AA$3=53,IF(0&gt;0,0,0),(IF($Z$3+$AA$3=52,IF(#REF!=#REF!,"résultat",IF(#REF!&gt;#REF!,#REF!,#REF!)),IF($Z$3+$AA$3=43,IF(0&gt;0,0,0),(IF($Z$3+$AA$3=42,IF(AB14=AB15,"résultat",IF($AB$14&gt;$AB$15,$X$14,$X$15)),(IF($Z$3+$AA$3=32,IF(AB14=AB15,"résultat",IF($AB$14&gt;$AB$15,$X$14,$X$15)),(IF($Z$3+$AA$3=31,IF(AM14=AM15,"résultat",IF($AM$14&gt;$AM$15,$AI$14,$AI$15))))))))))))</f>
        <v>B2</v>
      </c>
      <c r="AE20" s="713"/>
      <c r="AF20" s="713"/>
      <c r="AG20" s="714"/>
      <c r="AH20" s="53">
        <v>0</v>
      </c>
      <c r="AI20" s="114"/>
      <c r="AJ20" s="121"/>
      <c r="AK20" s="121"/>
      <c r="AL20" s="121"/>
      <c r="AM20" s="121"/>
      <c r="AN20" s="122"/>
      <c r="AO20" s="39"/>
      <c r="AP20" s="39"/>
      <c r="AQ20" s="39"/>
    </row>
    <row r="21" spans="1:44">
      <c r="B21" s="113"/>
      <c r="C21" s="121"/>
      <c r="D21" s="121"/>
      <c r="E21" s="121"/>
      <c r="F21" s="121"/>
      <c r="G21" s="121"/>
      <c r="H21" s="121"/>
      <c r="I21" s="114"/>
      <c r="J21" s="184"/>
      <c r="K21" s="185"/>
      <c r="L21" s="185"/>
      <c r="M21" s="185"/>
      <c r="N21" s="114"/>
      <c r="O21" s="114"/>
      <c r="P21" s="121"/>
      <c r="Q21" s="121"/>
      <c r="R21" s="121"/>
      <c r="S21" s="121"/>
      <c r="T21" s="122"/>
      <c r="V21" s="113"/>
      <c r="W21" s="121"/>
      <c r="X21" s="121"/>
      <c r="Y21" s="121"/>
      <c r="Z21" s="121"/>
      <c r="AA21" s="121"/>
      <c r="AB21" s="121"/>
      <c r="AC21" s="114"/>
      <c r="AD21" s="184"/>
      <c r="AE21" s="185"/>
      <c r="AF21" s="185"/>
      <c r="AG21" s="185"/>
      <c r="AH21" s="114"/>
      <c r="AI21" s="114"/>
      <c r="AJ21" s="121"/>
      <c r="AK21" s="121"/>
      <c r="AL21" s="121"/>
      <c r="AM21" s="121"/>
      <c r="AN21" s="122"/>
      <c r="AO21" s="39"/>
      <c r="AP21" s="39"/>
      <c r="AQ21" s="39"/>
    </row>
    <row r="22" spans="1:44">
      <c r="B22" s="113"/>
      <c r="C22" s="121"/>
      <c r="D22" s="121"/>
      <c r="E22" s="121"/>
      <c r="F22" s="121"/>
      <c r="G22" s="121"/>
      <c r="H22" s="121"/>
      <c r="I22" s="114"/>
      <c r="J22" s="184"/>
      <c r="K22" s="185"/>
      <c r="L22" s="185"/>
      <c r="M22" s="185"/>
      <c r="N22" s="114"/>
      <c r="O22" s="114"/>
      <c r="P22" s="121"/>
      <c r="Q22" s="121"/>
      <c r="R22" s="121"/>
      <c r="S22" s="121"/>
      <c r="T22" s="122"/>
      <c r="V22" s="113"/>
      <c r="W22" s="121"/>
      <c r="X22" s="121"/>
      <c r="Y22" s="121"/>
      <c r="Z22" s="121"/>
      <c r="AA22" s="121"/>
      <c r="AB22" s="121"/>
      <c r="AC22" s="114"/>
      <c r="AD22" s="184"/>
      <c r="AE22" s="185"/>
      <c r="AF22" s="185"/>
      <c r="AG22" s="185"/>
      <c r="AH22" s="114"/>
      <c r="AI22" s="114"/>
      <c r="AJ22" s="121"/>
      <c r="AK22" s="121"/>
      <c r="AL22" s="121"/>
      <c r="AM22" s="121"/>
      <c r="AN22" s="122"/>
      <c r="AO22" s="39"/>
      <c r="AP22" s="39"/>
      <c r="AQ22" s="39"/>
    </row>
    <row r="23" spans="1:44" ht="15.75" thickBot="1">
      <c r="B23" s="113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2"/>
      <c r="V23" s="113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2"/>
      <c r="AO23" s="39"/>
      <c r="AP23" s="39"/>
      <c r="AQ23" s="39"/>
    </row>
    <row r="24" spans="1:44" ht="22.5" customHeight="1" thickBot="1">
      <c r="B24" s="113"/>
      <c r="C24" s="182"/>
      <c r="D24" s="121"/>
      <c r="E24" s="121"/>
      <c r="F24" s="121"/>
      <c r="G24" s="121"/>
      <c r="H24" s="121"/>
      <c r="I24" s="121"/>
      <c r="J24" s="659" t="s">
        <v>59</v>
      </c>
      <c r="K24" s="660"/>
      <c r="L24" s="660"/>
      <c r="M24" s="661"/>
      <c r="N24" s="121"/>
      <c r="O24" s="121"/>
      <c r="P24" s="125"/>
      <c r="Q24" s="121"/>
      <c r="R24" s="121"/>
      <c r="S24" s="121"/>
      <c r="T24" s="122"/>
      <c r="V24" s="113"/>
      <c r="W24" s="182"/>
      <c r="X24" s="121"/>
      <c r="Y24" s="121"/>
      <c r="Z24" s="121"/>
      <c r="AA24" s="121"/>
      <c r="AB24" s="121"/>
      <c r="AC24" s="121"/>
      <c r="AD24" s="659" t="s">
        <v>59</v>
      </c>
      <c r="AE24" s="660"/>
      <c r="AF24" s="660"/>
      <c r="AG24" s="661"/>
      <c r="AH24" s="121"/>
      <c r="AI24" s="121"/>
      <c r="AJ24" s="125"/>
      <c r="AK24" s="121"/>
      <c r="AL24" s="121"/>
      <c r="AM24" s="121"/>
      <c r="AN24" s="122"/>
      <c r="AO24" s="127"/>
      <c r="AP24" s="39"/>
      <c r="AQ24" s="39"/>
      <c r="AR24" s="39"/>
    </row>
    <row r="25" spans="1:44">
      <c r="B25" s="113"/>
      <c r="C25" s="182"/>
      <c r="D25" s="653" t="s">
        <v>0</v>
      </c>
      <c r="E25" s="654"/>
      <c r="F25" s="655"/>
      <c r="G25" s="121"/>
      <c r="H25" s="667" t="str">
        <f>IF($F$3+$G$3=31,IF($N$19=$N$20,"résultat",IF($N$19&gt;$N$20,$J$19,$J$20)),IF($F$3+$G$3=32,IF($S$14=$S$15,"résultat",IF($S$14&gt;$S$15,$O$14,$O$15)),IF($F$3+$G$3=42,IF($S$14=$S$15,"résultat",IF($S$14&gt;$S$15,$O$14,$O$15)),IF($F$3+$G$3=43,IF($S$14=$S$15,"résultat",IF($S$14&gt;$S$15,$O$14,$O$15))))))</f>
        <v>A1</v>
      </c>
      <c r="I25" s="668"/>
      <c r="J25" s="668"/>
      <c r="K25" s="668"/>
      <c r="L25" s="668"/>
      <c r="M25" s="668"/>
      <c r="N25" s="669"/>
      <c r="O25" s="121"/>
      <c r="P25" s="121"/>
      <c r="Q25" s="121"/>
      <c r="R25" s="121"/>
      <c r="S25" s="121"/>
      <c r="T25" s="122"/>
      <c r="V25" s="113"/>
      <c r="W25" s="182"/>
      <c r="X25" s="653" t="s">
        <v>0</v>
      </c>
      <c r="Y25" s="654"/>
      <c r="Z25" s="655"/>
      <c r="AA25" s="121"/>
      <c r="AB25" s="667" t="str">
        <f>IF($Z$3+$AA$3=43,IF($AM$14=$AM$15,"résultat",IF($AM$14&gt;$AM$15,$AI$14,$AI$15)),(IF($Z$3+$AA$3=42,IF($AM$14=$AM$15,"résultat",IF($AM$14&gt;$AM$15,$AI$14,$AI$15)),(IF($Z$3+$AA$3=32,IF($AM$14=$AM$15,"résultat",IF($AM$14&gt;$AM$15,$AI$14,$AI$15)),(IF($Z$3+$AA$3=31,IF($AH$19=$AH$20,"résultat",IF($AH$19&gt;$AH$20,$AD$19,$AD$20)))))))))</f>
        <v>A2</v>
      </c>
      <c r="AC25" s="668"/>
      <c r="AD25" s="668"/>
      <c r="AE25" s="668"/>
      <c r="AF25" s="668"/>
      <c r="AG25" s="668"/>
      <c r="AH25" s="669"/>
      <c r="AI25" s="121"/>
      <c r="AJ25" s="121"/>
      <c r="AK25" s="176"/>
      <c r="AL25" s="121"/>
      <c r="AM25" s="121"/>
      <c r="AN25" s="122"/>
      <c r="AO25" s="127"/>
      <c r="AP25" s="39"/>
      <c r="AQ25" s="39"/>
      <c r="AR25" s="39"/>
    </row>
    <row r="26" spans="1:44" ht="15" customHeight="1">
      <c r="B26" s="113"/>
      <c r="C26" s="182"/>
      <c r="D26" s="650" t="s">
        <v>1</v>
      </c>
      <c r="E26" s="651"/>
      <c r="F26" s="652"/>
      <c r="G26" s="121"/>
      <c r="H26" s="673" t="str">
        <f>IF($F$3+$G$3=31,IF($N$19=$N$20,"résultat",IF($N$19&lt;$N$20,$J$19,$J$20)),IF($F$3+$G$3=32,IF(N19=N20,"résultat",IF(N19&gt;N20,J19,J20)),IF($F$3+$G$3=42,IF($N$19=$N$20,"résultat",IF($N$19&gt;$N$20,$J$19,$J$20)),IF($F$3+$G$3=43,IF($S$14=$S$15,"résultat",IF($S$14&lt;$S$15,$O$14,$O$15))))))</f>
        <v>C1</v>
      </c>
      <c r="I26" s="674"/>
      <c r="J26" s="674"/>
      <c r="K26" s="674"/>
      <c r="L26" s="674"/>
      <c r="M26" s="674"/>
      <c r="N26" s="675"/>
      <c r="O26" s="121"/>
      <c r="P26" s="128"/>
      <c r="Q26" s="128"/>
      <c r="R26" s="128"/>
      <c r="S26" s="128"/>
      <c r="T26" s="122"/>
      <c r="V26" s="113"/>
      <c r="W26" s="182"/>
      <c r="X26" s="650" t="s">
        <v>1</v>
      </c>
      <c r="Y26" s="651"/>
      <c r="Z26" s="652"/>
      <c r="AA26" s="121"/>
      <c r="AB26" s="670" t="str">
        <f>IF($Z$3+$AA$3=43,IF($AM$14=$AM$15,"résultat",IF($AM$14&lt;$AM$15,$AI$14,$AI$15)),(IF($Z$3+$AA$3=42,IF($AH$19=$AH$20,"résultat",IF($AH$19&gt;$AH$20,$AD$19,$AD$20)),(IF($Z$3+$AA$3=32,IF($AH$19=$AH$20,"résultat",IF($AH$19&gt;$AH$20,$AD$19,$AD$20)),(IF($Z$3+$AA$3=31,IF($AH$19=$AH$20,"résultat",IF($AH$19&lt;$AH$20,$AD$19,$AD$20)))))))))</f>
        <v>C2</v>
      </c>
      <c r="AC26" s="671"/>
      <c r="AD26" s="671"/>
      <c r="AE26" s="671"/>
      <c r="AF26" s="671"/>
      <c r="AG26" s="671"/>
      <c r="AH26" s="672"/>
      <c r="AI26" s="121"/>
      <c r="AJ26" s="128"/>
      <c r="AK26" s="128"/>
      <c r="AL26" s="128"/>
      <c r="AM26" s="121"/>
      <c r="AN26" s="122"/>
      <c r="AO26" s="127"/>
      <c r="AP26" s="39"/>
      <c r="AQ26" s="39"/>
      <c r="AR26" s="39"/>
    </row>
    <row r="27" spans="1:44">
      <c r="B27" s="113"/>
      <c r="C27" s="182"/>
      <c r="D27" s="650" t="s">
        <v>2</v>
      </c>
      <c r="E27" s="651"/>
      <c r="F27" s="652"/>
      <c r="G27" s="121"/>
      <c r="H27" s="673" t="str">
        <f>IF($F$3+$G$3=31,IF($N$19=$N$20,"résultat",IF($N$19&lt;$N$20,$J$19,$J$20)),IF($F$3+$G$3=32,IF($N$19=$N$20,"résultat",IF($N$19&lt;$N$20,$J$19,$J$20)),IF($F$3+$G$3=42,IF($N$19=$N$20,"résultat",IF($N$19&lt;$N$20,$J$19,$J$20)),IF($F$3+$G$3=43,IF($H$14=$H$15,"résultat",IF($H$14&gt;$H$15,$D$14,$D$15))))))</f>
        <v>B1</v>
      </c>
      <c r="I27" s="674"/>
      <c r="J27" s="674"/>
      <c r="K27" s="674"/>
      <c r="L27" s="674"/>
      <c r="M27" s="674"/>
      <c r="N27" s="675"/>
      <c r="O27" s="121"/>
      <c r="P27" s="121"/>
      <c r="Q27" s="121"/>
      <c r="R27" s="121"/>
      <c r="S27" s="121"/>
      <c r="T27" s="122"/>
      <c r="V27" s="113"/>
      <c r="W27" s="182"/>
      <c r="X27" s="650" t="s">
        <v>2</v>
      </c>
      <c r="Y27" s="651"/>
      <c r="Z27" s="652"/>
      <c r="AA27" s="121"/>
      <c r="AB27" s="676" t="str">
        <f>IF($Z$3+$AA$3=43,IF($AB$14=$AB$15,"résultat",IF($AB$14&gt;$H$15,$X$14,$X$15)),(IF($Z$3+$AA$3=42,IF($AH$19=$AH$20,"résultat",IF($AH$19&lt;$AH$20,$AD$19,$AD$20)),(IF($Z$3+$AA$3=32,IF($AH$19=$AH$20,"résultat",IF($AH$19&lt;$AH$20,$AD$19,$AD$20)))))))</f>
        <v>B2</v>
      </c>
      <c r="AC27" s="677"/>
      <c r="AD27" s="677"/>
      <c r="AE27" s="677"/>
      <c r="AF27" s="677"/>
      <c r="AG27" s="677"/>
      <c r="AH27" s="678"/>
      <c r="AI27" s="121"/>
      <c r="AJ27" s="121"/>
      <c r="AK27" s="121"/>
      <c r="AL27" s="121"/>
      <c r="AM27" s="121"/>
      <c r="AN27" s="122"/>
      <c r="AO27" s="127"/>
      <c r="AP27" s="39"/>
      <c r="AQ27" s="39"/>
      <c r="AR27" s="39"/>
    </row>
    <row r="28" spans="1:44" ht="15.75" thickBot="1">
      <c r="B28" s="113"/>
      <c r="C28" s="182"/>
      <c r="D28" s="682" t="s">
        <v>3</v>
      </c>
      <c r="E28" s="683"/>
      <c r="F28" s="684"/>
      <c r="G28" s="121"/>
      <c r="H28" s="685" t="str">
        <f>IF($F$3+$G$3=43,IF($H$14=$H$15,"résultat",IF($H$14&lt;$H$15,$D$14,$D$15)),(IF($F$3+$G$3=42,IF($H$14=$H$15,"résultat",IF($H$14&lt;$H$15,$D$14,$D$15)),(IF($F$3+$G$3=32,IF(0&gt;0,0,0),(IF($F$3+$G$3=31,IF(0&gt;0,0,0))))))))</f>
        <v>D1</v>
      </c>
      <c r="I28" s="686"/>
      <c r="J28" s="686"/>
      <c r="K28" s="686"/>
      <c r="L28" s="686"/>
      <c r="M28" s="686"/>
      <c r="N28" s="687"/>
      <c r="O28" s="121"/>
      <c r="P28" s="121"/>
      <c r="Q28" s="121"/>
      <c r="R28" s="121"/>
      <c r="S28" s="121"/>
      <c r="T28" s="122"/>
      <c r="V28" s="113"/>
      <c r="W28" s="182"/>
      <c r="X28" s="682" t="s">
        <v>3</v>
      </c>
      <c r="Y28" s="683"/>
      <c r="Z28" s="684"/>
      <c r="AA28" s="121"/>
      <c r="AB28" s="685" t="str">
        <f>IF($Z$3+$AA$3=43,IF($AB$14=$AB$15,"résultat",IF($AB$14&lt;$AB$15,$X$14,$X$15)),(IF($Z$3+$AA$3=42,IF($AB$14=$AB$15,"résultat",IF($AB$14&lt;$AB$15,$X$14,$X$15)),(IF($Z$3+$AA$3=32,IF(0&gt;0,0,0),(IF($Z$3+$AA$3=31,IF(0&gt;0,0,0))))))))</f>
        <v>D2</v>
      </c>
      <c r="AC28" s="686"/>
      <c r="AD28" s="686"/>
      <c r="AE28" s="686"/>
      <c r="AF28" s="686"/>
      <c r="AG28" s="686"/>
      <c r="AH28" s="687"/>
      <c r="AI28" s="121"/>
      <c r="AJ28" s="121"/>
      <c r="AK28" s="121"/>
      <c r="AL28" s="121"/>
      <c r="AM28" s="121"/>
      <c r="AN28" s="122"/>
      <c r="AO28" s="127"/>
      <c r="AP28" s="39"/>
      <c r="AQ28" s="39"/>
      <c r="AR28" s="39"/>
    </row>
    <row r="29" spans="1:44">
      <c r="B29" s="113"/>
      <c r="C29" s="121"/>
      <c r="D29" s="121"/>
      <c r="E29" s="121"/>
      <c r="F29" s="121"/>
      <c r="G29" s="121"/>
      <c r="H29" s="176"/>
      <c r="I29" s="176"/>
      <c r="J29" s="47"/>
      <c r="K29" s="47"/>
      <c r="L29" s="47"/>
      <c r="M29" s="47"/>
      <c r="N29" s="47"/>
      <c r="O29" s="121"/>
      <c r="P29" s="121"/>
      <c r="Q29" s="121"/>
      <c r="R29" s="121"/>
      <c r="S29" s="121"/>
      <c r="T29" s="122"/>
      <c r="V29" s="113"/>
      <c r="W29" s="121"/>
      <c r="X29" s="47"/>
      <c r="Y29" s="47"/>
      <c r="Z29" s="47"/>
      <c r="AA29" s="121"/>
      <c r="AB29" s="176"/>
      <c r="AC29" s="176"/>
      <c r="AD29" s="47"/>
      <c r="AE29" s="47"/>
      <c r="AF29" s="47"/>
      <c r="AG29" s="47"/>
      <c r="AH29" s="47"/>
      <c r="AI29" s="121"/>
      <c r="AJ29" s="121"/>
      <c r="AK29" s="121"/>
      <c r="AL29" s="121"/>
      <c r="AM29" s="121"/>
      <c r="AN29" s="122"/>
      <c r="AO29" s="39"/>
      <c r="AP29" s="39"/>
      <c r="AQ29" s="39"/>
    </row>
    <row r="30" spans="1:44" ht="15.75" thickBot="1">
      <c r="B30" s="123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30"/>
      <c r="V30" s="123"/>
      <c r="W30" s="129"/>
      <c r="X30" s="167"/>
      <c r="Y30" s="167"/>
      <c r="Z30" s="167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30"/>
      <c r="AO30"/>
      <c r="AP30" s="39"/>
      <c r="AQ30" s="39"/>
    </row>
    <row r="31" spans="1:44" ht="15.75" thickBot="1">
      <c r="AO31"/>
      <c r="AP31" s="39"/>
      <c r="AQ31" s="39"/>
    </row>
    <row r="32" spans="1:44" ht="15.75" thickBot="1">
      <c r="A32" s="39"/>
      <c r="B32" s="39"/>
      <c r="C32" s="39"/>
      <c r="G32" s="39"/>
      <c r="H32" s="39"/>
      <c r="I32" s="39"/>
      <c r="J32" s="39"/>
      <c r="K32" s="39"/>
      <c r="L32" s="39"/>
      <c r="M32" s="679" t="s">
        <v>65</v>
      </c>
      <c r="N32" s="680"/>
      <c r="O32" s="681"/>
      <c r="P32" s="39"/>
      <c r="Q32" s="39"/>
      <c r="R32" s="39"/>
      <c r="S32" s="39"/>
      <c r="T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</row>
    <row r="33" spans="1:43">
      <c r="A33" s="39"/>
      <c r="B33" s="39"/>
      <c r="C33" s="39"/>
      <c r="D33" s="127"/>
      <c r="E33" s="127"/>
      <c r="F33" s="127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</row>
    <row r="34" spans="1:43">
      <c r="A34" s="39"/>
      <c r="B34" s="39"/>
      <c r="C34" s="39"/>
      <c r="D34" s="127"/>
      <c r="E34" s="127"/>
      <c r="F34" s="127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</row>
    <row r="35" spans="1:43">
      <c r="A35" s="39"/>
      <c r="B35" s="39"/>
      <c r="C35" s="39"/>
      <c r="D35" s="127"/>
      <c r="E35" s="127"/>
      <c r="F35" s="127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</row>
    <row r="36" spans="1:43">
      <c r="A36" s="39"/>
      <c r="B36" s="39"/>
      <c r="C36" s="39"/>
      <c r="D36" s="127"/>
      <c r="E36" s="127"/>
      <c r="F36" s="127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</row>
    <row r="37" spans="1:43">
      <c r="A37" s="39"/>
      <c r="B37" s="39"/>
      <c r="C37" s="39"/>
      <c r="D37" s="127"/>
      <c r="E37" s="12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 s="39"/>
      <c r="AO37" s="39"/>
      <c r="AP37" s="39"/>
      <c r="AQ37" s="39"/>
    </row>
    <row r="38" spans="1:43">
      <c r="A38" s="39"/>
      <c r="B38" s="39"/>
      <c r="C38" s="39"/>
      <c r="D38" s="127"/>
      <c r="E38" s="127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 s="39"/>
      <c r="AO38" s="39"/>
      <c r="AP38" s="39"/>
      <c r="AQ38" s="39"/>
    </row>
    <row r="39" spans="1:43">
      <c r="A39" s="39"/>
      <c r="B39" s="39"/>
      <c r="C39" s="39"/>
      <c r="D39" s="127"/>
      <c r="E39" s="127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 s="39"/>
      <c r="AO39" s="39"/>
      <c r="AP39" s="39"/>
      <c r="AQ39" s="39"/>
    </row>
    <row r="40" spans="1:43">
      <c r="A40" s="39"/>
      <c r="B40" s="39"/>
      <c r="C40" s="39"/>
      <c r="D40" s="127"/>
      <c r="E40" s="127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 s="39"/>
      <c r="AO40" s="39"/>
      <c r="AP40" s="39"/>
      <c r="AQ40" s="39"/>
    </row>
    <row r="41" spans="1:43">
      <c r="A41" s="39"/>
      <c r="B41" s="39"/>
      <c r="C41" s="39"/>
      <c r="D41" s="39"/>
      <c r="E41" s="39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 s="39"/>
      <c r="AP41" s="39"/>
      <c r="AQ41" s="39"/>
    </row>
    <row r="42" spans="1:43">
      <c r="A42" s="39"/>
      <c r="B42" s="39"/>
      <c r="C42" s="39"/>
      <c r="D42" s="39"/>
      <c r="E42" s="39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O42" s="39"/>
    </row>
    <row r="43" spans="1:43">
      <c r="A43" s="39"/>
      <c r="B43" s="39"/>
      <c r="C43" s="39"/>
      <c r="D43" s="39"/>
      <c r="E43" s="39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 s="39"/>
      <c r="AO43" s="39"/>
      <c r="AP43" s="39"/>
      <c r="AQ43" s="39"/>
    </row>
    <row r="44" spans="1:43" ht="117.75" customHeight="1">
      <c r="A44" s="39"/>
      <c r="B44" s="39"/>
      <c r="C44" s="39"/>
      <c r="D44" s="39"/>
      <c r="E44" s="39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 s="39"/>
      <c r="AO44" s="39"/>
      <c r="AP44" s="39"/>
      <c r="AQ44" s="39"/>
    </row>
    <row r="45" spans="1:43">
      <c r="A45" s="39"/>
      <c r="B45" s="39"/>
      <c r="C45" s="39"/>
      <c r="D45" s="39"/>
      <c r="E45" s="39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 s="39"/>
      <c r="AP45" s="39"/>
    </row>
    <row r="46" spans="1:43"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43"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43"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6:39"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6:39"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6:39"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6:39"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</sheetData>
  <sheetProtection formatCells="0" formatColumns="0" formatRows="0" insertColumns="0" insertRows="0" insertHyperlinks="0" deleteColumns="0" deleteRows="0" sort="0"/>
  <mergeCells count="73">
    <mergeCell ref="AD24:AG24"/>
    <mergeCell ref="AD20:AG20"/>
    <mergeCell ref="AD19:AG19"/>
    <mergeCell ref="J20:M20"/>
    <mergeCell ref="AC19:AC20"/>
    <mergeCell ref="J19:M19"/>
    <mergeCell ref="C8:C9"/>
    <mergeCell ref="T4:T5"/>
    <mergeCell ref="W8:W9"/>
    <mergeCell ref="AH8:AH9"/>
    <mergeCell ref="N1:S1"/>
    <mergeCell ref="AC1:AF1"/>
    <mergeCell ref="L2:T2"/>
    <mergeCell ref="V2:X2"/>
    <mergeCell ref="V1:X1"/>
    <mergeCell ref="Y1:AA1"/>
    <mergeCell ref="N8:N9"/>
    <mergeCell ref="D9:G9"/>
    <mergeCell ref="O8:R8"/>
    <mergeCell ref="O9:R9"/>
    <mergeCell ref="D8:G8"/>
    <mergeCell ref="C14:C15"/>
    <mergeCell ref="I2:K2"/>
    <mergeCell ref="AH1:AM1"/>
    <mergeCell ref="Z2:AA2"/>
    <mergeCell ref="AC2:AE2"/>
    <mergeCell ref="AF2:AN2"/>
    <mergeCell ref="AI14:AL14"/>
    <mergeCell ref="AI15:AL15"/>
    <mergeCell ref="O14:R14"/>
    <mergeCell ref="O15:R15"/>
    <mergeCell ref="B1:D1"/>
    <mergeCell ref="E1:G1"/>
    <mergeCell ref="B2:D2"/>
    <mergeCell ref="F2:G2"/>
    <mergeCell ref="I1:L1"/>
    <mergeCell ref="C4:S4"/>
    <mergeCell ref="AN4:AN5"/>
    <mergeCell ref="W4:AM4"/>
    <mergeCell ref="AH14:AH15"/>
    <mergeCell ref="X15:AA15"/>
    <mergeCell ref="X14:AA14"/>
    <mergeCell ref="X8:AA8"/>
    <mergeCell ref="AI8:AL8"/>
    <mergeCell ref="X9:AA9"/>
    <mergeCell ref="AI9:AL9"/>
    <mergeCell ref="W14:W15"/>
    <mergeCell ref="Y13:Z13"/>
    <mergeCell ref="AJ13:AK13"/>
    <mergeCell ref="M32:O32"/>
    <mergeCell ref="D28:F28"/>
    <mergeCell ref="X28:Z28"/>
    <mergeCell ref="AB28:AH28"/>
    <mergeCell ref="H28:N28"/>
    <mergeCell ref="AB25:AH25"/>
    <mergeCell ref="X26:Z26"/>
    <mergeCell ref="AB26:AH26"/>
    <mergeCell ref="H27:N27"/>
    <mergeCell ref="X25:Z25"/>
    <mergeCell ref="X27:Z27"/>
    <mergeCell ref="AB27:AH27"/>
    <mergeCell ref="H26:N26"/>
    <mergeCell ref="H25:N25"/>
    <mergeCell ref="P13:Q13"/>
    <mergeCell ref="E13:F13"/>
    <mergeCell ref="D27:F27"/>
    <mergeCell ref="D25:F25"/>
    <mergeCell ref="D26:F26"/>
    <mergeCell ref="D15:G15"/>
    <mergeCell ref="J24:M24"/>
    <mergeCell ref="N14:N15"/>
    <mergeCell ref="I19:I20"/>
    <mergeCell ref="D14:G14"/>
  </mergeCells>
  <conditionalFormatting sqref="X15:AA15 AB27:AH27 AD19:AG19 H28:N28 D15:G15">
    <cfRule type="cellIs" dxfId="525" priority="66" operator="equal">
      <formula>0</formula>
    </cfRule>
  </conditionalFormatting>
  <conditionalFormatting sqref="AB25">
    <cfRule type="expression" dxfId="524" priority="193">
      <formula>$AB$2=2</formula>
    </cfRule>
    <cfRule type="expression" dxfId="523" priority="261">
      <formula>$AB$2=5</formula>
    </cfRule>
    <cfRule type="expression" dxfId="522" priority="262">
      <formula>$AB$2=4</formula>
    </cfRule>
    <cfRule type="expression" dxfId="521" priority="265">
      <formula>$AB$2=3</formula>
    </cfRule>
    <cfRule type="expression" dxfId="520" priority="267">
      <formula>$H$2=0</formula>
    </cfRule>
  </conditionalFormatting>
  <conditionalFormatting sqref="AB26">
    <cfRule type="expression" dxfId="519" priority="258">
      <formula>$AB$2=0</formula>
    </cfRule>
    <cfRule type="expression" dxfId="518" priority="259">
      <formula>$AB$2=5</formula>
    </cfRule>
    <cfRule type="expression" dxfId="517" priority="260">
      <formula>$AB$2=4</formula>
    </cfRule>
    <cfRule type="expression" dxfId="516" priority="263">
      <formula>$AB$2=3</formula>
    </cfRule>
    <cfRule type="expression" dxfId="515" priority="264">
      <formula>$AB$2=2</formula>
    </cfRule>
  </conditionalFormatting>
  <conditionalFormatting sqref="AB27">
    <cfRule type="expression" dxfId="514" priority="256">
      <formula>$AB$2=0</formula>
    </cfRule>
    <cfRule type="expression" dxfId="513" priority="257">
      <formula>$AB$2=5</formula>
    </cfRule>
    <cfRule type="expression" dxfId="512" priority="268">
      <formula>$AB$2=4</formula>
    </cfRule>
    <cfRule type="expression" dxfId="511" priority="271">
      <formula>$AB$2=3</formula>
    </cfRule>
  </conditionalFormatting>
  <conditionalFormatting sqref="AB28:AH28">
    <cfRule type="cellIs" dxfId="510" priority="69" operator="equal">
      <formula>0</formula>
    </cfRule>
    <cfRule type="expression" dxfId="509" priority="181">
      <formula>$AB$2=5</formula>
    </cfRule>
    <cfRule type="expression" dxfId="508" priority="255">
      <formula>$AB$2=0</formula>
    </cfRule>
    <cfRule type="expression" dxfId="507" priority="269">
      <formula>$AB$2=4</formula>
    </cfRule>
  </conditionalFormatting>
  <conditionalFormatting sqref="AB28 H28">
    <cfRule type="expression" dxfId="506" priority="185">
      <formula>$H$2=0</formula>
    </cfRule>
  </conditionalFormatting>
  <conditionalFormatting sqref="AB25:AH25">
    <cfRule type="expression" dxfId="505" priority="182">
      <formula>$AB$2=1</formula>
    </cfRule>
  </conditionalFormatting>
  <conditionalFormatting sqref="H25:N25">
    <cfRule type="expression" dxfId="504" priority="12" stopIfTrue="1">
      <formula>(OR(H2="2",H2="3"))</formula>
    </cfRule>
    <cfRule type="cellIs" dxfId="503" priority="13" operator="equal">
      <formula>31</formula>
    </cfRule>
    <cfRule type="expression" dxfId="502" priority="184">
      <formula>$H$2=0</formula>
    </cfRule>
  </conditionalFormatting>
  <conditionalFormatting sqref="H26:H27">
    <cfRule type="expression" dxfId="501" priority="128">
      <formula>(OR(H2="2",H2="3"))</formula>
    </cfRule>
  </conditionalFormatting>
  <conditionalFormatting sqref="H27:N27">
    <cfRule type="cellIs" dxfId="500" priority="73" operator="equal">
      <formula>0</formula>
    </cfRule>
    <cfRule type="expression" dxfId="499" priority="127">
      <formula>(H2="3")</formula>
    </cfRule>
  </conditionalFormatting>
  <conditionalFormatting sqref="AB25:AH25">
    <cfRule type="expression" dxfId="498" priority="114">
      <formula>$H$2=0</formula>
    </cfRule>
    <cfRule type="expression" dxfId="497" priority="115" stopIfTrue="1">
      <formula>(OR(AB2="1",AB2="2",AB2="3"))</formula>
    </cfRule>
  </conditionalFormatting>
  <conditionalFormatting sqref="AB26:AH26">
    <cfRule type="expression" dxfId="496" priority="113">
      <formula>(OR(AB2="2",AB2="3"))</formula>
    </cfRule>
  </conditionalFormatting>
  <conditionalFormatting sqref="AB27">
    <cfRule type="expression" dxfId="495" priority="112">
      <formula>(AB2="3")</formula>
    </cfRule>
  </conditionalFormatting>
  <conditionalFormatting sqref="AI9 X9:AA9 D9:G9 O9">
    <cfRule type="cellIs" dxfId="494" priority="46" operator="equal">
      <formula>$E$2=0</formula>
    </cfRule>
  </conditionalFormatting>
  <conditionalFormatting sqref="J19:J20 K20:M20">
    <cfRule type="cellIs" dxfId="493" priority="17" operator="equal">
      <formula>0</formula>
    </cfRule>
    <cfRule type="cellIs" dxfId="492" priority="77" operator="equal">
      <formula>0</formula>
    </cfRule>
  </conditionalFormatting>
  <conditionalFormatting sqref="S18">
    <cfRule type="containsText" dxfId="491" priority="64" operator="containsText" text="5">
      <formula>NOT(ISERROR(SEARCH("5",S18)))</formula>
    </cfRule>
  </conditionalFormatting>
  <conditionalFormatting sqref="O9:R9">
    <cfRule type="containsText" dxfId="490" priority="11" operator="containsText" text="OFFICE">
      <formula>NOT(ISERROR(SEARCH("OFFICE",O9)))</formula>
    </cfRule>
  </conditionalFormatting>
  <conditionalFormatting sqref="D15:G15">
    <cfRule type="containsText" dxfId="489" priority="10" operator="containsText" text="OFFICE">
      <formula>NOT(ISERROR(SEARCH("OFFICE",D15)))</formula>
    </cfRule>
  </conditionalFormatting>
  <conditionalFormatting sqref="AI9:AL9">
    <cfRule type="containsText" dxfId="488" priority="9" operator="containsText" text="OFFICE">
      <formula>NOT(ISERROR(SEARCH("OFFICE",AI9)))</formula>
    </cfRule>
  </conditionalFormatting>
  <conditionalFormatting sqref="X15:AA15">
    <cfRule type="cellIs" dxfId="487" priority="8" operator="equal">
      <formula>"OFFICE"</formula>
    </cfRule>
  </conditionalFormatting>
  <pageMargins left="0.15" right="0.2" top="0.31496062992125984" bottom="0.33" header="0.23622047244094491" footer="0.17"/>
  <pageSetup paperSize="9" scale="95" orientation="landscape" horizontalDpi="4294967292" verticalDpi="0" r:id="rId1"/>
  <rowBreaks count="1" manualBreakCount="1">
    <brk id="30" max="16383" man="1"/>
  </rowBreaks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tabColor rgb="FF66FFFF"/>
    <pageSetUpPr fitToPage="1"/>
  </sheetPr>
  <dimension ref="A1:AU32"/>
  <sheetViews>
    <sheetView zoomScale="90" zoomScaleNormal="90" workbookViewId="0">
      <selection activeCell="S33" sqref="S33"/>
    </sheetView>
  </sheetViews>
  <sheetFormatPr baseColWidth="10" defaultRowHeight="15"/>
  <cols>
    <col min="1" max="1" width="4" style="127" customWidth="1"/>
    <col min="2" max="2" width="4.5703125" style="127" customWidth="1"/>
    <col min="3" max="3" width="6.42578125" style="127" customWidth="1"/>
    <col min="4" max="4" width="6" style="127" customWidth="1"/>
    <col min="5" max="5" width="6.28515625" style="127" customWidth="1"/>
    <col min="6" max="6" width="6.85546875" style="127" customWidth="1"/>
    <col min="7" max="7" width="6" style="127" customWidth="1"/>
    <col min="8" max="8" width="6.85546875" style="127" customWidth="1"/>
    <col min="9" max="9" width="5.5703125" style="127" customWidth="1"/>
    <col min="10" max="10" width="6.5703125" style="127" customWidth="1"/>
    <col min="11" max="11" width="6.28515625" style="127" customWidth="1"/>
    <col min="12" max="12" width="4.28515625" style="127" customWidth="1"/>
    <col min="13" max="13" width="8" style="127" customWidth="1"/>
    <col min="14" max="14" width="6.28515625" style="127" customWidth="1"/>
    <col min="15" max="15" width="6.5703125" style="127" customWidth="1"/>
    <col min="16" max="17" width="5.5703125" style="127" customWidth="1"/>
    <col min="18" max="18" width="5.28515625" style="127" customWidth="1"/>
    <col min="19" max="19" width="8.5703125" style="127" customWidth="1"/>
    <col min="20" max="20" width="7.85546875" style="127" customWidth="1"/>
    <col min="21" max="21" width="4.140625" style="127" customWidth="1"/>
    <col min="22" max="22" width="5" style="127" customWidth="1"/>
    <col min="23" max="23" width="6.42578125" style="127" customWidth="1"/>
    <col min="24" max="24" width="6.7109375" style="127" customWidth="1"/>
    <col min="25" max="25" width="4.42578125" style="127" customWidth="1"/>
    <col min="26" max="26" width="7.42578125" style="127" customWidth="1"/>
    <col min="27" max="27" width="6" style="127" customWidth="1"/>
    <col min="28" max="28" width="7.42578125" style="127" customWidth="1"/>
    <col min="29" max="29" width="5.5703125" style="127" customWidth="1"/>
    <col min="30" max="30" width="6.85546875" style="127" customWidth="1"/>
    <col min="31" max="31" width="6.28515625" style="127" customWidth="1"/>
    <col min="32" max="32" width="6.85546875" style="127" customWidth="1"/>
    <col min="33" max="33" width="7.28515625" style="127" customWidth="1"/>
    <col min="34" max="34" width="6" style="127" customWidth="1"/>
    <col min="35" max="35" width="7.5703125" style="127" customWidth="1"/>
    <col min="36" max="36" width="6" style="127" customWidth="1"/>
    <col min="37" max="37" width="6.85546875" style="127" customWidth="1"/>
    <col min="38" max="38" width="5.28515625" style="127" customWidth="1"/>
    <col min="39" max="39" width="8" style="127" customWidth="1"/>
    <col min="40" max="40" width="6" style="127" customWidth="1"/>
    <col min="41" max="41" width="7.28515625" style="127" hidden="1" customWidth="1"/>
    <col min="42" max="42" width="9" style="127" hidden="1" customWidth="1"/>
    <col min="43" max="16384" width="11.42578125" style="127"/>
  </cols>
  <sheetData>
    <row r="1" spans="1:47" ht="23.25" customHeight="1" thickBot="1">
      <c r="A1" s="197"/>
      <c r="B1" s="724" t="s">
        <v>104</v>
      </c>
      <c r="C1" s="724"/>
      <c r="D1" s="724"/>
      <c r="E1" s="725" t="str">
        <f>Rens.!J2</f>
        <v>ST PERAY</v>
      </c>
      <c r="F1" s="725"/>
      <c r="G1" s="725"/>
      <c r="H1" s="189">
        <f ca="1">Rens.!$D$4</f>
        <v>2020</v>
      </c>
      <c r="I1" s="725" t="str">
        <f>Rens.!$J$4</f>
        <v xml:space="preserve"> Quadrettes</v>
      </c>
      <c r="J1" s="725"/>
      <c r="K1" s="725"/>
      <c r="L1" s="725"/>
      <c r="M1" s="131" t="str">
        <f>Rens.!$E$6</f>
        <v>4 Div.</v>
      </c>
      <c r="N1" s="726" t="s">
        <v>25</v>
      </c>
      <c r="O1" s="725"/>
      <c r="P1" s="725"/>
      <c r="Q1" s="725"/>
      <c r="R1" s="725"/>
      <c r="S1" s="727"/>
      <c r="T1" s="165">
        <f>+Rens.!D18</f>
        <v>16</v>
      </c>
      <c r="V1" s="726" t="s">
        <v>54</v>
      </c>
      <c r="W1" s="725"/>
      <c r="X1" s="725"/>
      <c r="Y1" s="725" t="str">
        <f>Rens.!J2</f>
        <v>ST PERAY</v>
      </c>
      <c r="Z1" s="725"/>
      <c r="AA1" s="725"/>
      <c r="AB1" s="189">
        <f ca="1">Rens.!$D$4</f>
        <v>2020</v>
      </c>
      <c r="AC1" s="725" t="str">
        <f>Rens.!$J$4</f>
        <v xml:space="preserve"> Quadrettes</v>
      </c>
      <c r="AD1" s="725"/>
      <c r="AE1" s="725"/>
      <c r="AF1" s="725"/>
      <c r="AG1" s="131" t="str">
        <f>Rens.!$E$6</f>
        <v>4 Div.</v>
      </c>
      <c r="AH1" s="726" t="s">
        <v>25</v>
      </c>
      <c r="AI1" s="725"/>
      <c r="AJ1" s="725"/>
      <c r="AK1" s="725"/>
      <c r="AL1" s="725"/>
      <c r="AM1" s="727"/>
      <c r="AN1" s="35">
        <f>+Rens.!D18</f>
        <v>16</v>
      </c>
      <c r="AO1" s="2"/>
    </row>
    <row r="2" spans="1:47" ht="24" customHeight="1" thickBot="1">
      <c r="B2" s="734" t="s">
        <v>17</v>
      </c>
      <c r="C2" s="735"/>
      <c r="D2" s="735"/>
      <c r="E2" s="20" t="str">
        <f>Rens.!G18</f>
        <v>4</v>
      </c>
      <c r="F2" s="736" t="s">
        <v>19</v>
      </c>
      <c r="G2" s="736"/>
      <c r="H2" s="7" t="str">
        <f>Rens.!$G$19</f>
        <v>2</v>
      </c>
      <c r="I2" s="725" t="s">
        <v>20</v>
      </c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7"/>
      <c r="V2" s="728" t="s">
        <v>18</v>
      </c>
      <c r="W2" s="729"/>
      <c r="X2" s="730"/>
      <c r="Y2" s="216" t="str">
        <f>Rens.!$H$18</f>
        <v>4</v>
      </c>
      <c r="Z2" s="731" t="s">
        <v>19</v>
      </c>
      <c r="AA2" s="731"/>
      <c r="AB2" s="217" t="str">
        <f>Rens.!$H$19</f>
        <v>2</v>
      </c>
      <c r="AC2" s="732" t="s">
        <v>20</v>
      </c>
      <c r="AD2" s="732"/>
      <c r="AE2" s="732"/>
      <c r="AF2" s="732"/>
      <c r="AG2" s="732"/>
      <c r="AH2" s="732"/>
      <c r="AI2" s="732"/>
      <c r="AJ2" s="732"/>
      <c r="AK2" s="732"/>
      <c r="AL2" s="732"/>
      <c r="AM2" s="732"/>
      <c r="AN2" s="733"/>
      <c r="AO2" s="2"/>
    </row>
    <row r="3" spans="1:47" ht="19.5" customHeight="1" thickBot="1">
      <c r="A3" s="40"/>
      <c r="B3" s="136">
        <f>+Rens.!J11</f>
        <v>168</v>
      </c>
      <c r="C3" s="177"/>
      <c r="D3" s="177"/>
      <c r="E3" s="178"/>
      <c r="F3" s="207" t="str">
        <f>CONCATENATE(E2,H2)</f>
        <v>42</v>
      </c>
      <c r="G3" s="178"/>
      <c r="H3" s="178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9"/>
      <c r="U3" s="40"/>
      <c r="V3" s="136">
        <f>+Rens.!J11</f>
        <v>168</v>
      </c>
      <c r="W3" s="177"/>
      <c r="X3" s="177"/>
      <c r="Y3" s="183"/>
      <c r="Z3" s="207" t="str">
        <f>CONCATENATE(Y2,AB2)</f>
        <v>42</v>
      </c>
      <c r="AA3" s="178"/>
      <c r="AB3" s="178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9"/>
      <c r="AO3" s="39"/>
      <c r="AP3" s="39"/>
    </row>
    <row r="4" spans="1:47" ht="15.75" thickBot="1">
      <c r="A4" s="40"/>
      <c r="B4" s="113"/>
      <c r="C4" s="689" t="s">
        <v>67</v>
      </c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1"/>
      <c r="T4" s="688"/>
      <c r="U4" s="40"/>
      <c r="V4" s="113"/>
      <c r="W4" s="689" t="s">
        <v>67</v>
      </c>
      <c r="X4" s="690"/>
      <c r="Y4" s="690"/>
      <c r="Z4" s="690"/>
      <c r="AA4" s="690"/>
      <c r="AB4" s="690"/>
      <c r="AC4" s="690"/>
      <c r="AD4" s="690"/>
      <c r="AE4" s="690"/>
      <c r="AF4" s="690"/>
      <c r="AG4" s="690"/>
      <c r="AH4" s="690"/>
      <c r="AI4" s="690"/>
      <c r="AJ4" s="690"/>
      <c r="AK4" s="690"/>
      <c r="AL4" s="690"/>
      <c r="AM4" s="691"/>
      <c r="AN4" s="688"/>
      <c r="AO4" s="39"/>
      <c r="AP4" s="39"/>
    </row>
    <row r="5" spans="1:47">
      <c r="A5" s="40"/>
      <c r="B5" s="113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688"/>
      <c r="U5" s="40"/>
      <c r="V5" s="113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688"/>
      <c r="AO5" s="39"/>
      <c r="AP5" s="39"/>
    </row>
    <row r="6" spans="1:47" ht="15.75" thickBot="1">
      <c r="A6" s="40"/>
      <c r="B6" s="113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39"/>
      <c r="S6" s="114"/>
      <c r="T6" s="115"/>
      <c r="U6" s="40"/>
      <c r="V6" s="113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39"/>
      <c r="AM6" s="114"/>
      <c r="AN6" s="115"/>
      <c r="AO6" s="39"/>
      <c r="AP6" s="39"/>
    </row>
    <row r="7" spans="1:47" ht="15.75" thickBot="1">
      <c r="B7" s="180"/>
      <c r="C7" s="176" t="s">
        <v>6</v>
      </c>
      <c r="D7" s="50" t="s">
        <v>14</v>
      </c>
      <c r="E7" s="174"/>
      <c r="F7" s="47"/>
      <c r="G7" s="47"/>
      <c r="H7" s="114" t="s">
        <v>5</v>
      </c>
      <c r="I7" s="114"/>
      <c r="J7" s="114"/>
      <c r="K7" s="114"/>
      <c r="L7" s="114"/>
      <c r="M7" s="114"/>
      <c r="N7" s="114" t="s">
        <v>6</v>
      </c>
      <c r="O7" s="50" t="str">
        <f>IF(E2=2,"","C")</f>
        <v>C</v>
      </c>
      <c r="P7" s="174"/>
      <c r="Q7" s="47"/>
      <c r="R7" s="47"/>
      <c r="S7" s="114" t="s">
        <v>5</v>
      </c>
      <c r="T7" s="115"/>
      <c r="U7"/>
      <c r="V7" s="180"/>
      <c r="W7" s="176" t="s">
        <v>6</v>
      </c>
      <c r="X7" s="50" t="s">
        <v>14</v>
      </c>
      <c r="Y7" s="174"/>
      <c r="Z7" s="47"/>
      <c r="AA7" s="47"/>
      <c r="AB7" s="114" t="s">
        <v>5</v>
      </c>
      <c r="AC7" s="114"/>
      <c r="AD7" s="114"/>
      <c r="AE7" s="114"/>
      <c r="AF7" s="114"/>
      <c r="AG7" s="114"/>
      <c r="AH7" s="114" t="s">
        <v>6</v>
      </c>
      <c r="AI7" s="50" t="str">
        <f>IF(Y2=2,"","C")</f>
        <v>C</v>
      </c>
      <c r="AJ7" s="174"/>
      <c r="AK7" s="47"/>
      <c r="AL7" s="47"/>
      <c r="AM7" s="114" t="s">
        <v>5</v>
      </c>
      <c r="AN7" s="115"/>
      <c r="AO7" s="114"/>
      <c r="AP7"/>
      <c r="AQ7"/>
      <c r="AR7"/>
      <c r="AS7"/>
      <c r="AT7" s="39"/>
      <c r="AU7" s="39"/>
    </row>
    <row r="8" spans="1:47" ht="15.75" thickBot="1">
      <c r="B8" s="193">
        <v>9</v>
      </c>
      <c r="C8" s="662"/>
      <c r="D8" s="694" t="str">
        <f>IF(ISNA(MATCH($B$8,Rens.!$V$6:$V$21,0)),"",INDEX(Rens.!$AB$6:$AB$21,MATCH($B$8,Rens.!$V$6:$V$21,0)))</f>
        <v>A3</v>
      </c>
      <c r="E8" s="695"/>
      <c r="F8" s="695"/>
      <c r="G8" s="696"/>
      <c r="H8" s="53">
        <v>1</v>
      </c>
      <c r="I8" s="114"/>
      <c r="J8" s="114"/>
      <c r="K8" s="114"/>
      <c r="L8" s="114"/>
      <c r="M8" s="192">
        <v>11</v>
      </c>
      <c r="N8" s="662"/>
      <c r="O8" s="694" t="str">
        <f>IF(ISNA(MATCH($M$8,Rens.!$V$6:$V$21,0)),"",INDEX(Rens.!$AB$6:$AB$21,MATCH($M$8,Rens.!$V$6:$V$21,0)))</f>
        <v>C3</v>
      </c>
      <c r="P8" s="695"/>
      <c r="Q8" s="695"/>
      <c r="R8" s="696"/>
      <c r="S8" s="53">
        <v>1</v>
      </c>
      <c r="T8" s="115"/>
      <c r="U8"/>
      <c r="V8" s="194">
        <v>13</v>
      </c>
      <c r="W8" s="662"/>
      <c r="X8" s="694" t="str">
        <f>IF(ISNA(MATCH($V$8,Rens.!$V$6:$V$21,0)),"",INDEX(Rens.!$AB$6:$AB$21,MATCH($V$8,Rens.!$V$6:$V$21,0)))</f>
        <v>A4</v>
      </c>
      <c r="Y8" s="695"/>
      <c r="Z8" s="695"/>
      <c r="AA8" s="696"/>
      <c r="AB8" s="53">
        <v>1</v>
      </c>
      <c r="AC8" s="114"/>
      <c r="AD8" s="114"/>
      <c r="AE8" s="114"/>
      <c r="AF8" s="114"/>
      <c r="AG8" s="192">
        <v>15</v>
      </c>
      <c r="AH8" s="662"/>
      <c r="AI8" s="694" t="str">
        <f>IF(ISNA(MATCH($AG$8,Rens.!$V$6:$V$21,0)),"",INDEX(Rens.!$AB$6:$AB$21,MATCH($AG$8,Rens.!$V$6:$V$21,0)))</f>
        <v>C4</v>
      </c>
      <c r="AJ8" s="695"/>
      <c r="AK8" s="695"/>
      <c r="AL8" s="696"/>
      <c r="AM8" s="53">
        <v>1</v>
      </c>
      <c r="AN8" s="115"/>
      <c r="AO8" s="121"/>
      <c r="AP8"/>
      <c r="AQ8"/>
      <c r="AR8"/>
      <c r="AS8"/>
      <c r="AT8" s="39"/>
      <c r="AU8" s="39"/>
    </row>
    <row r="9" spans="1:47" ht="15.75" thickBot="1">
      <c r="B9" s="193">
        <v>10</v>
      </c>
      <c r="C9" s="663"/>
      <c r="D9" s="694" t="str">
        <f>IF(ISNA(MATCH($B$9,Rens.!$V$6:$V$21,0)),"",INDEX(Rens.!$AB$6:$AB$21,MATCH($B$9,Rens.!$V$6:$V$21,0)))</f>
        <v>B3</v>
      </c>
      <c r="E9" s="695"/>
      <c r="F9" s="695"/>
      <c r="G9" s="696"/>
      <c r="H9" s="172">
        <v>2</v>
      </c>
      <c r="I9" s="114"/>
      <c r="J9" s="114"/>
      <c r="K9" s="114"/>
      <c r="L9" s="114"/>
      <c r="M9" s="192">
        <v>12</v>
      </c>
      <c r="N9" s="663"/>
      <c r="O9" s="694" t="str">
        <f>IF(ISNA(MATCH($M$9,Rens.!$V$6:$V$21,0)),"",INDEX(Rens.!$AB$6:$AB$21,MATCH($M$9,Rens.!$V$6:$V$21,0)))</f>
        <v>D3</v>
      </c>
      <c r="P9" s="695"/>
      <c r="Q9" s="695"/>
      <c r="R9" s="696"/>
      <c r="S9" s="53">
        <v>0</v>
      </c>
      <c r="T9" s="115"/>
      <c r="U9"/>
      <c r="V9" s="194">
        <v>14</v>
      </c>
      <c r="W9" s="663"/>
      <c r="X9" s="694" t="str">
        <f>IF(ISNA(MATCH($V$9,Rens.!$V$6:$V$21,0)),"",INDEX(Rens.!$AB$6:$AB$21,MATCH($V$9,Rens.!$V$6:$V$21,0)))</f>
        <v>B4</v>
      </c>
      <c r="Y9" s="695"/>
      <c r="Z9" s="695"/>
      <c r="AA9" s="696"/>
      <c r="AB9" s="172">
        <v>2</v>
      </c>
      <c r="AC9" s="114"/>
      <c r="AD9" s="114"/>
      <c r="AE9" s="114"/>
      <c r="AF9" s="114"/>
      <c r="AG9" s="192">
        <v>16</v>
      </c>
      <c r="AH9" s="663"/>
      <c r="AI9" s="694" t="str">
        <f>IF(ISNA(MATCH($AG$9,Rens.!$V$6:$V$21,0)),"",INDEX(Rens.!$AB$6:$AB$21,MATCH($AG$9,Rens.!$V$6:$V$21,0)))</f>
        <v>D4</v>
      </c>
      <c r="AJ9" s="695"/>
      <c r="AK9" s="695"/>
      <c r="AL9" s="696"/>
      <c r="AM9" s="53">
        <v>0</v>
      </c>
      <c r="AN9" s="115"/>
      <c r="AO9" s="121"/>
      <c r="AP9"/>
      <c r="AQ9"/>
      <c r="AR9"/>
      <c r="AS9"/>
      <c r="AT9" s="39"/>
      <c r="AU9" s="39"/>
    </row>
    <row r="10" spans="1:47" ht="15.75" thickBot="1">
      <c r="B10" s="180"/>
      <c r="C10" s="176"/>
      <c r="D10" s="93" t="s">
        <v>15</v>
      </c>
      <c r="E10" s="174"/>
      <c r="F10" s="47"/>
      <c r="G10" s="47"/>
      <c r="H10" s="121"/>
      <c r="I10" s="121"/>
      <c r="J10" s="121"/>
      <c r="K10" s="121"/>
      <c r="L10" s="121"/>
      <c r="M10" s="121"/>
      <c r="N10" s="121"/>
      <c r="O10" s="50" t="s">
        <v>44</v>
      </c>
      <c r="P10" s="174"/>
      <c r="Q10" s="47"/>
      <c r="R10" s="47"/>
      <c r="S10" s="121"/>
      <c r="T10" s="122"/>
      <c r="U10"/>
      <c r="V10" s="180"/>
      <c r="W10" s="176"/>
      <c r="X10" s="93" t="s">
        <v>15</v>
      </c>
      <c r="Y10" s="174"/>
      <c r="Z10" s="47"/>
      <c r="AA10" s="47"/>
      <c r="AB10" s="121"/>
      <c r="AC10" s="121"/>
      <c r="AD10" s="121"/>
      <c r="AE10" s="121"/>
      <c r="AF10" s="121"/>
      <c r="AG10" s="121"/>
      <c r="AH10" s="121"/>
      <c r="AI10" s="50" t="s">
        <v>44</v>
      </c>
      <c r="AJ10" s="174"/>
      <c r="AK10" s="47"/>
      <c r="AL10" s="47"/>
      <c r="AM10" s="121"/>
      <c r="AN10" s="122"/>
      <c r="AO10" s="121"/>
      <c r="AP10" s="47"/>
      <c r="AQ10" s="47"/>
      <c r="AR10" s="47"/>
      <c r="AS10" s="121"/>
      <c r="AT10" s="39"/>
      <c r="AU10" s="39"/>
    </row>
    <row r="11" spans="1:47">
      <c r="A11" s="40"/>
      <c r="B11" s="113"/>
      <c r="C11" s="47"/>
      <c r="D11" s="47"/>
      <c r="E11" s="47"/>
      <c r="F11" s="47"/>
      <c r="G11" s="121"/>
      <c r="H11" s="121"/>
      <c r="I11" s="121"/>
      <c r="J11" s="47"/>
      <c r="K11" s="47"/>
      <c r="L11" s="47"/>
      <c r="M11" s="47"/>
      <c r="N11" s="121"/>
      <c r="O11" s="121"/>
      <c r="P11" s="121"/>
      <c r="Q11" s="121"/>
      <c r="R11" s="121"/>
      <c r="S11" s="121"/>
      <c r="T11" s="122"/>
      <c r="U11" s="40"/>
      <c r="V11" s="113"/>
      <c r="W11" s="48"/>
      <c r="X11" s="48"/>
      <c r="Y11" s="48"/>
      <c r="Z11" s="48"/>
      <c r="AA11" s="121"/>
      <c r="AB11" s="121"/>
      <c r="AC11" s="121"/>
      <c r="AD11" s="47"/>
      <c r="AE11" s="47"/>
      <c r="AF11" s="47"/>
      <c r="AG11" s="47"/>
      <c r="AH11" s="121"/>
      <c r="AI11" s="121"/>
      <c r="AJ11" s="121"/>
      <c r="AK11" s="47"/>
      <c r="AL11" s="47"/>
      <c r="AM11" s="47"/>
      <c r="AN11" s="122"/>
      <c r="AO11" s="39"/>
      <c r="AP11" s="39"/>
      <c r="AS11" s="182"/>
      <c r="AT11" s="182"/>
    </row>
    <row r="12" spans="1:47">
      <c r="A12" s="40"/>
      <c r="B12" s="113"/>
      <c r="C12" s="47"/>
      <c r="D12" s="47"/>
      <c r="E12" s="47"/>
      <c r="F12" s="47"/>
      <c r="G12" s="121"/>
      <c r="H12" s="121"/>
      <c r="I12" s="121"/>
      <c r="J12" s="47"/>
      <c r="K12" s="47"/>
      <c r="L12" s="47"/>
      <c r="M12" s="47"/>
      <c r="N12" s="121"/>
      <c r="O12" s="121"/>
      <c r="P12" s="121"/>
      <c r="Q12" s="121"/>
      <c r="R12" s="121"/>
      <c r="S12" s="121"/>
      <c r="T12" s="122"/>
      <c r="U12" s="40"/>
      <c r="V12" s="113"/>
      <c r="W12" s="48"/>
      <c r="X12" s="48"/>
      <c r="Y12" s="48"/>
      <c r="Z12" s="48"/>
      <c r="AA12" s="121"/>
      <c r="AB12" s="121"/>
      <c r="AC12" s="121"/>
      <c r="AD12" s="47"/>
      <c r="AE12" s="47"/>
      <c r="AF12" s="47"/>
      <c r="AG12" s="47"/>
      <c r="AH12" s="121"/>
      <c r="AI12" s="121"/>
      <c r="AJ12" s="121"/>
      <c r="AK12" s="47"/>
      <c r="AL12" s="47"/>
      <c r="AM12" s="47"/>
      <c r="AN12" s="122"/>
      <c r="AO12" s="39"/>
      <c r="AP12" s="39"/>
    </row>
    <row r="13" spans="1:47" ht="15.75" thickBot="1">
      <c r="B13" s="180"/>
      <c r="C13" s="176" t="s">
        <v>6</v>
      </c>
      <c r="D13" s="47"/>
      <c r="E13" s="649" t="s">
        <v>61</v>
      </c>
      <c r="F13" s="649"/>
      <c r="G13" s="47"/>
      <c r="H13" s="114" t="s">
        <v>5</v>
      </c>
      <c r="I13" s="114"/>
      <c r="J13" s="121"/>
      <c r="K13" s="176"/>
      <c r="L13" s="176"/>
      <c r="M13" s="176"/>
      <c r="N13" s="114" t="s">
        <v>6</v>
      </c>
      <c r="O13" s="121"/>
      <c r="P13" s="700" t="s">
        <v>60</v>
      </c>
      <c r="Q13" s="700"/>
      <c r="R13" s="121"/>
      <c r="S13" s="114" t="s">
        <v>5</v>
      </c>
      <c r="T13" s="181"/>
      <c r="U13" s="40"/>
      <c r="V13" s="113"/>
      <c r="W13" s="114" t="s">
        <v>6</v>
      </c>
      <c r="X13" s="48"/>
      <c r="Y13" s="649" t="s">
        <v>61</v>
      </c>
      <c r="Z13" s="649"/>
      <c r="AA13" s="48"/>
      <c r="AB13" s="114" t="s">
        <v>5</v>
      </c>
      <c r="AC13" s="114"/>
      <c r="AD13" s="121"/>
      <c r="AE13" s="176"/>
      <c r="AF13" s="176"/>
      <c r="AG13" s="176"/>
      <c r="AH13" s="114" t="s">
        <v>6</v>
      </c>
      <c r="AI13" s="47"/>
      <c r="AJ13" s="720" t="s">
        <v>60</v>
      </c>
      <c r="AK13" s="720"/>
      <c r="AL13" s="47"/>
      <c r="AM13" s="114" t="s">
        <v>5</v>
      </c>
      <c r="AN13" s="122"/>
      <c r="AO13" s="39"/>
      <c r="AP13" s="39"/>
    </row>
    <row r="14" spans="1:47" ht="15.75" thickBot="1">
      <c r="B14" s="113"/>
      <c r="C14" s="662"/>
      <c r="D14" s="664" t="str">
        <f>IF($H$8=$H$9,"résultat",IF($H$8&gt;$H$9,$D$9,$D$8))</f>
        <v>A3</v>
      </c>
      <c r="E14" s="665"/>
      <c r="F14" s="665"/>
      <c r="G14" s="666"/>
      <c r="H14" s="53">
        <v>1</v>
      </c>
      <c r="I14" s="114"/>
      <c r="J14" s="121"/>
      <c r="K14" s="176"/>
      <c r="L14" s="176"/>
      <c r="M14" s="176"/>
      <c r="N14" s="662"/>
      <c r="O14" s="664" t="str">
        <f>IF($S$8=$S$9,"résultat",IF($S$8&gt;$S$9,$O$8,$O$9))</f>
        <v>C3</v>
      </c>
      <c r="P14" s="692"/>
      <c r="Q14" s="692"/>
      <c r="R14" s="693"/>
      <c r="S14" s="53">
        <v>1</v>
      </c>
      <c r="T14" s="115"/>
      <c r="U14" s="40"/>
      <c r="V14" s="113"/>
      <c r="W14" s="662"/>
      <c r="X14" s="737" t="str">
        <f>IF($AB$8=$AB$9,"résultat",IF($AB$8&gt;$AB$9,$X$9,$X$8))</f>
        <v>A4</v>
      </c>
      <c r="Y14" s="665"/>
      <c r="Z14" s="665"/>
      <c r="AA14" s="666"/>
      <c r="AB14" s="53">
        <v>1</v>
      </c>
      <c r="AC14" s="114"/>
      <c r="AD14" s="121"/>
      <c r="AE14" s="176"/>
      <c r="AF14" s="176"/>
      <c r="AG14" s="176"/>
      <c r="AH14" s="662"/>
      <c r="AI14" s="664" t="str">
        <f>IF(AM8=AM9,"résultat",IF($AM$8&gt;$AM$9,$AI$8,$AI$9))</f>
        <v>C4</v>
      </c>
      <c r="AJ14" s="692"/>
      <c r="AK14" s="692"/>
      <c r="AL14" s="693"/>
      <c r="AM14" s="53">
        <v>1</v>
      </c>
      <c r="AN14" s="181"/>
      <c r="AO14"/>
    </row>
    <row r="15" spans="1:47" ht="15.75" thickBot="1">
      <c r="B15" s="113"/>
      <c r="C15" s="663"/>
      <c r="D15" s="656" t="str">
        <f>IF($S$8=$S$9,"résultat",IF($S$8&lt;$S$9,$O$8,$O$9))</f>
        <v>D3</v>
      </c>
      <c r="E15" s="657"/>
      <c r="F15" s="657"/>
      <c r="G15" s="658"/>
      <c r="H15" s="64">
        <v>0</v>
      </c>
      <c r="I15" s="114"/>
      <c r="J15" s="121"/>
      <c r="K15" s="176"/>
      <c r="L15" s="176"/>
      <c r="M15" s="176"/>
      <c r="N15" s="663"/>
      <c r="O15" s="656" t="str">
        <f>IF(H8=H9,"résultat",IF($H$8&gt;$H$9,$D$8,$D$9))</f>
        <v>B3</v>
      </c>
      <c r="P15" s="657"/>
      <c r="Q15" s="657"/>
      <c r="R15" s="658"/>
      <c r="S15" s="172">
        <v>2</v>
      </c>
      <c r="T15" s="115"/>
      <c r="U15" s="40"/>
      <c r="V15" s="113"/>
      <c r="W15" s="663"/>
      <c r="X15" s="656" t="str">
        <f>IF($AM$8=$AM$9,"résultat",IF($AM$8&lt;$AM$9,$AI$8,$AI$9))</f>
        <v>D4</v>
      </c>
      <c r="Y15" s="657"/>
      <c r="Z15" s="657"/>
      <c r="AA15" s="658"/>
      <c r="AB15" s="53">
        <v>0</v>
      </c>
      <c r="AC15" s="114"/>
      <c r="AD15" s="121"/>
      <c r="AE15" s="176"/>
      <c r="AF15" s="176"/>
      <c r="AG15" s="176"/>
      <c r="AH15" s="663"/>
      <c r="AI15" s="656" t="str">
        <f>IF(($AB$8=$AB$9),"résultat",IF(AB8&gt;AB9,X8,X9))</f>
        <v>B4</v>
      </c>
      <c r="AJ15" s="657"/>
      <c r="AK15" s="657"/>
      <c r="AL15" s="658"/>
      <c r="AM15" s="172">
        <v>2</v>
      </c>
      <c r="AN15" s="181"/>
      <c r="AO15"/>
    </row>
    <row r="16" spans="1:47">
      <c r="B16" s="180"/>
      <c r="C16" s="176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4"/>
      <c r="O16" s="121"/>
      <c r="P16" s="121"/>
      <c r="Q16" s="121"/>
      <c r="R16" s="121"/>
      <c r="S16" s="121"/>
      <c r="T16" s="122"/>
      <c r="U16" s="40"/>
      <c r="V16" s="113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2"/>
      <c r="AO16" s="122"/>
      <c r="AP16" s="39"/>
      <c r="AQ16" s="39"/>
    </row>
    <row r="17" spans="1:43">
      <c r="B17" s="180"/>
      <c r="C17" s="176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4"/>
      <c r="O17" s="121"/>
      <c r="P17" s="121"/>
      <c r="Q17" s="121"/>
      <c r="R17" s="121"/>
      <c r="S17" s="121"/>
      <c r="T17" s="122"/>
      <c r="U17" s="121"/>
      <c r="V17" s="113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2"/>
      <c r="AO17" s="121"/>
      <c r="AP17" s="39"/>
      <c r="AQ17" s="39"/>
    </row>
    <row r="18" spans="1:43" ht="15.75" thickBot="1">
      <c r="A18" s="40"/>
      <c r="B18" s="113"/>
      <c r="C18" s="121"/>
      <c r="I18" s="114" t="s">
        <v>6</v>
      </c>
      <c r="J18" s="121"/>
      <c r="K18" s="121"/>
      <c r="L18" s="121"/>
      <c r="M18" s="121"/>
      <c r="N18" s="114" t="s">
        <v>5</v>
      </c>
      <c r="P18"/>
      <c r="Q18"/>
      <c r="R18"/>
      <c r="S18"/>
      <c r="T18" s="122"/>
      <c r="U18" s="40"/>
      <c r="V18" s="113"/>
      <c r="W18" s="121"/>
      <c r="AC18" s="114" t="s">
        <v>6</v>
      </c>
      <c r="AD18" s="121"/>
      <c r="AE18" s="121"/>
      <c r="AF18" s="121"/>
      <c r="AG18" s="121"/>
      <c r="AH18" s="114" t="s">
        <v>5</v>
      </c>
      <c r="AJ18"/>
      <c r="AK18"/>
      <c r="AL18"/>
      <c r="AN18" s="122"/>
      <c r="AO18" s="39"/>
      <c r="AP18" s="39"/>
    </row>
    <row r="19" spans="1:43" ht="15.75" thickBot="1">
      <c r="A19" s="40"/>
      <c r="B19" s="113"/>
      <c r="C19" s="121"/>
      <c r="I19" s="200"/>
      <c r="J19" s="738" t="str">
        <f>IF(F3+G3=0,"0",IF($F$3+$G$3=43,IF(0&lt;0,0,0),(IF($F$3+$G$3=42,IF($S$14=$S$15,"résultat",IF($S$14&lt;$S$15,$O$14,$O$15)),IF($F$3+$G$3=32,IF($S$14=$S$15,"résultat",IF($S$14&lt;$S$15,$O$14,$O$15)),IF($F$3+$G$3=31,IF(S14=S15,"résultat",IF(S14&lt;AQ15,AM14,O15))))))))</f>
        <v>C3</v>
      </c>
      <c r="K19" s="739"/>
      <c r="L19" s="739"/>
      <c r="M19" s="740"/>
      <c r="N19" s="53">
        <v>0</v>
      </c>
      <c r="P19"/>
      <c r="Q19"/>
      <c r="R19"/>
      <c r="S19"/>
      <c r="T19" s="122"/>
      <c r="U19" s="40"/>
      <c r="V19" s="113"/>
      <c r="W19" s="121"/>
      <c r="AC19" s="200"/>
      <c r="AD19" s="715" t="str">
        <f>IF(Z3+AA3=0,"0",IF($Z$3+$AA$3=43,IF(0&lt;0,0,0),(IF($Z$3+$AA$3=42,IF($AM$14=$AM$15,"résultat",IF($AM$14&lt;$AM$15,$AI$14,$AI$15)),IF($Z$3+$AA$3=32,IF($AM$14=$AM$15,"résultat",IF($AM$14&lt;$AM$15,$AI$14,$AI$15)),IF($Z$3+$AA$3=31,IF(AM14=AM15,"résultat",IF(AM14&lt;AM15,AI14,AI15))))))))</f>
        <v>C4</v>
      </c>
      <c r="AE19" s="718"/>
      <c r="AF19" s="718"/>
      <c r="AG19" s="719"/>
      <c r="AH19" s="53">
        <v>1</v>
      </c>
      <c r="AJ19"/>
      <c r="AK19"/>
      <c r="AL19"/>
      <c r="AN19" s="122"/>
      <c r="AO19" s="39"/>
      <c r="AP19" s="39"/>
    </row>
    <row r="20" spans="1:43" ht="15.75" thickBot="1">
      <c r="A20" s="40"/>
      <c r="B20" s="113"/>
      <c r="C20" s="121"/>
      <c r="I20" s="201"/>
      <c r="J20" s="741" t="str">
        <f>IF(F3+G3=0,"0",IF($F$3+$G$3=43,IF(0&gt;0,0,0),(IF(F3+G3=42,IF($H$14=$H$15,"résultat",IF($H$14&gt;$H$15,$D$14,$D$15)),(IF($F$3+$G$3=32,IF($H$14=$H$15,"résultat",IF($H$14&gt;$H$15,$D$14,$D$15)),(IF($F$3+$G$3=31,IF($H$14=$H$15,"résultat",IF($SF$14&gt;$H$15,$D$15,$D$14))))))))))</f>
        <v>A3</v>
      </c>
      <c r="K20" s="742"/>
      <c r="L20" s="742"/>
      <c r="M20" s="743"/>
      <c r="N20" s="53">
        <v>1</v>
      </c>
      <c r="P20"/>
      <c r="Q20"/>
      <c r="R20"/>
      <c r="S20"/>
      <c r="T20" s="122"/>
      <c r="U20" s="40"/>
      <c r="V20" s="113"/>
      <c r="W20" s="121"/>
      <c r="AC20" s="201"/>
      <c r="AD20" s="741" t="str">
        <f>IF(F3+G3=0,"0",IF($Z$3+$AA$3=43,IF(0&gt;0,0,0),(IF($Z$3+$AA$3=42,IF(AB14=AB15,"résultat",IF($AB$14&gt;$AB$15,$X$14,$X$15)),(IF($Z$3+$AA$3=32,IF(AB14=AB15,"résultat",IF($AB$14&gt;$AB$15,$X$14,$X$15)),(IF($Z$3+$AA$3=31,IF(AB14=AB15,"résultat",IF($AB$14&gt;$AB$15,$X$14,$X$15))))))))))</f>
        <v>A4</v>
      </c>
      <c r="AE20" s="742"/>
      <c r="AF20" s="742"/>
      <c r="AG20" s="743"/>
      <c r="AH20" s="53">
        <v>0</v>
      </c>
      <c r="AJ20"/>
      <c r="AK20"/>
      <c r="AL20"/>
      <c r="AN20" s="122"/>
      <c r="AO20" s="39"/>
      <c r="AP20" s="39"/>
    </row>
    <row r="21" spans="1:43">
      <c r="A21" s="40"/>
      <c r="B21" s="113"/>
      <c r="C21" s="121"/>
      <c r="D21" s="121"/>
      <c r="E21" s="114"/>
      <c r="F21" s="184"/>
      <c r="G21" s="185"/>
      <c r="H21" s="185"/>
      <c r="I21" s="185"/>
      <c r="J21" s="114"/>
      <c r="K21" s="114"/>
      <c r="L21" s="121"/>
      <c r="M21" s="121"/>
      <c r="N21" s="121"/>
      <c r="O21" s="121"/>
      <c r="P21" s="121"/>
      <c r="Q21" s="121"/>
      <c r="R21" s="121"/>
      <c r="S21" s="121"/>
      <c r="T21" s="122"/>
      <c r="U21" s="40"/>
      <c r="V21" s="113"/>
      <c r="W21" s="121"/>
      <c r="X21" s="121"/>
      <c r="Y21" s="114"/>
      <c r="Z21" s="184"/>
      <c r="AA21" s="185"/>
      <c r="AB21" s="185"/>
      <c r="AC21" s="185"/>
      <c r="AD21" s="114"/>
      <c r="AE21" s="114"/>
      <c r="AF21" s="121"/>
      <c r="AG21" s="121"/>
      <c r="AH21" s="121"/>
      <c r="AI21" s="121"/>
      <c r="AJ21" s="121"/>
      <c r="AK21" s="39"/>
      <c r="AL21" s="39"/>
      <c r="AN21" s="122"/>
      <c r="AO21" s="39"/>
      <c r="AP21" s="39"/>
    </row>
    <row r="22" spans="1:43">
      <c r="A22" s="40"/>
      <c r="B22" s="113"/>
      <c r="C22" s="121"/>
      <c r="D22" s="121"/>
      <c r="E22" s="121"/>
      <c r="F22" s="121"/>
      <c r="G22" s="121"/>
      <c r="H22" s="121"/>
      <c r="I22" s="114"/>
      <c r="J22" s="184"/>
      <c r="K22" s="185"/>
      <c r="L22" s="185"/>
      <c r="M22" s="185"/>
      <c r="N22" s="114"/>
      <c r="O22" s="114"/>
      <c r="P22" s="121"/>
      <c r="Q22" s="121"/>
      <c r="R22" s="121"/>
      <c r="S22" s="121"/>
      <c r="T22" s="122"/>
      <c r="U22" s="40"/>
      <c r="V22" s="113"/>
      <c r="W22" s="121"/>
      <c r="X22" s="121"/>
      <c r="Y22" s="121"/>
      <c r="Z22" s="121"/>
      <c r="AA22" s="121"/>
      <c r="AB22" s="121"/>
      <c r="AC22" s="114"/>
      <c r="AD22" s="184"/>
      <c r="AE22" s="185"/>
      <c r="AF22" s="185"/>
      <c r="AG22" s="185"/>
      <c r="AH22" s="114"/>
      <c r="AI22" s="114"/>
      <c r="AJ22" s="121"/>
      <c r="AK22" s="121"/>
      <c r="AL22" s="121"/>
      <c r="AM22" s="121"/>
      <c r="AN22" s="122"/>
      <c r="AO22" s="39"/>
      <c r="AP22" s="39"/>
    </row>
    <row r="23" spans="1:43" ht="15.75" thickBot="1">
      <c r="A23" s="40"/>
      <c r="B23" s="113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2"/>
      <c r="U23" s="40"/>
      <c r="V23" s="113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2"/>
      <c r="AO23" s="39"/>
      <c r="AP23" s="39"/>
    </row>
    <row r="24" spans="1:43" ht="21.75" customHeight="1" thickBot="1">
      <c r="A24" s="40"/>
      <c r="B24" s="113"/>
      <c r="C24" s="182"/>
      <c r="D24" s="121"/>
      <c r="E24" s="121"/>
      <c r="F24" s="121"/>
      <c r="G24" s="121"/>
      <c r="H24" s="121"/>
      <c r="I24" s="121"/>
      <c r="J24" s="659" t="s">
        <v>59</v>
      </c>
      <c r="K24" s="660"/>
      <c r="L24" s="660"/>
      <c r="M24" s="661"/>
      <c r="N24" s="121"/>
      <c r="O24" s="121"/>
      <c r="P24" s="125"/>
      <c r="Q24" s="121"/>
      <c r="R24" s="121"/>
      <c r="S24" s="121"/>
      <c r="T24" s="122"/>
      <c r="U24" s="40"/>
      <c r="V24" s="113"/>
      <c r="W24" s="182"/>
      <c r="X24" s="121"/>
      <c r="Y24" s="121"/>
      <c r="Z24" s="121"/>
      <c r="AA24" s="121"/>
      <c r="AB24" s="121"/>
      <c r="AC24" s="121"/>
      <c r="AD24" s="659" t="s">
        <v>59</v>
      </c>
      <c r="AE24" s="660"/>
      <c r="AF24" s="660"/>
      <c r="AG24" s="661"/>
      <c r="AH24" s="121"/>
      <c r="AI24" s="121"/>
      <c r="AJ24" s="125"/>
      <c r="AK24" s="121"/>
      <c r="AL24" s="121"/>
      <c r="AM24" s="121"/>
      <c r="AN24" s="122"/>
    </row>
    <row r="25" spans="1:43">
      <c r="A25" s="40"/>
      <c r="B25" s="113"/>
      <c r="C25" s="182"/>
      <c r="D25" s="653" t="s">
        <v>0</v>
      </c>
      <c r="E25" s="654"/>
      <c r="F25" s="655"/>
      <c r="G25" s="121"/>
      <c r="H25" s="667" t="str">
        <f>IF(F3+G3=0,"0",IF($F$3+$G$3=43,IF($S$14=$S$15,"résultat",IF($S$14&gt;$S$15,$O$14,$O$15)),(IF($F$3+$G$3=42,IF($S$14=$S$15,"résultat",IF($S$14&gt;$S$15,$O$14,$O$15)),(IF($F$3+$G$3=32,IF($S$14=$S$15,"résultat",IF($S$14&gt;$S$15,$O$14,$O$15)),(IF($F$3+$G$3=31,IF($R$19=$R$20,"résultat",IF($R$19&gt;$R$20,#REF!,#REF!))))))))))</f>
        <v>B3</v>
      </c>
      <c r="I25" s="668"/>
      <c r="J25" s="668"/>
      <c r="K25" s="668"/>
      <c r="L25" s="668"/>
      <c r="M25" s="668"/>
      <c r="N25" s="669"/>
      <c r="O25" s="121"/>
      <c r="P25" s="121"/>
      <c r="Q25" s="121"/>
      <c r="R25" s="121"/>
      <c r="S25" s="121"/>
      <c r="T25" s="122"/>
      <c r="U25" s="40"/>
      <c r="V25" s="113"/>
      <c r="W25" s="182"/>
      <c r="X25" s="653" t="s">
        <v>0</v>
      </c>
      <c r="Y25" s="654"/>
      <c r="Z25" s="655"/>
      <c r="AA25" s="121"/>
      <c r="AB25" s="667" t="str">
        <f>IF(F3+G3=0,"0",IF($Z$3+$AA$3=43,IF($AM$14=$AM$15,"résultat",IF($AM$14&gt;$AM$15,$AI$14,$AI$15)),(IF($Z$3+$AA$3=42,IF($AM$14=$AM$15,"résultat",IF($AM$14&gt;$AM$15,$AI$14,$AI$15)),(IF($Z$3+$AA$3=32,IF($AM$14=$AM$15,"résultat",IF($AM$14&gt;$AM$15,$AI$14,$AI$15)),(IF($Z$3+$AA$3=31,IF($AL$19=$AL$20,"résultat",IF($AL$19&gt;$AL$20,#REF!,#REF!))))))))))</f>
        <v>B4</v>
      </c>
      <c r="AC25" s="668"/>
      <c r="AD25" s="668"/>
      <c r="AE25" s="668"/>
      <c r="AF25" s="668"/>
      <c r="AG25" s="668"/>
      <c r="AH25" s="669"/>
      <c r="AI25" s="121"/>
      <c r="AJ25" s="121"/>
      <c r="AK25"/>
      <c r="AL25" s="121"/>
      <c r="AM25" s="121"/>
      <c r="AN25" s="122"/>
    </row>
    <row r="26" spans="1:43">
      <c r="A26" s="40"/>
      <c r="B26" s="113"/>
      <c r="C26" s="182"/>
      <c r="D26" s="650" t="s">
        <v>1</v>
      </c>
      <c r="E26" s="651"/>
      <c r="F26" s="652"/>
      <c r="G26" s="121"/>
      <c r="H26" s="670" t="str">
        <f>IF(F3+G3=0,"0",IF($F$3+$G$3=43,IF($S$14=$S$15,"résultat",IF($S$14&lt;$S$15,$O$14,$O$15)),(IF($F$3+$G$3=42,IF($N$19=$N$20,"résultat",IF($N$19&gt;$N$20,$J$19,$J$20)),(IF($F$3+$G$3=32,IF($N$19=$N$20,"résultat",IF($N$19&gt;$N$20,$J$19,$J$20)),(IF($F$3+$G$3=31,IF($R$19=$R$20,"résultat",IF($R$19&lt;$R$20,#REF!,#REF!))))))))))</f>
        <v>A3</v>
      </c>
      <c r="I26" s="671"/>
      <c r="J26" s="671"/>
      <c r="K26" s="671"/>
      <c r="L26" s="671"/>
      <c r="M26" s="671"/>
      <c r="N26" s="672"/>
      <c r="O26" s="121"/>
      <c r="P26" s="128"/>
      <c r="Q26" s="128"/>
      <c r="R26" s="128"/>
      <c r="S26" s="128"/>
      <c r="T26" s="122"/>
      <c r="U26" s="40"/>
      <c r="V26" s="113"/>
      <c r="W26" s="182"/>
      <c r="X26" s="650" t="s">
        <v>1</v>
      </c>
      <c r="Y26" s="651"/>
      <c r="Z26" s="652"/>
      <c r="AA26" s="121"/>
      <c r="AB26" s="670" t="str">
        <f>IF(F3+G3=0,"0",IF($Z$3+$AA$3=43,IF($AM$14=$AM$15,"résultat",IF($AM$14&lt;$AM$15,$AI$14,$AI$15)),(IF($Z$3+$AA$3=42,IF($AH$19=$AH$20,"résultat",IF($AH$19&gt;$AH$20,$AD$19,$AD$20)),(IF($Z$3+$AA$3=32,IF($AH$19=$AH$20,"résultat",IF($AH$19&gt;$AH$20,$AD$19,$AD$20)),(IF($Z$3+$AA$3=31,IF($AL$19=$AL$20,"résultat",IF($AL$19&lt;$AL$20,#REF!,#REF!))))))))))</f>
        <v>C4</v>
      </c>
      <c r="AC26" s="671"/>
      <c r="AD26" s="671"/>
      <c r="AE26" s="671"/>
      <c r="AF26" s="671"/>
      <c r="AG26" s="671"/>
      <c r="AH26" s="672"/>
      <c r="AI26" s="121"/>
      <c r="AJ26" s="128"/>
      <c r="AK26" s="128"/>
      <c r="AL26" s="128"/>
      <c r="AM26" s="121"/>
      <c r="AN26" s="122"/>
    </row>
    <row r="27" spans="1:43">
      <c r="A27" s="40"/>
      <c r="B27" s="113"/>
      <c r="C27" s="182"/>
      <c r="D27" s="650" t="s">
        <v>2</v>
      </c>
      <c r="E27" s="651"/>
      <c r="F27" s="652"/>
      <c r="G27" s="121"/>
      <c r="H27" s="676" t="str">
        <f>IF(F3+G3=0,"0",IF($F$3+$G$3=43,IF($H$14=$H$15,"résultat",IF($H$14&gt;$H$15,$D$14,$D$15)),(IF($F$3+$G$3=42,IF($N$19=$N$20,"résultat",IF($N$19&lt;$N$20,$J$19,$J$20)),(IF($F$3+$G$3=32,IF($N$19=$N$20,"résultat",IF($N$19&lt;$N$20,$J$19,$J$20)),(IF($F$3+$G$3=31,IF(N19=N20,"résultat",IF(N19&lt;N20,J19,J20))))))))))</f>
        <v>C3</v>
      </c>
      <c r="I27" s="677"/>
      <c r="J27" s="677"/>
      <c r="K27" s="677"/>
      <c r="L27" s="677"/>
      <c r="M27" s="677"/>
      <c r="N27" s="678"/>
      <c r="O27" s="121"/>
      <c r="P27" s="121"/>
      <c r="Q27" s="121"/>
      <c r="R27" s="121"/>
      <c r="S27" s="121"/>
      <c r="T27" s="122"/>
      <c r="U27" s="40"/>
      <c r="V27" s="113"/>
      <c r="W27" s="182"/>
      <c r="X27" s="650" t="s">
        <v>2</v>
      </c>
      <c r="Y27" s="651"/>
      <c r="Z27" s="652"/>
      <c r="AA27" s="121"/>
      <c r="AB27" s="676" t="str">
        <f>IF(F3+G3=0,"0",IF($Z$3+$AA$3=43,IF($AB$14=$AB$15,"résultat",IF($AB$14&gt;$H$15,$X$14,$X$15)),(IF($Z$3+$AA$3=42,IF($AH$19=$AH$20,"résultat",IF($AH$19&lt;$AH$20,$AD$19,$AD$20)),(IF($Z$3+$AA$3=32,IF($AH$19=$AH$20,"résultat",IF($AH$19&lt;$AH$20,$AD$19,$AD$20)),(IF($Z$3+$AA$3=31,IF(AH19=AH20,"résultat",IF(AH19&lt;AH20,AD19,AD20))))))))))</f>
        <v>A4</v>
      </c>
      <c r="AC27" s="677"/>
      <c r="AD27" s="677"/>
      <c r="AE27" s="677"/>
      <c r="AF27" s="677"/>
      <c r="AG27" s="677"/>
      <c r="AH27" s="678"/>
      <c r="AI27" s="121"/>
      <c r="AJ27" s="121"/>
      <c r="AK27" s="121"/>
      <c r="AL27" s="121"/>
      <c r="AM27" s="121"/>
      <c r="AN27" s="122"/>
    </row>
    <row r="28" spans="1:43" ht="15.75" thickBot="1">
      <c r="A28" s="40"/>
      <c r="B28" s="113"/>
      <c r="C28" s="182"/>
      <c r="D28" s="682" t="s">
        <v>3</v>
      </c>
      <c r="E28" s="683"/>
      <c r="F28" s="684"/>
      <c r="G28" s="121"/>
      <c r="H28" s="685" t="str">
        <f>IF(F3+G3=0,"0",IF($F$3+$G$3=43,IF($H$14=$H$15,"résultat",IF($H$14&lt;$H$15,$D$14,$D$15)),(IF($F$3+$G$3=42,IF($H$14=$H$15,"résultat",IF($H$14&lt;$H$15,$D$14,$D$15)),(IF($F$3+$G$3=32,IF(0&gt;0,0,0),(IF($F$3+$G$3=31,IF(0&gt;0,0,0)))))))))</f>
        <v>D3</v>
      </c>
      <c r="I28" s="686"/>
      <c r="J28" s="686"/>
      <c r="K28" s="686"/>
      <c r="L28" s="686"/>
      <c r="M28" s="686"/>
      <c r="N28" s="687"/>
      <c r="O28" s="121"/>
      <c r="P28" s="121"/>
      <c r="Q28" s="121"/>
      <c r="R28" s="121"/>
      <c r="S28" s="121"/>
      <c r="T28" s="122"/>
      <c r="U28" s="40"/>
      <c r="V28" s="113"/>
      <c r="W28" s="182"/>
      <c r="X28" s="682" t="s">
        <v>3</v>
      </c>
      <c r="Y28" s="683"/>
      <c r="Z28" s="684"/>
      <c r="AA28" s="121"/>
      <c r="AB28" s="685" t="str">
        <f>IF(F3+G3=0,"0",IF($Z$3+$AA$3=43,IF($AB$14=$AB$15,"résultat",IF($AB$14&lt;$AB$15,$X$14,$X$15)),(IF($Z$3+$AA$3=42,IF($AB$14=$AB$15,"résultat",IF($AB$14&lt;$AB$15,$X$14,$X$15)),(IF($Z$3+$AA$3=32,IF(0&gt;0,0,0),(IF($Z$3+$AA$3=31,IF(0&gt;0,0,0)))))))))</f>
        <v>D4</v>
      </c>
      <c r="AC28" s="686"/>
      <c r="AD28" s="686"/>
      <c r="AE28" s="686"/>
      <c r="AF28" s="686"/>
      <c r="AG28" s="686"/>
      <c r="AH28" s="687"/>
      <c r="AI28" s="121"/>
      <c r="AJ28" s="121"/>
      <c r="AK28" s="121"/>
      <c r="AL28" s="121"/>
      <c r="AM28" s="121"/>
      <c r="AN28" s="122"/>
    </row>
    <row r="29" spans="1:43">
      <c r="A29" s="40"/>
      <c r="B29" s="113"/>
      <c r="C29" s="121"/>
      <c r="D29" s="47"/>
      <c r="E29" s="47"/>
      <c r="F29" s="47"/>
      <c r="G29" s="182"/>
      <c r="H29" s="176"/>
      <c r="I29" s="176"/>
      <c r="J29" s="47"/>
      <c r="K29" s="47"/>
      <c r="L29" s="47"/>
      <c r="M29" s="47"/>
      <c r="N29" s="47"/>
      <c r="O29" s="121"/>
      <c r="P29" s="121"/>
      <c r="Q29" s="121"/>
      <c r="R29" s="121"/>
      <c r="S29" s="121"/>
      <c r="T29" s="122"/>
      <c r="U29" s="40"/>
      <c r="V29" s="113"/>
      <c r="W29" s="121"/>
      <c r="X29" s="47"/>
      <c r="Y29" s="47"/>
      <c r="Z29" s="47"/>
      <c r="AA29" s="182"/>
      <c r="AB29" s="176"/>
      <c r="AC29" s="176"/>
      <c r="AD29" s="47"/>
      <c r="AE29" s="47"/>
      <c r="AF29" s="47"/>
      <c r="AG29" s="47"/>
      <c r="AH29" s="47"/>
      <c r="AI29" s="121"/>
      <c r="AJ29" s="121"/>
      <c r="AK29" s="121"/>
      <c r="AL29" s="121"/>
      <c r="AM29" s="121"/>
      <c r="AN29" s="122"/>
      <c r="AO29" s="39"/>
      <c r="AP29" s="39"/>
    </row>
    <row r="30" spans="1:43" ht="15.75" thickBot="1">
      <c r="A30" s="40"/>
      <c r="B30" s="123"/>
      <c r="C30" s="129"/>
      <c r="D30" s="74"/>
      <c r="E30" s="74"/>
      <c r="F30" s="74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30"/>
      <c r="U30" s="40"/>
      <c r="V30" s="123"/>
      <c r="W30" s="129"/>
      <c r="X30" s="74"/>
      <c r="Y30" s="74"/>
      <c r="Z30" s="74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30"/>
      <c r="AO30" s="39"/>
      <c r="AP30" s="39"/>
    </row>
    <row r="31" spans="1:43" ht="15.75" thickBot="1">
      <c r="D31" s="1"/>
      <c r="E31" s="1"/>
      <c r="F31" s="1"/>
      <c r="X31" s="1"/>
      <c r="Y31" s="1"/>
      <c r="Z31" s="1"/>
      <c r="AO31" s="2"/>
      <c r="AP31" s="2"/>
    </row>
    <row r="32" spans="1:43" ht="15.75" thickBot="1">
      <c r="B32" s="2"/>
      <c r="C32" s="2"/>
      <c r="D32"/>
      <c r="E32"/>
      <c r="F32"/>
      <c r="G32"/>
      <c r="H32" s="2"/>
      <c r="I32" s="2"/>
      <c r="J32" s="2"/>
      <c r="K32" s="2"/>
      <c r="L32" s="2"/>
      <c r="M32" s="721" t="s">
        <v>65</v>
      </c>
      <c r="N32" s="722"/>
      <c r="O32" s="723"/>
      <c r="P32" s="2"/>
      <c r="Q32" s="2"/>
      <c r="R32" s="2"/>
      <c r="S32" s="2"/>
      <c r="T32" s="2"/>
      <c r="V32" s="2"/>
      <c r="W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</sheetData>
  <sheetProtection password="CFC3" sheet="1" objects="1" scenarios="1" formatCells="0" formatColumns="0" formatRows="0" insertColumns="0" insertRows="0" insertHyperlinks="0" deleteColumns="0" deleteRows="0" sort="0"/>
  <mergeCells count="71">
    <mergeCell ref="D14:G14"/>
    <mergeCell ref="D15:G15"/>
    <mergeCell ref="J19:M19"/>
    <mergeCell ref="J20:M20"/>
    <mergeCell ref="AD19:AG19"/>
    <mergeCell ref="AD20:AG20"/>
    <mergeCell ref="AB25:AH25"/>
    <mergeCell ref="D25:F25"/>
    <mergeCell ref="H25:N25"/>
    <mergeCell ref="X25:Z25"/>
    <mergeCell ref="AD24:AG24"/>
    <mergeCell ref="O8:R8"/>
    <mergeCell ref="AH14:AH15"/>
    <mergeCell ref="AH8:AH9"/>
    <mergeCell ref="AI8:AL8"/>
    <mergeCell ref="X9:AA9"/>
    <mergeCell ref="AI9:AL9"/>
    <mergeCell ref="AI14:AL14"/>
    <mergeCell ref="AI15:AL15"/>
    <mergeCell ref="O14:R14"/>
    <mergeCell ref="O15:R15"/>
    <mergeCell ref="X14:AA14"/>
    <mergeCell ref="X15:AA15"/>
    <mergeCell ref="AH1:AM1"/>
    <mergeCell ref="I1:L1"/>
    <mergeCell ref="N1:S1"/>
    <mergeCell ref="AC1:AF1"/>
    <mergeCell ref="AN4:AN5"/>
    <mergeCell ref="C4:S4"/>
    <mergeCell ref="W4:AM4"/>
    <mergeCell ref="V2:X2"/>
    <mergeCell ref="Z2:AA2"/>
    <mergeCell ref="AC2:AE2"/>
    <mergeCell ref="AF2:AN2"/>
    <mergeCell ref="B2:D2"/>
    <mergeCell ref="F2:G2"/>
    <mergeCell ref="T4:T5"/>
    <mergeCell ref="I2:K2"/>
    <mergeCell ref="L2:T2"/>
    <mergeCell ref="M32:O32"/>
    <mergeCell ref="B1:D1"/>
    <mergeCell ref="E1:G1"/>
    <mergeCell ref="V1:X1"/>
    <mergeCell ref="Y1:AA1"/>
    <mergeCell ref="W8:W9"/>
    <mergeCell ref="X8:AA8"/>
    <mergeCell ref="J24:M24"/>
    <mergeCell ref="C8:C9"/>
    <mergeCell ref="N8:N9"/>
    <mergeCell ref="D9:G9"/>
    <mergeCell ref="O9:R9"/>
    <mergeCell ref="D8:G8"/>
    <mergeCell ref="C14:C15"/>
    <mergeCell ref="N14:N15"/>
    <mergeCell ref="W14:W15"/>
    <mergeCell ref="E13:F13"/>
    <mergeCell ref="P13:Q13"/>
    <mergeCell ref="AJ13:AK13"/>
    <mergeCell ref="Y13:Z13"/>
    <mergeCell ref="AB28:AH28"/>
    <mergeCell ref="D28:F28"/>
    <mergeCell ref="H28:N28"/>
    <mergeCell ref="X28:Z28"/>
    <mergeCell ref="D27:F27"/>
    <mergeCell ref="H27:N27"/>
    <mergeCell ref="D26:F26"/>
    <mergeCell ref="H26:N26"/>
    <mergeCell ref="X26:Z26"/>
    <mergeCell ref="AB26:AH26"/>
    <mergeCell ref="X27:Z27"/>
    <mergeCell ref="AB27:AH27"/>
  </mergeCells>
  <conditionalFormatting sqref="AA28 G28">
    <cfRule type="expression" dxfId="486" priority="327">
      <formula>$H$2=5</formula>
    </cfRule>
  </conditionalFormatting>
  <conditionalFormatting sqref="AA25:AG25 G25:M25">
    <cfRule type="expression" dxfId="485" priority="231">
      <formula>$AB$2=5</formula>
    </cfRule>
    <cfRule type="expression" dxfId="484" priority="232">
      <formula>$AB$2=4</formula>
    </cfRule>
    <cfRule type="expression" dxfId="483" priority="233">
      <formula>$AB$2=3</formula>
    </cfRule>
    <cfRule type="expression" dxfId="482" priority="234">
      <formula>$AB$2=2</formula>
    </cfRule>
    <cfRule type="expression" dxfId="481" priority="235">
      <formula>$AB$2=0</formula>
    </cfRule>
  </conditionalFormatting>
  <conditionalFormatting sqref="AA26:AG26 G26:M26">
    <cfRule type="expression" dxfId="480" priority="226">
      <formula>$AB$2=0</formula>
    </cfRule>
    <cfRule type="expression" dxfId="479" priority="227">
      <formula>$AB$2=5</formula>
    </cfRule>
    <cfRule type="expression" dxfId="478" priority="228">
      <formula>$AB$2=4</formula>
    </cfRule>
    <cfRule type="expression" dxfId="477" priority="229">
      <formula>$AB$2=3</formula>
    </cfRule>
    <cfRule type="expression" dxfId="476" priority="230">
      <formula>$AB$2=2</formula>
    </cfRule>
  </conditionalFormatting>
  <conditionalFormatting sqref="AA27:AG27">
    <cfRule type="expression" dxfId="475" priority="238">
      <formula>$AB$2=0</formula>
    </cfRule>
    <cfRule type="expression" dxfId="474" priority="239">
      <formula>$AB$2=5</formula>
    </cfRule>
    <cfRule type="expression" dxfId="473" priority="240">
      <formula>$AB$2=4</formula>
    </cfRule>
    <cfRule type="expression" dxfId="472" priority="241">
      <formula>$AB$2=3</formula>
    </cfRule>
  </conditionalFormatting>
  <conditionalFormatting sqref="AA28:AG28">
    <cfRule type="expression" dxfId="471" priority="236">
      <formula>$H$2=0</formula>
    </cfRule>
    <cfRule type="expression" dxfId="470" priority="237">
      <formula>$H$2=4</formula>
    </cfRule>
  </conditionalFormatting>
  <conditionalFormatting sqref="G27:H27">
    <cfRule type="expression" dxfId="469" priority="211">
      <formula>$H$2=0</formula>
    </cfRule>
    <cfRule type="expression" dxfId="468" priority="212">
      <formula>$H$2=5</formula>
    </cfRule>
    <cfRule type="expression" dxfId="467" priority="213">
      <formula>$H$2=4</formula>
    </cfRule>
    <cfRule type="expression" dxfId="466" priority="214">
      <formula>$H$2=3</formula>
    </cfRule>
  </conditionalFormatting>
  <conditionalFormatting sqref="G28:M28">
    <cfRule type="expression" dxfId="465" priority="210">
      <formula>$H$2=4</formula>
    </cfRule>
  </conditionalFormatting>
  <conditionalFormatting sqref="AB25">
    <cfRule type="expression" dxfId="464" priority="182">
      <formula>$AB$2=2</formula>
    </cfRule>
    <cfRule type="expression" dxfId="463" priority="183">
      <formula>$AB$2=5</formula>
    </cfRule>
    <cfRule type="expression" dxfId="462" priority="184">
      <formula>$AB$2=4</formula>
    </cfRule>
    <cfRule type="expression" dxfId="461" priority="185">
      <formula>$AB$2=3</formula>
    </cfRule>
    <cfRule type="expression" dxfId="460" priority="186">
      <formula>$H$2=0</formula>
    </cfRule>
  </conditionalFormatting>
  <conditionalFormatting sqref="AB27:AH27">
    <cfRule type="expression" dxfId="459" priority="173">
      <formula>$AB$2=0</formula>
    </cfRule>
    <cfRule type="expression" dxfId="458" priority="174">
      <formula>$AB$2=5</formula>
    </cfRule>
    <cfRule type="expression" dxfId="457" priority="175">
      <formula>$AB$2=4</formula>
    </cfRule>
    <cfRule type="expression" dxfId="456" priority="176">
      <formula>$AB$2=3</formula>
    </cfRule>
  </conditionalFormatting>
  <conditionalFormatting sqref="AB28:AH28">
    <cfRule type="expression" dxfId="455" priority="170">
      <formula>$AB$2=5</formula>
    </cfRule>
    <cfRule type="expression" dxfId="454" priority="171">
      <formula>$AB$2=0</formula>
    </cfRule>
    <cfRule type="expression" dxfId="453" priority="172">
      <formula>$AB$2=4</formula>
    </cfRule>
  </conditionalFormatting>
  <conditionalFormatting sqref="AB28 H28">
    <cfRule type="expression" dxfId="452" priority="167">
      <formula>$H$2=5</formula>
    </cfRule>
    <cfRule type="expression" dxfId="451" priority="168">
      <formula>$H$2=4</formula>
    </cfRule>
    <cfRule type="expression" dxfId="450" priority="169">
      <formula>$H$2=0</formula>
    </cfRule>
  </conditionalFormatting>
  <conditionalFormatting sqref="AB25:AH25">
    <cfRule type="expression" dxfId="449" priority="166">
      <formula>$AB$2=1</formula>
    </cfRule>
  </conditionalFormatting>
  <conditionalFormatting sqref="H25:N25">
    <cfRule type="expression" dxfId="448" priority="164">
      <formula>$H$2=0</formula>
    </cfRule>
    <cfRule type="expression" dxfId="447" priority="165" stopIfTrue="1">
      <formula>(OR(H2="1",H2="2",H2="3"))</formula>
    </cfRule>
  </conditionalFormatting>
  <conditionalFormatting sqref="H26:N26">
    <cfRule type="expression" dxfId="446" priority="163">
      <formula>(OR(H2="2",H2="3"))</formula>
    </cfRule>
  </conditionalFormatting>
  <conditionalFormatting sqref="H27">
    <cfRule type="expression" dxfId="445" priority="162">
      <formula>(H2="3")</formula>
    </cfRule>
  </conditionalFormatting>
  <conditionalFormatting sqref="AB25:AH25">
    <cfRule type="expression" dxfId="444" priority="149">
      <formula>$H$2=0</formula>
    </cfRule>
    <cfRule type="expression" dxfId="443" priority="150" stopIfTrue="1">
      <formula>(OR(AB2="1",AB2="2",AB2="3"))</formula>
    </cfRule>
  </conditionalFormatting>
  <conditionalFormatting sqref="AB26:AH26">
    <cfRule type="expression" dxfId="442" priority="148">
      <formula>(OR(AB2="2",AB2="3"))</formula>
    </cfRule>
  </conditionalFormatting>
  <conditionalFormatting sqref="AB27:AH27">
    <cfRule type="expression" dxfId="441" priority="147">
      <formula>(AB2="3")</formula>
    </cfRule>
  </conditionalFormatting>
  <conditionalFormatting sqref="AB28:AH28">
    <cfRule type="cellIs" dxfId="440" priority="108" operator="equal">
      <formula>0</formula>
    </cfRule>
    <cfRule type="expression" dxfId="439" priority="109">
      <formula>$AB$2=5</formula>
    </cfRule>
    <cfRule type="expression" dxfId="438" priority="110">
      <formula>$AB$2=0</formula>
    </cfRule>
    <cfRule type="expression" dxfId="437" priority="111">
      <formula>$AB$2=4</formula>
    </cfRule>
  </conditionalFormatting>
  <conditionalFormatting sqref="AB28 H28">
    <cfRule type="expression" dxfId="436" priority="107">
      <formula>$H$2=0</formula>
    </cfRule>
  </conditionalFormatting>
  <conditionalFormatting sqref="H25:N25">
    <cfRule type="expression" dxfId="435" priority="104">
      <formula>$H$2=0</formula>
    </cfRule>
    <cfRule type="expression" dxfId="434" priority="105" stopIfTrue="1">
      <formula>(OR(H2="1",H2="2",H2="3"))</formula>
    </cfRule>
  </conditionalFormatting>
  <conditionalFormatting sqref="H26:N26">
    <cfRule type="expression" dxfId="433" priority="103">
      <formula>(OR(H2="2",H2="3"))</formula>
    </cfRule>
  </conditionalFormatting>
  <conditionalFormatting sqref="H27">
    <cfRule type="cellIs" dxfId="432" priority="101" operator="equal">
      <formula>0</formula>
    </cfRule>
    <cfRule type="expression" dxfId="431" priority="102">
      <formula>(H2="3")</formula>
    </cfRule>
  </conditionalFormatting>
  <conditionalFormatting sqref="AB25:AH25">
    <cfRule type="expression" dxfId="430" priority="99">
      <formula>$H$2=0</formula>
    </cfRule>
    <cfRule type="expression" dxfId="429" priority="100" stopIfTrue="1">
      <formula>(OR(AB2="1",AB2="2",AB2="3"))</formula>
    </cfRule>
  </conditionalFormatting>
  <conditionalFormatting sqref="AB26:AH26">
    <cfRule type="expression" dxfId="428" priority="98">
      <formula>(OR(AB2="2",AB2="3"))</formula>
    </cfRule>
  </conditionalFormatting>
  <conditionalFormatting sqref="AB27">
    <cfRule type="expression" dxfId="427" priority="97">
      <formula>(AB2="3")</formula>
    </cfRule>
  </conditionalFormatting>
  <conditionalFormatting sqref="AI9">
    <cfRule type="cellIs" dxfId="426" priority="19" operator="equal">
      <formula>$E$2=0</formula>
    </cfRule>
  </conditionalFormatting>
  <conditionalFormatting sqref="H28:N28">
    <cfRule type="cellIs" dxfId="425" priority="5" operator="equal">
      <formula>0</formula>
    </cfRule>
  </conditionalFormatting>
  <conditionalFormatting sqref="D15:G15">
    <cfRule type="containsText" dxfId="424" priority="4" operator="containsText" text="OFFICE">
      <formula>NOT(ISERROR(SEARCH("OFFICE",D15)))</formula>
    </cfRule>
  </conditionalFormatting>
  <conditionalFormatting sqref="O9:R9">
    <cfRule type="containsText" dxfId="423" priority="3" operator="containsText" text="OFFICE">
      <formula>NOT(ISERROR(SEARCH("OFFICE",O9)))</formula>
    </cfRule>
  </conditionalFormatting>
  <conditionalFormatting sqref="AI9:AL9">
    <cfRule type="containsText" dxfId="422" priority="2" operator="containsText" text="OFFICE">
      <formula>NOT(ISERROR(SEARCH("OFFICE",AI9)))</formula>
    </cfRule>
  </conditionalFormatting>
  <conditionalFormatting sqref="X15:AA15">
    <cfRule type="containsText" dxfId="421" priority="1" operator="containsText" text="OFFICE">
      <formula>NOT(ISERROR(SEARCH("OFFICE",X15)))</formula>
    </cfRule>
  </conditionalFormatting>
  <pageMargins left="0.23622047244094491" right="0.23622047244094491" top="0.74803149606299213" bottom="0.19685039370078741" header="0.31496062992125984" footer="0.31496062992125984"/>
  <pageSetup paperSize="9" scale="55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>
    <tabColor rgb="FF66FF33"/>
    <pageSetUpPr fitToPage="1"/>
  </sheetPr>
  <dimension ref="A1:AR40"/>
  <sheetViews>
    <sheetView zoomScale="70" zoomScaleNormal="70" workbookViewId="0">
      <selection activeCell="AM29" sqref="AM29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6" customWidth="1"/>
    <col min="21" max="21" width="7.85546875" customWidth="1"/>
    <col min="22" max="22" width="5.140625" customWidth="1"/>
    <col min="23" max="23" width="6.42578125" customWidth="1"/>
    <col min="24" max="24" width="8.425781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7.710937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2" max="42" width="8" customWidth="1"/>
    <col min="43" max="43" width="7.28515625" customWidth="1"/>
    <col min="44" max="44" width="7.85546875" customWidth="1"/>
  </cols>
  <sheetData>
    <row r="1" spans="1:44" ht="19.5" customHeight="1" thickBot="1">
      <c r="A1" s="1"/>
      <c r="B1" s="747" t="s">
        <v>54</v>
      </c>
      <c r="C1" s="736"/>
      <c r="D1" s="736"/>
      <c r="E1" s="736" t="str">
        <f>Rens.!J2</f>
        <v>ST PERAY</v>
      </c>
      <c r="F1" s="736"/>
      <c r="G1" s="736"/>
      <c r="H1" s="14">
        <f ca="1">Rens.!$D$4</f>
        <v>2020</v>
      </c>
      <c r="I1" s="736" t="str">
        <f>Rens.!$J$4</f>
        <v xml:space="preserve"> Quadrettes</v>
      </c>
      <c r="J1" s="736"/>
      <c r="K1" s="736"/>
      <c r="L1" s="736"/>
      <c r="M1" s="15" t="str">
        <f>Rens.!$E$6</f>
        <v>4 Div.</v>
      </c>
      <c r="N1" s="747" t="s">
        <v>25</v>
      </c>
      <c r="O1" s="736"/>
      <c r="P1" s="736"/>
      <c r="Q1" s="736"/>
      <c r="R1" s="736"/>
      <c r="S1" s="754"/>
      <c r="T1" s="4">
        <f>Rens.!$A$9</f>
        <v>0</v>
      </c>
      <c r="W1" s="1"/>
      <c r="X1" s="747" t="s">
        <v>54</v>
      </c>
      <c r="Y1" s="736"/>
      <c r="Z1" s="736"/>
      <c r="AA1" s="736" t="str">
        <f>Rens.!J2</f>
        <v>ST PERAY</v>
      </c>
      <c r="AB1" s="736"/>
      <c r="AC1" s="736"/>
      <c r="AD1" s="14">
        <f ca="1">Rens.!$D$4</f>
        <v>2020</v>
      </c>
      <c r="AE1" s="736" t="str">
        <f>Rens.!$J$4</f>
        <v xml:space="preserve"> Quadrettes</v>
      </c>
      <c r="AF1" s="736"/>
      <c r="AG1" s="736"/>
      <c r="AH1" s="736"/>
      <c r="AI1" s="15" t="str">
        <f>Rens.!$E$6</f>
        <v>4 Div.</v>
      </c>
      <c r="AJ1" s="747" t="s">
        <v>25</v>
      </c>
      <c r="AK1" s="736"/>
      <c r="AL1" s="736"/>
      <c r="AM1" s="736"/>
      <c r="AN1" s="736"/>
      <c r="AO1" s="754"/>
      <c r="AP1" s="5">
        <f>Rens.!$A$9</f>
        <v>0</v>
      </c>
      <c r="AQ1" s="3"/>
    </row>
    <row r="2" spans="1:44" ht="20.25" customHeight="1" thickBot="1">
      <c r="A2" s="1"/>
      <c r="B2" s="747" t="s">
        <v>28</v>
      </c>
      <c r="C2" s="736"/>
      <c r="D2" s="736"/>
      <c r="E2" s="16">
        <f>Rens.!I18</f>
        <v>0</v>
      </c>
      <c r="F2" s="736" t="s">
        <v>19</v>
      </c>
      <c r="G2" s="736"/>
      <c r="H2" s="7">
        <f>Rens.!I19</f>
        <v>0</v>
      </c>
      <c r="I2" s="736" t="s">
        <v>20</v>
      </c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54"/>
      <c r="W2" s="1"/>
      <c r="X2" s="747" t="s">
        <v>29</v>
      </c>
      <c r="Y2" s="736"/>
      <c r="Z2" s="736"/>
      <c r="AA2" s="13">
        <f>Rens.!J18</f>
        <v>0</v>
      </c>
      <c r="AB2" s="736" t="s">
        <v>19</v>
      </c>
      <c r="AC2" s="736"/>
      <c r="AD2" s="7">
        <f>Rens.!J19</f>
        <v>0</v>
      </c>
      <c r="AE2" s="736" t="s">
        <v>20</v>
      </c>
      <c r="AF2" s="736"/>
      <c r="AG2" s="736"/>
      <c r="AH2" s="736"/>
      <c r="AI2" s="736"/>
      <c r="AJ2" s="736"/>
      <c r="AK2" s="736"/>
      <c r="AL2" s="736"/>
      <c r="AM2" s="736"/>
      <c r="AN2" s="736"/>
      <c r="AO2" s="736"/>
      <c r="AP2" s="754"/>
      <c r="AQ2" s="3"/>
    </row>
    <row r="3" spans="1:44" ht="15.75" customHeight="1" thickBot="1">
      <c r="A3" s="36"/>
      <c r="B3" s="43"/>
      <c r="C3" s="44"/>
      <c r="D3" s="44"/>
      <c r="E3" s="44"/>
      <c r="F3" s="76" t="str">
        <f>CONCATENATE(E2,H2)</f>
        <v>00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  <c r="U3" s="44"/>
      <c r="V3" s="44"/>
      <c r="W3" s="36"/>
      <c r="X3" s="43"/>
      <c r="Y3" s="44"/>
      <c r="Z3" s="44"/>
      <c r="AA3" s="37"/>
      <c r="AB3" s="77" t="str">
        <f>CONCATENATE(AA2,AD2)</f>
        <v>00</v>
      </c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/>
      <c r="AQ3" s="38"/>
      <c r="AR3" s="38"/>
    </row>
    <row r="4" spans="1:44" ht="15.75" thickBot="1">
      <c r="A4" s="36"/>
      <c r="B4" s="43"/>
      <c r="C4" s="751" t="s">
        <v>67</v>
      </c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752"/>
      <c r="Q4" s="752"/>
      <c r="R4" s="752"/>
      <c r="S4" s="753"/>
      <c r="T4" s="755"/>
      <c r="U4" s="46"/>
      <c r="V4" s="46"/>
      <c r="W4" s="36"/>
      <c r="X4" s="43"/>
      <c r="Y4" s="751" t="s">
        <v>67</v>
      </c>
      <c r="Z4" s="752"/>
      <c r="AA4" s="752"/>
      <c r="AB4" s="752"/>
      <c r="AC4" s="752"/>
      <c r="AD4" s="752"/>
      <c r="AE4" s="752"/>
      <c r="AF4" s="752"/>
      <c r="AG4" s="752"/>
      <c r="AH4" s="752"/>
      <c r="AI4" s="752"/>
      <c r="AJ4" s="752"/>
      <c r="AK4" s="752"/>
      <c r="AL4" s="752"/>
      <c r="AM4" s="752"/>
      <c r="AN4" s="752"/>
      <c r="AO4" s="753"/>
      <c r="AP4" s="755"/>
      <c r="AQ4" s="38"/>
      <c r="AR4" s="38"/>
    </row>
    <row r="5" spans="1:44">
      <c r="A5" s="36"/>
      <c r="B5" s="43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755"/>
      <c r="U5" s="46"/>
      <c r="V5" s="46"/>
      <c r="W5" s="36"/>
      <c r="X5" s="43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755"/>
      <c r="AQ5" s="38"/>
      <c r="AR5" s="38"/>
    </row>
    <row r="6" spans="1:44" ht="15.75" thickBot="1">
      <c r="A6" s="36"/>
      <c r="B6" s="43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  <c r="S6" s="44"/>
      <c r="T6" s="45"/>
      <c r="U6" s="44"/>
      <c r="V6" s="44"/>
      <c r="W6" s="36"/>
      <c r="X6" s="43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8"/>
      <c r="AO6" s="44"/>
      <c r="AP6" s="45"/>
      <c r="AQ6" s="38"/>
      <c r="AR6" s="38"/>
    </row>
    <row r="7" spans="1:44" ht="15.75" thickBot="1">
      <c r="A7" s="36"/>
      <c r="B7" s="49" t="s">
        <v>6</v>
      </c>
      <c r="C7" s="50" t="s">
        <v>14</v>
      </c>
      <c r="D7" s="37"/>
      <c r="E7" s="47"/>
      <c r="F7" s="47"/>
      <c r="G7" s="44" t="s">
        <v>5</v>
      </c>
      <c r="H7" s="44"/>
      <c r="I7" s="44" t="s">
        <v>6</v>
      </c>
      <c r="J7" s="50" t="str">
        <f>IF(E2=2,"","C")</f>
        <v>C</v>
      </c>
      <c r="K7" s="37"/>
      <c r="L7" s="47"/>
      <c r="M7" s="47"/>
      <c r="N7" s="44" t="s">
        <v>5</v>
      </c>
      <c r="O7" s="44"/>
      <c r="P7" s="44"/>
      <c r="Q7" s="50" t="s">
        <v>45</v>
      </c>
      <c r="R7" s="47"/>
      <c r="S7" s="47" t="s">
        <v>62</v>
      </c>
      <c r="T7" s="51"/>
      <c r="U7" s="47"/>
      <c r="V7" s="47"/>
      <c r="W7" s="36"/>
      <c r="X7" s="49" t="s">
        <v>6</v>
      </c>
      <c r="Y7" s="50" t="s">
        <v>14</v>
      </c>
      <c r="Z7" s="37"/>
      <c r="AA7" s="47"/>
      <c r="AB7" s="47"/>
      <c r="AC7" s="44" t="s">
        <v>5</v>
      </c>
      <c r="AD7" s="44"/>
      <c r="AE7" s="44" t="s">
        <v>6</v>
      </c>
      <c r="AF7" s="50" t="str">
        <f>IF(AA2=2,"","C")</f>
        <v>C</v>
      </c>
      <c r="AG7" s="37"/>
      <c r="AH7" s="47"/>
      <c r="AI7" s="47"/>
      <c r="AJ7" s="44" t="s">
        <v>5</v>
      </c>
      <c r="AK7" s="44"/>
      <c r="AL7" s="44"/>
      <c r="AM7" s="50" t="s">
        <v>45</v>
      </c>
      <c r="AN7" s="47"/>
      <c r="AO7" s="47" t="s">
        <v>62</v>
      </c>
      <c r="AP7" s="51"/>
      <c r="AQ7" s="38"/>
      <c r="AR7" s="38"/>
    </row>
    <row r="8" spans="1:44" ht="15.75" thickBot="1">
      <c r="A8" s="52">
        <v>21</v>
      </c>
      <c r="B8" s="662"/>
      <c r="C8" s="664" t="str">
        <f>IF(ISNA(MATCH($A$8,Rens.!$Z$6:$Z$82,0)),"",INDEX(Rens.!$X$6:$X$82,MATCH($A$8,Rens.!$Z$6:$Z$82,0)))</f>
        <v/>
      </c>
      <c r="D8" s="692"/>
      <c r="E8" s="692"/>
      <c r="F8" s="693"/>
      <c r="G8" s="53">
        <v>1</v>
      </c>
      <c r="H8" s="54">
        <v>23</v>
      </c>
      <c r="I8" s="662"/>
      <c r="J8" s="756" t="str">
        <f>IF(ISNA(MATCH($H$8,Rens.!$Z$6:$Z$82,0)),"",INDEX(Rens.!$X$6:$X$82,MATCH($H$8,Rens.!$Z$6:$Z$82,0)))</f>
        <v/>
      </c>
      <c r="K8" s="757"/>
      <c r="L8" s="757"/>
      <c r="M8" s="758"/>
      <c r="N8" s="53">
        <v>1</v>
      </c>
      <c r="O8" s="44"/>
      <c r="P8" s="47">
        <v>25</v>
      </c>
      <c r="Q8" s="759" t="str">
        <f>IF(E2+E3=4,0,IF(E2+E3=3,0,IF(ISNA(MATCH($P$8,Rens.!$Z$6:$Z$82,0)),"",INDEX(Rens.!$X$6:$X$82,MATCH($P$8,Rens.!$Z$6:$Z$82,0)))))</f>
        <v/>
      </c>
      <c r="R8" s="760"/>
      <c r="S8" s="761"/>
      <c r="T8" s="55"/>
      <c r="U8" s="47"/>
      <c r="V8" s="47"/>
      <c r="W8" s="36">
        <v>26</v>
      </c>
      <c r="X8" s="662"/>
      <c r="Y8" s="664" t="str">
        <f>IF(ISNA(MATCH($W$8,Rens.!$Z$6:$Z$82,0)),"",INDEX(Rens.!$X$6:$X$82,MATCH($W$8,Rens.!$Z$6:$Z$82,0)))</f>
        <v/>
      </c>
      <c r="Z8" s="692"/>
      <c r="AA8" s="692"/>
      <c r="AB8" s="693"/>
      <c r="AC8" s="53">
        <v>1</v>
      </c>
      <c r="AD8" s="54">
        <v>28</v>
      </c>
      <c r="AE8" s="662"/>
      <c r="AF8" s="664" t="str">
        <f>IF(ISNA(MATCH($AD$8,Rens.!$Z$6:$Z$82,0)),"",INDEX(Rens.!$X$6:$X$82,MATCH($AD$8,Rens.!$Z$6:$Z$82,0)))</f>
        <v/>
      </c>
      <c r="AG8" s="692"/>
      <c r="AH8" s="692"/>
      <c r="AI8" s="693"/>
      <c r="AJ8" s="53">
        <v>1</v>
      </c>
      <c r="AK8" s="44"/>
      <c r="AL8" s="47">
        <v>30</v>
      </c>
      <c r="AM8" s="759" t="str">
        <f>IF($AA$2+$AA$3=4,0,IF($AA$2+$AA$3=3,0,IF(ISNA(MATCH($AL$8,Rens.!$Z$6:$Z$82,0)),"",INDEX(Rens.!$X$6:$X$82,MATCH($AL$8,Rens.!$Z$6:$Z$82,0)))))</f>
        <v/>
      </c>
      <c r="AN8" s="760"/>
      <c r="AO8" s="761"/>
      <c r="AP8" s="55"/>
      <c r="AQ8" s="38"/>
      <c r="AR8" s="38"/>
    </row>
    <row r="9" spans="1:44" ht="15.75" thickBot="1">
      <c r="A9" s="52">
        <v>22</v>
      </c>
      <c r="B9" s="663"/>
      <c r="C9" s="694" t="str">
        <f>IF(ISNA(MATCH($A$9,Rens.!$Z$6:$Z$82,0)),"",INDEX(Rens.!$X$6:$X$82,MATCH($A$9,Rens.!$Z$6:$Z$82,0)))</f>
        <v/>
      </c>
      <c r="D9" s="695"/>
      <c r="E9" s="695"/>
      <c r="F9" s="696"/>
      <c r="G9" s="80">
        <v>0</v>
      </c>
      <c r="H9" s="54">
        <v>24</v>
      </c>
      <c r="I9" s="663"/>
      <c r="J9" s="694" t="str">
        <f>IF(ISNA(MATCH($H$9,Rens.!$Z$6:$Z$82,0)),"0ffice",INDEX(Rens.!$X$6:$X$82,MATCH($H$9,Rens.!$Z$6:$Z$82,0)))</f>
        <v>0ffice</v>
      </c>
      <c r="K9" s="695"/>
      <c r="L9" s="695"/>
      <c r="M9" s="696"/>
      <c r="N9" s="53">
        <v>0</v>
      </c>
      <c r="O9" s="44"/>
      <c r="P9" s="47"/>
      <c r="Q9" s="56" t="e">
        <f>IF(ISNA(MATCH($P$8,#REF!,0)),"",INDEX(#REF!,MATCH($P$8,#REF!,0)))</f>
        <v>#REF!</v>
      </c>
      <c r="R9" s="47"/>
      <c r="S9" s="47"/>
      <c r="T9" s="51"/>
      <c r="U9" s="47"/>
      <c r="V9" s="47"/>
      <c r="W9" s="36">
        <v>27</v>
      </c>
      <c r="X9" s="663"/>
      <c r="Y9" s="694" t="str">
        <f>IF(ISNA(MATCH($W$9,Rens.!$Z$6:$Z$82,0)),"",INDEX(Rens.!$X$6:$X$82,MATCH($W$9,Rens.!$Z$6:$Z$82,0)))</f>
        <v/>
      </c>
      <c r="Z9" s="695"/>
      <c r="AA9" s="695"/>
      <c r="AB9" s="696"/>
      <c r="AC9" s="81">
        <v>0</v>
      </c>
      <c r="AD9" s="54">
        <v>29</v>
      </c>
      <c r="AE9" s="663"/>
      <c r="AF9" s="694" t="str">
        <f>IF(ISNA(MATCH($AD$9,Rens.!$Z$6:$Z$82,0)),"",INDEX(Rens.!$X$6:$X$82,MATCH($AD$9,Rens.!$Z$6:$Z$82,0)))</f>
        <v/>
      </c>
      <c r="AG9" s="695"/>
      <c r="AH9" s="695"/>
      <c r="AI9" s="696"/>
      <c r="AJ9" s="53">
        <v>0</v>
      </c>
      <c r="AK9" s="44"/>
      <c r="AL9" s="47"/>
      <c r="AM9" s="56" t="e">
        <f>IF(ISNA(MATCH($AL$8,#REF!,0)),"",INDEX(#REF!,MATCH($AL$8,#REF!,0)))</f>
        <v>#REF!</v>
      </c>
      <c r="AN9" s="47"/>
      <c r="AO9" s="47"/>
      <c r="AP9" s="51"/>
      <c r="AQ9" s="38"/>
      <c r="AR9" s="38"/>
    </row>
    <row r="10" spans="1:44" ht="15.75" thickBot="1">
      <c r="A10" s="36"/>
      <c r="B10" s="43"/>
      <c r="C10" s="93" t="s">
        <v>15</v>
      </c>
      <c r="D10" s="37"/>
      <c r="E10" s="47"/>
      <c r="F10" s="47"/>
      <c r="G10" s="47"/>
      <c r="H10" s="47"/>
      <c r="I10" s="47"/>
      <c r="J10" s="50" t="s">
        <v>44</v>
      </c>
      <c r="K10" s="37"/>
      <c r="L10" s="47"/>
      <c r="M10" s="47"/>
      <c r="N10" s="47"/>
      <c r="O10" s="47"/>
      <c r="P10" s="47"/>
      <c r="Q10" s="47"/>
      <c r="R10" s="47"/>
      <c r="S10" s="47"/>
      <c r="T10" s="51"/>
      <c r="U10" s="47"/>
      <c r="V10" s="47"/>
      <c r="W10" s="36"/>
      <c r="X10" s="43"/>
      <c r="Y10" s="93" t="s">
        <v>15</v>
      </c>
      <c r="Z10" s="37"/>
      <c r="AA10" s="47"/>
      <c r="AB10" s="47"/>
      <c r="AC10" s="47"/>
      <c r="AD10" s="47"/>
      <c r="AE10" s="47"/>
      <c r="AF10" s="50" t="s">
        <v>44</v>
      </c>
      <c r="AG10" s="37"/>
      <c r="AH10" s="47"/>
      <c r="AI10" s="47"/>
      <c r="AJ10" s="47"/>
      <c r="AK10" s="47"/>
      <c r="AL10" s="47"/>
      <c r="AM10" s="47"/>
      <c r="AN10" s="47"/>
      <c r="AO10" s="47"/>
      <c r="AP10" s="51"/>
      <c r="AQ10" s="38"/>
      <c r="AR10" s="38"/>
    </row>
    <row r="11" spans="1:44">
      <c r="A11" s="36"/>
      <c r="B11" s="43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1"/>
      <c r="U11" s="47"/>
      <c r="V11" s="47"/>
      <c r="W11" s="36"/>
      <c r="X11" s="43"/>
      <c r="Y11" s="48"/>
      <c r="Z11" s="48"/>
      <c r="AA11" s="48"/>
      <c r="AB11" s="48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51"/>
      <c r="AQ11" s="38"/>
      <c r="AR11" s="38"/>
    </row>
    <row r="12" spans="1:44">
      <c r="A12" s="36"/>
      <c r="B12" s="43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51"/>
      <c r="U12" s="47"/>
      <c r="V12" s="47"/>
      <c r="W12" s="36"/>
      <c r="X12" s="43"/>
      <c r="Y12" s="48"/>
      <c r="Z12" s="48"/>
      <c r="AA12" s="48"/>
      <c r="AB12" s="48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51"/>
      <c r="AQ12" s="38"/>
      <c r="AR12" s="38"/>
    </row>
    <row r="13" spans="1:44" ht="15.75" thickBot="1">
      <c r="A13" s="36"/>
      <c r="B13" s="49" t="s">
        <v>6</v>
      </c>
      <c r="C13" s="47"/>
      <c r="D13" s="78" t="s">
        <v>61</v>
      </c>
      <c r="E13" s="47"/>
      <c r="F13" s="47"/>
      <c r="G13" s="44" t="s">
        <v>5</v>
      </c>
      <c r="H13" s="44"/>
      <c r="I13" s="47"/>
      <c r="J13" s="47"/>
      <c r="K13" s="47"/>
      <c r="L13" s="47" t="s">
        <v>62</v>
      </c>
      <c r="M13" s="47"/>
      <c r="N13" s="47"/>
      <c r="O13" s="47"/>
      <c r="P13" s="44" t="s">
        <v>6</v>
      </c>
      <c r="Q13" s="47"/>
      <c r="R13" s="78" t="s">
        <v>60</v>
      </c>
      <c r="S13" s="47"/>
      <c r="T13" s="44" t="s">
        <v>5</v>
      </c>
      <c r="U13" s="57"/>
      <c r="V13" s="58"/>
      <c r="W13" s="36"/>
      <c r="X13" s="59" t="s">
        <v>6</v>
      </c>
      <c r="Y13" s="48"/>
      <c r="Z13" s="48" t="s">
        <v>61</v>
      </c>
      <c r="AA13" s="48"/>
      <c r="AB13" s="48"/>
      <c r="AC13" s="44" t="s">
        <v>5</v>
      </c>
      <c r="AD13" s="44"/>
      <c r="AE13" s="47"/>
      <c r="AF13" s="47"/>
      <c r="AG13" s="47"/>
      <c r="AH13" s="47" t="s">
        <v>62</v>
      </c>
      <c r="AI13" s="47"/>
      <c r="AJ13" s="47"/>
      <c r="AK13" s="47"/>
      <c r="AL13" s="44" t="s">
        <v>6</v>
      </c>
      <c r="AM13" s="47"/>
      <c r="AN13" s="47" t="s">
        <v>60</v>
      </c>
      <c r="AO13" s="47"/>
      <c r="AP13" s="45" t="s">
        <v>5</v>
      </c>
      <c r="AQ13" s="58"/>
      <c r="AR13" s="58"/>
    </row>
    <row r="14" spans="1:44" ht="15.75" thickBot="1">
      <c r="A14" s="36"/>
      <c r="B14" s="662"/>
      <c r="C14" s="664" t="str">
        <f>IF($G$8=$G$9,"résultat",IF($G$8&gt;$G$9,$C$9,$C$8))</f>
        <v/>
      </c>
      <c r="D14" s="665"/>
      <c r="E14" s="665"/>
      <c r="F14" s="666"/>
      <c r="G14" s="53">
        <v>1</v>
      </c>
      <c r="H14" s="44"/>
      <c r="I14" s="47"/>
      <c r="J14" s="762" t="str">
        <f>IF(ISTEXT($Q$8),IF(($G$9=$G$8),"résultat",IF(($N$9=$N$8),"résultat",IF(($U$14=2),$C$8,IF(($V$14=2),$C$9,IF(($U$15=2),$J$9,IF(($V$15=2),J8,0)))))))</f>
        <v/>
      </c>
      <c r="K14" s="763"/>
      <c r="L14" s="763"/>
      <c r="M14" s="764"/>
      <c r="N14" s="55"/>
      <c r="O14" s="47"/>
      <c r="P14" s="662"/>
      <c r="Q14" s="765" t="str">
        <f>IF($E$2+$E$3=5,$Q$8,IF($N$8=$N$9,"résultat",IF($N$8&gt;$N$9,$J$8,$J$9)))</f>
        <v/>
      </c>
      <c r="R14" s="766"/>
      <c r="S14" s="767"/>
      <c r="T14" s="61">
        <v>1</v>
      </c>
      <c r="U14" s="62">
        <f>IF(G8&gt;G9,1)+IF(N8&gt;N9,1)</f>
        <v>2</v>
      </c>
      <c r="V14" s="63">
        <f>IF(G9&gt;G8,1)+IF(N9&gt;N8,1)</f>
        <v>0</v>
      </c>
      <c r="W14" s="36"/>
      <c r="X14" s="662"/>
      <c r="Y14" s="737" t="str">
        <f>IF($AC$8=$AC$9,"résultat",IF($AC$8&gt;$AC$9,$Y$9,$Y$8))</f>
        <v/>
      </c>
      <c r="Z14" s="665"/>
      <c r="AA14" s="665"/>
      <c r="AB14" s="666"/>
      <c r="AC14" s="53">
        <v>1</v>
      </c>
      <c r="AD14" s="44"/>
      <c r="AE14" s="47"/>
      <c r="AF14" s="768" t="str">
        <f>IF(ISTEXT($AM$8),IF(($AC$9=$AC$8),"résultat",IF(($AJ$9=$AJ$8),"résultat",IF(($AQ$14=2),$Y$8,IF(($AR$14=2),$Y$9,IF(($AQ$15=2),$AF$9,IF(($AR$15=2),$AF$8,0)))))))</f>
        <v/>
      </c>
      <c r="AG14" s="763"/>
      <c r="AH14" s="763"/>
      <c r="AI14" s="764"/>
      <c r="AJ14" s="60"/>
      <c r="AK14" s="47"/>
      <c r="AL14" s="662"/>
      <c r="AM14" s="765" t="str">
        <f>IF($AA$2+$AA$3=5,$AM$8,IF($AJ$8&gt;$AJ$9,$AF$8,$AF$9))</f>
        <v/>
      </c>
      <c r="AN14" s="766"/>
      <c r="AO14" s="767"/>
      <c r="AP14" s="53">
        <v>1</v>
      </c>
      <c r="AQ14" s="62">
        <f>IF(AC8&gt;AC9,1)+IF(AJ8&gt;AJ9,1)</f>
        <v>2</v>
      </c>
      <c r="AR14" s="63">
        <f>IF(AC9&gt;AC8,1)+IF(AJ9&gt;AJ8,1)</f>
        <v>0</v>
      </c>
    </row>
    <row r="15" spans="1:44" ht="15.75" thickBot="1">
      <c r="A15" s="36"/>
      <c r="B15" s="663"/>
      <c r="C15" s="656" t="str">
        <f>IF($N$8=$N$9,"résultat",IF($N$8&lt;$N$9,$J$8,$J$9))</f>
        <v>0ffice</v>
      </c>
      <c r="D15" s="657"/>
      <c r="E15" s="657"/>
      <c r="F15" s="658"/>
      <c r="G15" s="64">
        <v>0</v>
      </c>
      <c r="H15" s="44"/>
      <c r="I15" s="47"/>
      <c r="J15" s="65" t="str">
        <f>IF(ISTEXT(J14)," ",0)</f>
        <v xml:space="preserve"> </v>
      </c>
      <c r="K15" s="47"/>
      <c r="L15" s="47"/>
      <c r="M15" s="47"/>
      <c r="N15" s="47"/>
      <c r="O15" s="47"/>
      <c r="P15" s="663"/>
      <c r="Q15" s="656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657"/>
      <c r="S15" s="658"/>
      <c r="T15" s="80">
        <v>0</v>
      </c>
      <c r="U15" s="66">
        <f>IF(G8&gt;G9,1)+IF(N9&gt;N8,1)</f>
        <v>1</v>
      </c>
      <c r="V15" s="67">
        <f>IF(G9&gt;G8,1)+IF(N8&gt;N9,1)</f>
        <v>1</v>
      </c>
      <c r="W15" s="36"/>
      <c r="X15" s="663"/>
      <c r="Y15" s="656" t="str">
        <f>IF($AJ$8=$AJ$9,"résultat",IF($AJ$8&lt;$AJ$9,$AF$8,$AF$9))</f>
        <v/>
      </c>
      <c r="Z15" s="657"/>
      <c r="AA15" s="657"/>
      <c r="AB15" s="658"/>
      <c r="AC15" s="53">
        <v>0</v>
      </c>
      <c r="AD15" s="44"/>
      <c r="AE15" s="47"/>
      <c r="AF15" s="47"/>
      <c r="AG15" s="47"/>
      <c r="AH15" s="47"/>
      <c r="AI15" s="47"/>
      <c r="AJ15" s="47"/>
      <c r="AK15" s="47"/>
      <c r="AL15" s="663"/>
      <c r="AM15" s="656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657"/>
      <c r="AO15" s="658"/>
      <c r="AP15" s="80">
        <v>0</v>
      </c>
      <c r="AQ15" s="66">
        <f>IF(AC8&gt;AC9,1)+IF(AJ9&gt;AJ8,1)</f>
        <v>1</v>
      </c>
      <c r="AR15" s="67">
        <f>IF(AC9&gt;AC8,1)+IF(AJ8&gt;AJ9,1)</f>
        <v>1</v>
      </c>
    </row>
    <row r="16" spans="1:44">
      <c r="A16" s="36"/>
      <c r="B16" s="43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68"/>
      <c r="Q16" s="47"/>
      <c r="R16" s="47"/>
      <c r="S16" s="47"/>
      <c r="T16" s="51"/>
      <c r="U16" s="47"/>
      <c r="V16" s="47"/>
      <c r="W16" s="36"/>
      <c r="X16" s="43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51"/>
      <c r="AQ16" s="38"/>
      <c r="AR16" s="38"/>
    </row>
    <row r="17" spans="1:44">
      <c r="A17" s="36"/>
      <c r="B17" s="43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51"/>
      <c r="U17" s="47"/>
      <c r="V17" s="47"/>
      <c r="W17" s="36"/>
      <c r="X17" s="43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51"/>
      <c r="AQ17" s="38"/>
      <c r="AR17" s="38"/>
    </row>
    <row r="18" spans="1:44">
      <c r="A18" s="36"/>
      <c r="B18" s="43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0"/>
      <c r="T18" s="51"/>
      <c r="U18" s="47"/>
      <c r="V18" s="47"/>
      <c r="W18" s="36"/>
      <c r="X18" s="43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51"/>
      <c r="AQ18" s="38"/>
      <c r="AR18" s="38"/>
    </row>
    <row r="19" spans="1:44" ht="15.75" thickBot="1">
      <c r="A19" s="36"/>
      <c r="B19" s="43"/>
      <c r="C19" s="47"/>
      <c r="D19" s="47"/>
      <c r="E19" s="44" t="s">
        <v>6</v>
      </c>
      <c r="F19" s="47"/>
      <c r="G19" s="47"/>
      <c r="H19" s="47"/>
      <c r="I19" s="47"/>
      <c r="J19" s="44" t="s">
        <v>5</v>
      </c>
      <c r="K19" s="44"/>
      <c r="L19" s="44" t="s">
        <v>6</v>
      </c>
      <c r="M19" s="47"/>
      <c r="N19" s="47"/>
      <c r="O19" s="47"/>
      <c r="P19" s="47"/>
      <c r="Q19" s="44" t="s">
        <v>5</v>
      </c>
      <c r="R19" s="47"/>
      <c r="S19" s="47"/>
      <c r="T19" s="51"/>
      <c r="U19" s="69"/>
      <c r="V19" s="47"/>
      <c r="W19" s="36"/>
      <c r="X19" s="43"/>
      <c r="Y19" s="47"/>
      <c r="Z19" s="47"/>
      <c r="AA19" s="44" t="s">
        <v>6</v>
      </c>
      <c r="AB19" s="47"/>
      <c r="AC19" s="47"/>
      <c r="AD19" s="47"/>
      <c r="AE19" s="47"/>
      <c r="AF19" s="44" t="s">
        <v>5</v>
      </c>
      <c r="AG19" s="44"/>
      <c r="AH19" s="44" t="s">
        <v>6</v>
      </c>
      <c r="AI19" s="47"/>
      <c r="AJ19" s="47"/>
      <c r="AK19" s="47"/>
      <c r="AL19" s="47"/>
      <c r="AM19" s="44" t="s">
        <v>5</v>
      </c>
      <c r="AN19" s="47"/>
      <c r="AO19" s="47"/>
      <c r="AP19" s="51"/>
      <c r="AQ19" s="38"/>
      <c r="AR19" s="38"/>
    </row>
    <row r="20" spans="1:44" ht="15.75" thickBot="1">
      <c r="A20" s="36"/>
      <c r="B20" s="43"/>
      <c r="C20" s="47"/>
      <c r="D20" s="47"/>
      <c r="E20" s="662"/>
      <c r="F20" s="694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698"/>
      <c r="H20" s="698"/>
      <c r="I20" s="699"/>
      <c r="J20" s="53">
        <v>1</v>
      </c>
      <c r="K20" s="44"/>
      <c r="L20" s="662" t="s">
        <v>16</v>
      </c>
      <c r="M20" s="748" t="b">
        <f>IF($E$2+$E$3=5,$J$14)</f>
        <v>0</v>
      </c>
      <c r="N20" s="749"/>
      <c r="O20" s="749"/>
      <c r="P20" s="750"/>
      <c r="Q20" s="53">
        <v>1</v>
      </c>
      <c r="R20" s="47"/>
      <c r="S20" s="47"/>
      <c r="T20" s="51"/>
      <c r="U20" s="47"/>
      <c r="V20" s="47"/>
      <c r="W20" s="36"/>
      <c r="X20" s="43"/>
      <c r="Y20" s="47"/>
      <c r="Z20" s="47"/>
      <c r="AA20" s="662"/>
      <c r="AB20" s="694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AC20" s="698"/>
      <c r="AD20" s="698"/>
      <c r="AE20" s="699"/>
      <c r="AF20" s="53">
        <v>0</v>
      </c>
      <c r="AG20" s="44"/>
      <c r="AH20" s="662" t="s">
        <v>16</v>
      </c>
      <c r="AI20" s="748" t="b">
        <f>IF($E$2+$E$3=5,$J$14)</f>
        <v>0</v>
      </c>
      <c r="AJ20" s="749"/>
      <c r="AK20" s="749"/>
      <c r="AL20" s="750"/>
      <c r="AM20" s="53">
        <v>1</v>
      </c>
      <c r="AN20" s="47"/>
      <c r="AO20" s="47"/>
      <c r="AP20" s="51"/>
      <c r="AQ20" s="38"/>
      <c r="AR20" s="38"/>
    </row>
    <row r="21" spans="1:44" ht="15.75" thickBot="1">
      <c r="A21" s="36"/>
      <c r="B21" s="43"/>
      <c r="C21" s="47"/>
      <c r="D21" s="47"/>
      <c r="E21" s="663"/>
      <c r="F21" s="694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695"/>
      <c r="H21" s="695"/>
      <c r="I21" s="696"/>
      <c r="J21" s="53">
        <v>0</v>
      </c>
      <c r="K21" s="44"/>
      <c r="L21" s="663"/>
      <c r="M21" s="694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695"/>
      <c r="O21" s="695"/>
      <c r="P21" s="696"/>
      <c r="Q21" s="53">
        <v>0</v>
      </c>
      <c r="R21" s="47"/>
      <c r="S21" s="69"/>
      <c r="T21" s="51"/>
      <c r="U21" s="47"/>
      <c r="V21" s="40"/>
      <c r="W21" s="36"/>
      <c r="X21" s="43"/>
      <c r="Y21" s="47"/>
      <c r="Z21" s="47"/>
      <c r="AA21" s="663"/>
      <c r="AB21" s="694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AC21" s="695"/>
      <c r="AD21" s="695"/>
      <c r="AE21" s="696"/>
      <c r="AF21" s="53">
        <v>0</v>
      </c>
      <c r="AG21" s="44"/>
      <c r="AH21" s="663"/>
      <c r="AI21" s="694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AJ21" s="695"/>
      <c r="AK21" s="695"/>
      <c r="AL21" s="696"/>
      <c r="AM21" s="53">
        <v>0</v>
      </c>
      <c r="AN21" s="47"/>
      <c r="AO21" s="47"/>
      <c r="AP21" s="51"/>
      <c r="AQ21" s="38"/>
      <c r="AR21" s="38"/>
    </row>
    <row r="22" spans="1:44">
      <c r="A22" s="36"/>
      <c r="B22" s="43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51"/>
      <c r="U22" s="47"/>
      <c r="V22" s="47"/>
      <c r="W22" s="36"/>
      <c r="X22" s="43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51"/>
      <c r="AQ22" s="38"/>
      <c r="AR22" s="38"/>
    </row>
    <row r="23" spans="1:44">
      <c r="A23" s="36"/>
      <c r="B23" s="43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51"/>
      <c r="U23" s="47"/>
      <c r="V23" s="47"/>
      <c r="W23" s="36"/>
      <c r="X23" s="43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51"/>
      <c r="AQ23" s="38"/>
      <c r="AR23" s="38"/>
    </row>
    <row r="24" spans="1:44" ht="15.75" thickBot="1">
      <c r="A24" s="36"/>
      <c r="B24" s="43"/>
      <c r="C24" s="47"/>
      <c r="D24" s="47"/>
      <c r="E24" s="47"/>
      <c r="F24" s="47"/>
      <c r="G24" s="47"/>
      <c r="H24" s="47"/>
      <c r="I24" s="44" t="s">
        <v>6</v>
      </c>
      <c r="J24" s="47"/>
      <c r="K24" s="47"/>
      <c r="L24" s="47"/>
      <c r="M24" s="47"/>
      <c r="N24" s="44" t="s">
        <v>5</v>
      </c>
      <c r="O24" s="44"/>
      <c r="P24" s="70"/>
      <c r="Q24" s="47"/>
      <c r="R24" s="47"/>
      <c r="S24" s="47"/>
      <c r="T24" s="51"/>
      <c r="U24" s="47"/>
      <c r="V24" s="47"/>
      <c r="W24" s="36"/>
      <c r="X24" s="43"/>
      <c r="Y24" s="47"/>
      <c r="Z24" s="47"/>
      <c r="AA24" s="47"/>
      <c r="AB24" s="47"/>
      <c r="AC24" s="47"/>
      <c r="AD24" s="47"/>
      <c r="AE24" s="44" t="s">
        <v>6</v>
      </c>
      <c r="AF24" s="47"/>
      <c r="AG24" s="47"/>
      <c r="AH24" s="47"/>
      <c r="AI24" s="47"/>
      <c r="AJ24" s="44" t="s">
        <v>5</v>
      </c>
      <c r="AK24" s="44"/>
      <c r="AL24" s="70"/>
      <c r="AM24" s="47"/>
      <c r="AN24" s="47"/>
      <c r="AO24" s="47"/>
      <c r="AP24" s="51"/>
      <c r="AQ24" s="38"/>
      <c r="AR24" s="38"/>
    </row>
    <row r="25" spans="1:44" ht="15.75" thickBot="1">
      <c r="A25" s="36"/>
      <c r="B25" s="43"/>
      <c r="C25" s="47"/>
      <c r="D25" s="47"/>
      <c r="E25" s="47"/>
      <c r="F25" s="47"/>
      <c r="G25" s="47"/>
      <c r="H25" s="47"/>
      <c r="I25" s="662"/>
      <c r="J25" s="715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716"/>
      <c r="L25" s="716"/>
      <c r="M25" s="717"/>
      <c r="N25" s="53">
        <v>1</v>
      </c>
      <c r="O25" s="44"/>
      <c r="P25" s="47"/>
      <c r="Q25" s="47"/>
      <c r="R25" s="47"/>
      <c r="S25" s="47"/>
      <c r="T25" s="51"/>
      <c r="U25" s="47"/>
      <c r="V25" s="47"/>
      <c r="W25" s="36"/>
      <c r="X25" s="43"/>
      <c r="Y25" s="47"/>
      <c r="Z25" s="47"/>
      <c r="AA25" s="47"/>
      <c r="AB25" s="47"/>
      <c r="AC25" s="47"/>
      <c r="AD25" s="47"/>
      <c r="AE25" s="662"/>
      <c r="AF25" s="715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716"/>
      <c r="AH25" s="716"/>
      <c r="AI25" s="717"/>
      <c r="AJ25" s="53">
        <v>1</v>
      </c>
      <c r="AK25" s="44"/>
      <c r="AL25" s="47"/>
      <c r="AM25" s="47"/>
      <c r="AN25" s="47"/>
      <c r="AO25" s="47"/>
      <c r="AP25" s="51"/>
      <c r="AQ25" s="38"/>
      <c r="AR25" s="38"/>
    </row>
    <row r="26" spans="1:44" ht="15.75" thickBot="1">
      <c r="A26" s="36"/>
      <c r="B26" s="43"/>
      <c r="C26" s="47"/>
      <c r="D26" s="47"/>
      <c r="E26" s="47"/>
      <c r="F26" s="47"/>
      <c r="G26" s="47"/>
      <c r="H26" s="47"/>
      <c r="I26" s="663"/>
      <c r="J26" s="712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713"/>
      <c r="L26" s="713"/>
      <c r="M26" s="714"/>
      <c r="N26" s="53">
        <v>0</v>
      </c>
      <c r="O26" s="44"/>
      <c r="P26" s="47"/>
      <c r="Q26" s="47"/>
      <c r="R26" s="47"/>
      <c r="S26" s="47"/>
      <c r="T26" s="51"/>
      <c r="U26" s="47"/>
      <c r="V26" s="47"/>
      <c r="W26" s="36"/>
      <c r="X26" s="43"/>
      <c r="Y26" s="47"/>
      <c r="Z26" s="47"/>
      <c r="AA26" s="47"/>
      <c r="AB26" s="47"/>
      <c r="AC26" s="47"/>
      <c r="AD26" s="47"/>
      <c r="AE26" s="663"/>
      <c r="AF26" s="769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770"/>
      <c r="AH26" s="770"/>
      <c r="AI26" s="771"/>
      <c r="AJ26" s="53">
        <v>0</v>
      </c>
      <c r="AK26" s="44"/>
      <c r="AL26" s="47"/>
      <c r="AM26" s="47"/>
      <c r="AN26" s="47"/>
      <c r="AO26" s="47"/>
      <c r="AP26" s="51"/>
      <c r="AQ26" s="38"/>
      <c r="AR26" s="38"/>
    </row>
    <row r="27" spans="1:44" ht="15.75" thickBot="1">
      <c r="A27" s="36"/>
      <c r="B27" s="43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1"/>
      <c r="U27" s="47"/>
      <c r="V27" s="47"/>
      <c r="W27" s="36"/>
      <c r="X27" s="43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51"/>
      <c r="AQ27" s="38"/>
      <c r="AR27" s="38"/>
    </row>
    <row r="28" spans="1:44" ht="15.75" thickBot="1">
      <c r="A28" s="36"/>
      <c r="B28" s="43"/>
      <c r="D28" s="47"/>
      <c r="E28" s="47"/>
      <c r="F28" s="47"/>
      <c r="G28" s="47"/>
      <c r="H28" s="47"/>
      <c r="I28" s="47"/>
      <c r="J28" s="744" t="s">
        <v>59</v>
      </c>
      <c r="K28" s="745"/>
      <c r="L28" s="745"/>
      <c r="M28" s="746"/>
      <c r="N28" s="47"/>
      <c r="O28" s="47"/>
      <c r="P28" s="69"/>
      <c r="Q28" s="47"/>
      <c r="R28" s="47"/>
      <c r="S28" s="47"/>
      <c r="T28" s="51"/>
      <c r="W28" s="36"/>
      <c r="X28" s="43"/>
      <c r="Z28" s="47"/>
      <c r="AA28" s="47"/>
      <c r="AB28" s="47"/>
      <c r="AC28" s="47"/>
      <c r="AD28" s="47"/>
      <c r="AE28" s="47"/>
      <c r="AF28" s="744" t="s">
        <v>59</v>
      </c>
      <c r="AG28" s="745"/>
      <c r="AH28" s="745"/>
      <c r="AI28" s="746"/>
      <c r="AJ28" s="47"/>
      <c r="AK28" s="47"/>
      <c r="AL28" s="69"/>
      <c r="AM28" s="47"/>
      <c r="AN28" s="47"/>
      <c r="AO28" s="47"/>
      <c r="AP28" s="51"/>
    </row>
    <row r="29" spans="1:44" ht="15.75" thickBot="1">
      <c r="A29" s="36"/>
      <c r="B29" s="43"/>
      <c r="D29" s="653" t="s">
        <v>0</v>
      </c>
      <c r="E29" s="654"/>
      <c r="F29" s="655"/>
      <c r="G29" s="47"/>
      <c r="H29" s="667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772"/>
      <c r="J29" s="772"/>
      <c r="K29" s="772"/>
      <c r="L29" s="772"/>
      <c r="M29" s="772"/>
      <c r="N29" s="773"/>
      <c r="O29" s="47"/>
      <c r="P29" s="47"/>
      <c r="Q29" s="47"/>
      <c r="R29" s="47"/>
      <c r="S29" s="47"/>
      <c r="T29" s="51"/>
      <c r="W29" s="36"/>
      <c r="X29" s="43"/>
      <c r="Z29" s="653" t="s">
        <v>0</v>
      </c>
      <c r="AA29" s="654"/>
      <c r="AB29" s="655"/>
      <c r="AC29" s="47"/>
      <c r="AD29" s="667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772"/>
      <c r="AF29" s="772"/>
      <c r="AG29" s="772"/>
      <c r="AH29" s="772"/>
      <c r="AI29" s="772"/>
      <c r="AJ29" s="773"/>
      <c r="AK29" s="47"/>
      <c r="AL29" s="47"/>
      <c r="AM29" s="60" t="s">
        <v>75</v>
      </c>
      <c r="AN29" s="47"/>
      <c r="AO29" s="47"/>
      <c r="AP29" s="51"/>
    </row>
    <row r="30" spans="1:44">
      <c r="A30" s="36"/>
      <c r="B30" s="43"/>
      <c r="D30" s="650" t="s">
        <v>1</v>
      </c>
      <c r="E30" s="651"/>
      <c r="F30" s="652"/>
      <c r="G30" s="47"/>
      <c r="H30" s="670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671"/>
      <c r="J30" s="671"/>
      <c r="K30" s="671"/>
      <c r="L30" s="671"/>
      <c r="M30" s="671"/>
      <c r="N30" s="672"/>
      <c r="O30" s="47"/>
      <c r="P30" s="71"/>
      <c r="Q30" s="71"/>
      <c r="R30" s="71"/>
      <c r="S30" s="71"/>
      <c r="T30" s="51"/>
      <c r="W30" s="36"/>
      <c r="X30" s="43"/>
      <c r="Z30" s="650" t="s">
        <v>1</v>
      </c>
      <c r="AA30" s="651"/>
      <c r="AB30" s="652"/>
      <c r="AC30" s="47"/>
      <c r="AD30" s="670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671"/>
      <c r="AF30" s="671"/>
      <c r="AG30" s="671"/>
      <c r="AH30" s="671"/>
      <c r="AI30" s="671"/>
      <c r="AJ30" s="672"/>
      <c r="AK30" s="47"/>
      <c r="AL30" s="71"/>
      <c r="AM30" s="71"/>
      <c r="AN30" s="71"/>
      <c r="AO30" s="47"/>
      <c r="AP30" s="51"/>
    </row>
    <row r="31" spans="1:44">
      <c r="A31" s="36"/>
      <c r="B31" s="43"/>
      <c r="D31" s="650" t="s">
        <v>2</v>
      </c>
      <c r="E31" s="651"/>
      <c r="F31" s="652"/>
      <c r="G31" s="47"/>
      <c r="H31" s="774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775"/>
      <c r="J31" s="775"/>
      <c r="K31" s="775"/>
      <c r="L31" s="775"/>
      <c r="M31" s="775"/>
      <c r="N31" s="776"/>
      <c r="O31" s="47"/>
      <c r="P31" s="47"/>
      <c r="Q31" s="47"/>
      <c r="R31" s="47"/>
      <c r="S31" s="47"/>
      <c r="T31" s="51"/>
      <c r="W31" s="36"/>
      <c r="X31" s="43"/>
      <c r="Z31" s="650" t="s">
        <v>2</v>
      </c>
      <c r="AA31" s="651"/>
      <c r="AB31" s="652"/>
      <c r="AC31" s="47"/>
      <c r="AD31" s="676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677"/>
      <c r="AF31" s="677"/>
      <c r="AG31" s="677"/>
      <c r="AH31" s="677"/>
      <c r="AI31" s="677"/>
      <c r="AJ31" s="678"/>
      <c r="AK31" s="47"/>
      <c r="AL31" s="47"/>
      <c r="AM31" s="47"/>
      <c r="AN31" s="47"/>
      <c r="AO31" s="47"/>
      <c r="AP31" s="51"/>
    </row>
    <row r="32" spans="1:44">
      <c r="A32" s="36"/>
      <c r="B32" s="43"/>
      <c r="D32" s="650" t="s">
        <v>3</v>
      </c>
      <c r="E32" s="651"/>
      <c r="F32" s="652"/>
      <c r="G32" s="47"/>
      <c r="H32" s="774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775"/>
      <c r="J32" s="775"/>
      <c r="K32" s="775"/>
      <c r="L32" s="775"/>
      <c r="M32" s="775"/>
      <c r="N32" s="776"/>
      <c r="O32" s="47"/>
      <c r="P32" s="47"/>
      <c r="Q32" s="47"/>
      <c r="R32" s="47"/>
      <c r="S32" s="47"/>
      <c r="T32" s="51"/>
      <c r="W32" s="36"/>
      <c r="X32" s="43"/>
      <c r="Z32" s="650" t="s">
        <v>3</v>
      </c>
      <c r="AA32" s="651"/>
      <c r="AB32" s="652"/>
      <c r="AC32" s="47"/>
      <c r="AD32" s="774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775"/>
      <c r="AF32" s="775"/>
      <c r="AG32" s="775"/>
      <c r="AH32" s="775"/>
      <c r="AI32" s="775"/>
      <c r="AJ32" s="776"/>
      <c r="AK32" s="47"/>
      <c r="AL32" s="47"/>
      <c r="AM32" s="47"/>
      <c r="AN32" s="47"/>
      <c r="AO32" s="47"/>
      <c r="AP32" s="51"/>
    </row>
    <row r="33" spans="1:44" ht="15.75" thickBot="1">
      <c r="A33" s="36"/>
      <c r="B33" s="43"/>
      <c r="D33" s="682" t="s">
        <v>4</v>
      </c>
      <c r="E33" s="683"/>
      <c r="F33" s="684"/>
      <c r="G33" s="47"/>
      <c r="H33" s="685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686"/>
      <c r="J33" s="686"/>
      <c r="K33" s="686"/>
      <c r="L33" s="686"/>
      <c r="M33" s="686"/>
      <c r="N33" s="687"/>
      <c r="O33" s="47"/>
      <c r="P33" s="47"/>
      <c r="Q33" s="47"/>
      <c r="R33" s="47"/>
      <c r="S33" s="47"/>
      <c r="T33" s="51"/>
      <c r="W33" s="36"/>
      <c r="X33" s="43"/>
      <c r="Z33" s="682" t="s">
        <v>4</v>
      </c>
      <c r="AA33" s="683"/>
      <c r="AB33" s="684"/>
      <c r="AC33" s="47"/>
      <c r="AD33" s="685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686"/>
      <c r="AF33" s="686"/>
      <c r="AG33" s="686"/>
      <c r="AH33" s="686"/>
      <c r="AI33" s="686"/>
      <c r="AJ33" s="687"/>
      <c r="AK33" s="47"/>
      <c r="AL33" s="47"/>
      <c r="AM33" s="47"/>
      <c r="AN33" s="47"/>
      <c r="AO33" s="47"/>
      <c r="AP33" s="51"/>
    </row>
    <row r="34" spans="1:44">
      <c r="A34" s="36"/>
      <c r="B34" s="43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47"/>
      <c r="O34" s="47"/>
      <c r="P34" s="47"/>
      <c r="Q34" s="47"/>
      <c r="R34" s="47"/>
      <c r="S34" s="47"/>
      <c r="T34" s="51"/>
      <c r="U34" s="47"/>
      <c r="V34" s="47"/>
      <c r="W34" s="36"/>
      <c r="X34" s="43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7"/>
      <c r="AK34" s="47"/>
      <c r="AL34" s="47"/>
      <c r="AM34" s="47"/>
      <c r="AN34" s="47"/>
      <c r="AO34" s="47"/>
      <c r="AP34" s="51"/>
      <c r="AQ34" s="38"/>
      <c r="AR34" s="38"/>
    </row>
    <row r="35" spans="1:44" ht="15.75" thickBot="1">
      <c r="A35" s="36"/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74"/>
      <c r="P35" s="74"/>
      <c r="Q35" s="74"/>
      <c r="R35" s="74"/>
      <c r="S35" s="74"/>
      <c r="T35" s="75"/>
      <c r="U35" s="36"/>
      <c r="V35" s="36"/>
      <c r="W35" s="36"/>
      <c r="X35" s="72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5"/>
      <c r="AQ35" s="38"/>
      <c r="AR35" s="38"/>
    </row>
    <row r="36" spans="1:4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3"/>
    </row>
    <row r="37" spans="1:4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</row>
    <row r="39" spans="1:4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4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</sheetData>
  <sheetProtection formatColumns="0" formatRows="0" selectLockedCells="1"/>
  <mergeCells count="88">
    <mergeCell ref="D33:F33"/>
    <mergeCell ref="H33:N33"/>
    <mergeCell ref="Z33:AB33"/>
    <mergeCell ref="AD33:AJ33"/>
    <mergeCell ref="D31:F31"/>
    <mergeCell ref="H31:N31"/>
    <mergeCell ref="Z31:AB31"/>
    <mergeCell ref="AD31:AJ31"/>
    <mergeCell ref="D32:F32"/>
    <mergeCell ref="H32:N32"/>
    <mergeCell ref="Z32:AB32"/>
    <mergeCell ref="AD32:AJ32"/>
    <mergeCell ref="D29:F29"/>
    <mergeCell ref="H29:N29"/>
    <mergeCell ref="Z29:AB29"/>
    <mergeCell ref="AD29:AJ29"/>
    <mergeCell ref="D30:F30"/>
    <mergeCell ref="H30:N30"/>
    <mergeCell ref="Z30:AB30"/>
    <mergeCell ref="AD30:AJ30"/>
    <mergeCell ref="I25:I26"/>
    <mergeCell ref="J25:M25"/>
    <mergeCell ref="AE25:AE26"/>
    <mergeCell ref="AF25:AI25"/>
    <mergeCell ref="J26:M26"/>
    <mergeCell ref="AF26:AI26"/>
    <mergeCell ref="AA20:AA21"/>
    <mergeCell ref="AB20:AE20"/>
    <mergeCell ref="AH20:AH21"/>
    <mergeCell ref="AI20:AL20"/>
    <mergeCell ref="F21:I21"/>
    <mergeCell ref="M21:P21"/>
    <mergeCell ref="AB21:AE21"/>
    <mergeCell ref="AI21:AL21"/>
    <mergeCell ref="AL14:AL15"/>
    <mergeCell ref="AM14:AO14"/>
    <mergeCell ref="C15:F15"/>
    <mergeCell ref="Q15:S15"/>
    <mergeCell ref="Y15:AB15"/>
    <mergeCell ref="AM15:AO15"/>
    <mergeCell ref="X14:X15"/>
    <mergeCell ref="Y14:AB14"/>
    <mergeCell ref="Y9:AB9"/>
    <mergeCell ref="AF9:AI9"/>
    <mergeCell ref="B14:B15"/>
    <mergeCell ref="C14:F14"/>
    <mergeCell ref="J14:M14"/>
    <mergeCell ref="P14:P15"/>
    <mergeCell ref="Q14:S14"/>
    <mergeCell ref="AF14:AI14"/>
    <mergeCell ref="AP4:AP5"/>
    <mergeCell ref="Y4:AO4"/>
    <mergeCell ref="I1:L1"/>
    <mergeCell ref="N1:S1"/>
    <mergeCell ref="B8:B9"/>
    <mergeCell ref="C8:F8"/>
    <mergeCell ref="I8:I9"/>
    <mergeCell ref="J8:M8"/>
    <mergeCell ref="Q8:S8"/>
    <mergeCell ref="C9:F9"/>
    <mergeCell ref="J9:M9"/>
    <mergeCell ref="X8:X9"/>
    <mergeCell ref="Y8:AB8"/>
    <mergeCell ref="AE8:AE9"/>
    <mergeCell ref="AF8:AI8"/>
    <mergeCell ref="AM8:AO8"/>
    <mergeCell ref="AJ1:AO1"/>
    <mergeCell ref="X2:Z2"/>
    <mergeCell ref="AB2:AC2"/>
    <mergeCell ref="AE2:AG2"/>
    <mergeCell ref="AE1:AH1"/>
    <mergeCell ref="AH2:AP2"/>
    <mergeCell ref="AF28:AI28"/>
    <mergeCell ref="J28:M28"/>
    <mergeCell ref="B1:D1"/>
    <mergeCell ref="E1:G1"/>
    <mergeCell ref="X1:Z1"/>
    <mergeCell ref="AA1:AC1"/>
    <mergeCell ref="E20:E21"/>
    <mergeCell ref="F20:I20"/>
    <mergeCell ref="L20:L21"/>
    <mergeCell ref="M20:P20"/>
    <mergeCell ref="F2:G2"/>
    <mergeCell ref="C4:S4"/>
    <mergeCell ref="I2:K2"/>
    <mergeCell ref="B2:D2"/>
    <mergeCell ref="L2:T2"/>
    <mergeCell ref="T4:T5"/>
  </mergeCells>
  <conditionalFormatting sqref="H32">
    <cfRule type="expression" dxfId="420" priority="136">
      <formula>$H$2=5</formula>
    </cfRule>
    <cfRule type="expression" dxfId="419" priority="137">
      <formula>$H$2=4</formula>
    </cfRule>
    <cfRule type="expression" dxfId="418" priority="138">
      <formula>$H$2=0</formula>
    </cfRule>
  </conditionalFormatting>
  <conditionalFormatting sqref="H29:N29">
    <cfRule type="expression" dxfId="417" priority="133">
      <formula>$H$2=0</formula>
    </cfRule>
    <cfRule type="expression" dxfId="416" priority="134" stopIfTrue="1">
      <formula>(OR(H2="1",H2="2",H2="3"))</formula>
    </cfRule>
  </conditionalFormatting>
  <conditionalFormatting sqref="H30:N30">
    <cfRule type="expression" dxfId="415" priority="132">
      <formula>(OR(H2="2",H2="3"))</formula>
    </cfRule>
  </conditionalFormatting>
  <conditionalFormatting sqref="H31:N31">
    <cfRule type="expression" dxfId="414" priority="131">
      <formula>(H2="3")</formula>
    </cfRule>
  </conditionalFormatting>
  <conditionalFormatting sqref="H32:N32">
    <cfRule type="cellIs" dxfId="413" priority="130" operator="equal">
      <formula>0</formula>
    </cfRule>
  </conditionalFormatting>
  <conditionalFormatting sqref="H33 AD33">
    <cfRule type="expression" dxfId="412" priority="161">
      <formula>$AF$2=5</formula>
    </cfRule>
  </conditionalFormatting>
  <conditionalFormatting sqref="AD33">
    <cfRule type="expression" dxfId="411" priority="160">
      <formula>$AA$2=0</formula>
    </cfRule>
  </conditionalFormatting>
  <conditionalFormatting sqref="AD30">
    <cfRule type="expression" dxfId="410" priority="146" stopIfTrue="1">
      <formula>$AA$2=0</formula>
    </cfRule>
    <cfRule type="expression" dxfId="409" priority="147">
      <formula>$AF$2=5</formula>
    </cfRule>
    <cfRule type="expression" dxfId="408" priority="148">
      <formula>$AF$2=4</formula>
    </cfRule>
    <cfRule type="expression" dxfId="407" priority="149">
      <formula>$AF$2=3</formula>
    </cfRule>
    <cfRule type="expression" dxfId="406" priority="150">
      <formula>$AF$2=2</formula>
    </cfRule>
  </conditionalFormatting>
  <conditionalFormatting sqref="AD31">
    <cfRule type="expression" dxfId="405" priority="142" stopIfTrue="1">
      <formula>$AA$2=0</formula>
    </cfRule>
    <cfRule type="expression" dxfId="404" priority="143">
      <formula>$AF$2=5</formula>
    </cfRule>
    <cfRule type="expression" dxfId="403" priority="144">
      <formula>$AF$2=4</formula>
    </cfRule>
    <cfRule type="expression" dxfId="402" priority="145">
      <formula>$AF$2=3</formula>
    </cfRule>
  </conditionalFormatting>
  <conditionalFormatting sqref="AD32:AJ32">
    <cfRule type="expression" dxfId="401" priority="139">
      <formula>$AF$2=5</formula>
    </cfRule>
    <cfRule type="expression" dxfId="400" priority="140" stopIfTrue="1">
      <formula>$AA$2=0</formula>
    </cfRule>
    <cfRule type="expression" dxfId="399" priority="141">
      <formula>$AF$2=4</formula>
    </cfRule>
  </conditionalFormatting>
  <conditionalFormatting sqref="AD29:AJ29">
    <cfRule type="expression" dxfId="398" priority="135">
      <formula>$AF$2=1</formula>
    </cfRule>
  </conditionalFormatting>
  <conditionalFormatting sqref="H33:N33">
    <cfRule type="cellIs" dxfId="397" priority="129" operator="equal">
      <formula>0</formula>
    </cfRule>
  </conditionalFormatting>
  <conditionalFormatting sqref="AD32">
    <cfRule type="expression" dxfId="396" priority="120">
      <formula>$H$2=5</formula>
    </cfRule>
    <cfRule type="expression" dxfId="395" priority="121">
      <formula>$H$2=4</formula>
    </cfRule>
    <cfRule type="expression" dxfId="394" priority="122">
      <formula>$AA$2=0</formula>
    </cfRule>
  </conditionalFormatting>
  <conditionalFormatting sqref="AD29:AJ29">
    <cfRule type="expression" dxfId="393" priority="118" stopIfTrue="1">
      <formula>$AA$2=0</formula>
    </cfRule>
    <cfRule type="expression" dxfId="392" priority="119" stopIfTrue="1">
      <formula>(OR(AF2="1",AF2="2",AF2="3"))</formula>
    </cfRule>
  </conditionalFormatting>
  <conditionalFormatting sqref="AD30:AJ30">
    <cfRule type="expression" dxfId="391" priority="117">
      <formula>(OR(AF2="2",AF2="3"))</formula>
    </cfRule>
  </conditionalFormatting>
  <conditionalFormatting sqref="AD31">
    <cfRule type="expression" dxfId="390" priority="116">
      <formula>(AF2="3")</formula>
    </cfRule>
  </conditionalFormatting>
  <conditionalFormatting sqref="AD32:AJ32">
    <cfRule type="cellIs" dxfId="389" priority="115" operator="equal">
      <formula>0</formula>
    </cfRule>
  </conditionalFormatting>
  <conditionalFormatting sqref="AD33:AJ33">
    <cfRule type="cellIs" dxfId="388" priority="114" operator="equal">
      <formula>0</formula>
    </cfRule>
  </conditionalFormatting>
  <conditionalFormatting sqref="AD29">
    <cfRule type="expression" dxfId="387" priority="200">
      <formula>$AF$2=2</formula>
    </cfRule>
    <cfRule type="expression" dxfId="386" priority="201">
      <formula>$AF$2=5</formula>
    </cfRule>
    <cfRule type="expression" dxfId="385" priority="202">
      <formula>$AF$2=4</formula>
    </cfRule>
    <cfRule type="expression" dxfId="384" priority="203">
      <formula>$AF$2=3</formula>
    </cfRule>
    <cfRule type="expression" dxfId="383" priority="204">
      <formula>$H$2=0</formula>
    </cfRule>
  </conditionalFormatting>
  <conditionalFormatting sqref="H33 AD33">
    <cfRule type="expression" dxfId="382" priority="99">
      <formula>$AD$2=5</formula>
    </cfRule>
  </conditionalFormatting>
  <conditionalFormatting sqref="AD33">
    <cfRule type="expression" dxfId="381" priority="98">
      <formula>$AD$2=0</formula>
    </cfRule>
  </conditionalFormatting>
  <conditionalFormatting sqref="AD29">
    <cfRule type="expression" dxfId="380" priority="90">
      <formula>$AD$2=2</formula>
    </cfRule>
    <cfRule type="expression" dxfId="379" priority="91">
      <formula>$AD$2=5</formula>
    </cfRule>
    <cfRule type="expression" dxfId="378" priority="92">
      <formula>$AD$2=4</formula>
    </cfRule>
    <cfRule type="expression" dxfId="377" priority="93">
      <formula>$AD$2=3</formula>
    </cfRule>
    <cfRule type="expression" dxfId="376" priority="94">
      <formula>$H$2=0</formula>
    </cfRule>
  </conditionalFormatting>
  <conditionalFormatting sqref="AD30">
    <cfRule type="expression" dxfId="375" priority="85">
      <formula>$AD$2=0</formula>
    </cfRule>
    <cfRule type="expression" dxfId="374" priority="86">
      <formula>$AD$2=5</formula>
    </cfRule>
    <cfRule type="expression" dxfId="373" priority="87">
      <formula>$AD$2=4</formula>
    </cfRule>
    <cfRule type="expression" dxfId="372" priority="88">
      <formula>$AD$2=3</formula>
    </cfRule>
    <cfRule type="expression" dxfId="371" priority="89">
      <formula>$AD$2=2</formula>
    </cfRule>
  </conditionalFormatting>
  <conditionalFormatting sqref="AD31">
    <cfRule type="expression" dxfId="370" priority="81">
      <formula>$AD$2=0</formula>
    </cfRule>
    <cfRule type="expression" dxfId="369" priority="82">
      <formula>$AD$2=5</formula>
    </cfRule>
    <cfRule type="expression" dxfId="368" priority="83">
      <formula>$AD$2=4</formula>
    </cfRule>
    <cfRule type="expression" dxfId="367" priority="84">
      <formula>$AD$2=3</formula>
    </cfRule>
  </conditionalFormatting>
  <conditionalFormatting sqref="AD32:AJ32">
    <cfRule type="cellIs" dxfId="366" priority="77" operator="equal">
      <formula>0</formula>
    </cfRule>
    <cfRule type="expression" dxfId="365" priority="78">
      <formula>$AD$2=5</formula>
    </cfRule>
    <cfRule type="expression" dxfId="364" priority="79">
      <formula>$AD$2=0</formula>
    </cfRule>
    <cfRule type="expression" dxfId="363" priority="80">
      <formula>$AD$2=4</formula>
    </cfRule>
  </conditionalFormatting>
  <conditionalFormatting sqref="H32 AD32">
    <cfRule type="expression" dxfId="362" priority="76">
      <formula>$H$2=0</formula>
    </cfRule>
  </conditionalFormatting>
  <conditionalFormatting sqref="AD29:AJ29">
    <cfRule type="expression" dxfId="361" priority="75">
      <formula>$AD$2=1</formula>
    </cfRule>
  </conditionalFormatting>
  <conditionalFormatting sqref="H29:N29">
    <cfRule type="expression" dxfId="360" priority="73">
      <formula>$H$2=0</formula>
    </cfRule>
    <cfRule type="expression" dxfId="359" priority="74" stopIfTrue="1">
      <formula>(OR(H2="1",H2="2",H2="3"))</formula>
    </cfRule>
  </conditionalFormatting>
  <conditionalFormatting sqref="H30:N30">
    <cfRule type="expression" dxfId="358" priority="72">
      <formula>(OR(H2="2",H2="3"))</formula>
    </cfRule>
  </conditionalFormatting>
  <conditionalFormatting sqref="H31:N31">
    <cfRule type="cellIs" dxfId="357" priority="70" operator="equal">
      <formula>0</formula>
    </cfRule>
    <cfRule type="expression" dxfId="356" priority="71">
      <formula>(H2="3")</formula>
    </cfRule>
  </conditionalFormatting>
  <conditionalFormatting sqref="AD29:AJ29">
    <cfRule type="expression" dxfId="355" priority="68">
      <formula>$H$2=0</formula>
    </cfRule>
    <cfRule type="expression" dxfId="354" priority="69" stopIfTrue="1">
      <formula>(OR(AD2="1",AD2="2",AD2="3"))</formula>
    </cfRule>
  </conditionalFormatting>
  <conditionalFormatting sqref="AD30:AJ30">
    <cfRule type="expression" dxfId="353" priority="67">
      <formula>(OR(AD2="2",AD2="3"))</formula>
    </cfRule>
  </conditionalFormatting>
  <conditionalFormatting sqref="AD31">
    <cfRule type="expression" dxfId="352" priority="66">
      <formula>(AD2="3")</formula>
    </cfRule>
  </conditionalFormatting>
  <conditionalFormatting sqref="H33:N33">
    <cfRule type="cellIs" dxfId="351" priority="45" operator="equal">
      <formula>0</formula>
    </cfRule>
  </conditionalFormatting>
  <conditionalFormatting sqref="H32:N32">
    <cfRule type="cellIs" dxfId="350" priority="44" operator="equal">
      <formula>0</formula>
    </cfRule>
  </conditionalFormatting>
  <conditionalFormatting sqref="AD33:AJ33">
    <cfRule type="cellIs" dxfId="349" priority="42" operator="equal">
      <formula>0</formula>
    </cfRule>
  </conditionalFormatting>
  <conditionalFormatting sqref="AD31">
    <cfRule type="cellIs" dxfId="348" priority="41" operator="equal">
      <formula>0</formula>
    </cfRule>
  </conditionalFormatting>
  <conditionalFormatting sqref="C8:F9">
    <cfRule type="expression" dxfId="347" priority="39">
      <formula>(OR($E$2=3,$E$2=4,$E$2=5))</formula>
    </cfRule>
  </conditionalFormatting>
  <conditionalFormatting sqref="F20:I20">
    <cfRule type="cellIs" dxfId="346" priority="37" operator="equal">
      <formula>0</formula>
    </cfRule>
  </conditionalFormatting>
  <conditionalFormatting sqref="AF26">
    <cfRule type="expression" dxfId="345" priority="3">
      <formula>(OR($E$2=3,$E$2=4,$E$2=5))</formula>
    </cfRule>
  </conditionalFormatting>
  <conditionalFormatting sqref="AB20:AE20">
    <cfRule type="cellIs" dxfId="344" priority="1" operator="equal">
      <formula>0</formula>
    </cfRule>
  </conditionalFormatting>
  <pageMargins left="0.7" right="0.7" top="0.75" bottom="0.75" header="0.3" footer="0.3"/>
  <pageSetup paperSize="9" scale="42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>
    <tabColor rgb="FF66FF33"/>
  </sheetPr>
  <dimension ref="A1:AR39"/>
  <sheetViews>
    <sheetView zoomScale="70" zoomScaleNormal="70" workbookViewId="0">
      <selection activeCell="AF10" sqref="AF10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6" customWidth="1"/>
    <col min="21" max="21" width="7" customWidth="1"/>
    <col min="22" max="22" width="5.140625" customWidth="1"/>
    <col min="23" max="23" width="6.42578125" customWidth="1"/>
    <col min="24" max="24" width="11.285156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3" max="43" width="7" customWidth="1"/>
    <col min="44" max="44" width="5.5703125" customWidth="1"/>
  </cols>
  <sheetData>
    <row r="1" spans="1:44" ht="21.75" thickBot="1">
      <c r="A1" s="1"/>
      <c r="B1" s="747" t="s">
        <v>54</v>
      </c>
      <c r="C1" s="736"/>
      <c r="D1" s="736"/>
      <c r="E1" s="736" t="str">
        <f>Rens.!J2</f>
        <v>ST PERAY</v>
      </c>
      <c r="F1" s="736"/>
      <c r="G1" s="736"/>
      <c r="H1" s="18">
        <f ca="1">Rens.!$D$4</f>
        <v>2020</v>
      </c>
      <c r="I1" s="736" t="str">
        <f>Rens.!$J$4</f>
        <v xml:space="preserve"> Quadrettes</v>
      </c>
      <c r="J1" s="736"/>
      <c r="K1" s="736"/>
      <c r="L1" s="736"/>
      <c r="M1" s="19" t="str">
        <f>Rens.!$E$6</f>
        <v>4 Div.</v>
      </c>
      <c r="N1" s="747" t="s">
        <v>25</v>
      </c>
      <c r="O1" s="736"/>
      <c r="P1" s="736"/>
      <c r="Q1" s="736"/>
      <c r="R1" s="736"/>
      <c r="S1" s="754"/>
      <c r="T1" s="4">
        <f>Rens.!$A$9</f>
        <v>0</v>
      </c>
      <c r="W1" s="1"/>
      <c r="X1" s="747" t="s">
        <v>54</v>
      </c>
      <c r="Y1" s="736"/>
      <c r="Z1" s="736"/>
      <c r="AA1" s="736" t="str">
        <f>Rens.!J2</f>
        <v>ST PERAY</v>
      </c>
      <c r="AB1" s="736"/>
      <c r="AC1" s="736"/>
      <c r="AD1" s="18">
        <f ca="1">Rens.!$D$4</f>
        <v>2020</v>
      </c>
      <c r="AE1" s="736" t="str">
        <f>Rens.!$J$4</f>
        <v xml:space="preserve"> Quadrettes</v>
      </c>
      <c r="AF1" s="736"/>
      <c r="AG1" s="736"/>
      <c r="AH1" s="736"/>
      <c r="AI1" s="19" t="str">
        <f>Rens.!$E$6</f>
        <v>4 Div.</v>
      </c>
      <c r="AJ1" s="747" t="s">
        <v>25</v>
      </c>
      <c r="AK1" s="736"/>
      <c r="AL1" s="736"/>
      <c r="AM1" s="736"/>
      <c r="AN1" s="736"/>
      <c r="AO1" s="754"/>
      <c r="AP1" s="5">
        <f>Rens.!$A$9</f>
        <v>0</v>
      </c>
      <c r="AQ1" s="3"/>
    </row>
    <row r="2" spans="1:44" ht="19.5" customHeight="1" thickBot="1">
      <c r="A2" s="1"/>
      <c r="B2" s="747" t="s">
        <v>30</v>
      </c>
      <c r="C2" s="736"/>
      <c r="D2" s="736"/>
      <c r="E2" s="16">
        <f>Rens.!K18</f>
        <v>0</v>
      </c>
      <c r="F2" s="736" t="s">
        <v>19</v>
      </c>
      <c r="G2" s="736"/>
      <c r="H2" s="7">
        <f>Rens.!K19</f>
        <v>0</v>
      </c>
      <c r="I2" s="736" t="s">
        <v>20</v>
      </c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54"/>
      <c r="U2" s="31"/>
      <c r="V2" s="31"/>
      <c r="W2" s="1"/>
      <c r="X2" s="747" t="s">
        <v>31</v>
      </c>
      <c r="Y2" s="736"/>
      <c r="Z2" s="736"/>
      <c r="AA2" s="17">
        <f>Rens.!L18</f>
        <v>0</v>
      </c>
      <c r="AB2" s="736" t="s">
        <v>19</v>
      </c>
      <c r="AC2" s="736"/>
      <c r="AD2" s="7">
        <f>Rens.!L19</f>
        <v>0</v>
      </c>
      <c r="AE2" s="736" t="s">
        <v>20</v>
      </c>
      <c r="AF2" s="736"/>
      <c r="AG2" s="736"/>
      <c r="AH2" s="736"/>
      <c r="AI2" s="736"/>
      <c r="AJ2" s="736"/>
      <c r="AK2" s="736"/>
      <c r="AL2" s="736"/>
      <c r="AM2" s="736"/>
      <c r="AN2" s="736"/>
      <c r="AO2" s="736"/>
      <c r="AP2" s="754"/>
      <c r="AQ2" s="3"/>
    </row>
    <row r="3" spans="1:44" ht="15.75" customHeight="1" thickBot="1">
      <c r="A3" s="36"/>
      <c r="B3" s="43"/>
      <c r="C3" s="44"/>
      <c r="D3" s="44"/>
      <c r="E3" s="44"/>
      <c r="F3" s="76" t="str">
        <f>CONCATENATE(E2,H2)</f>
        <v>00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  <c r="U3" s="44"/>
      <c r="V3" s="44"/>
      <c r="W3" s="36"/>
      <c r="X3" s="43"/>
      <c r="Y3" s="44"/>
      <c r="Z3" s="44"/>
      <c r="AA3" s="37"/>
      <c r="AB3" s="77" t="str">
        <f>CONCATENATE(AA2,AD2)</f>
        <v>00</v>
      </c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/>
      <c r="AQ3" s="38"/>
      <c r="AR3" s="38"/>
    </row>
    <row r="4" spans="1:44" ht="15.75" thickBot="1">
      <c r="A4" s="36"/>
      <c r="B4" s="43"/>
      <c r="C4" s="751" t="s">
        <v>67</v>
      </c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752"/>
      <c r="Q4" s="752"/>
      <c r="R4" s="752"/>
      <c r="S4" s="753"/>
      <c r="T4" s="755"/>
      <c r="U4" s="46"/>
      <c r="V4" s="46"/>
      <c r="W4" s="36"/>
      <c r="X4" s="43"/>
      <c r="Y4" s="751" t="s">
        <v>67</v>
      </c>
      <c r="Z4" s="752"/>
      <c r="AA4" s="752"/>
      <c r="AB4" s="752"/>
      <c r="AC4" s="752"/>
      <c r="AD4" s="752"/>
      <c r="AE4" s="752"/>
      <c r="AF4" s="752"/>
      <c r="AG4" s="752"/>
      <c r="AH4" s="752"/>
      <c r="AI4" s="752"/>
      <c r="AJ4" s="752"/>
      <c r="AK4" s="752"/>
      <c r="AL4" s="752"/>
      <c r="AM4" s="752"/>
      <c r="AN4" s="752"/>
      <c r="AO4" s="753"/>
      <c r="AP4" s="755"/>
      <c r="AQ4" s="38"/>
      <c r="AR4" s="38"/>
    </row>
    <row r="5" spans="1:44">
      <c r="A5" s="36"/>
      <c r="B5" s="43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755"/>
      <c r="U5" s="46"/>
      <c r="V5" s="46"/>
      <c r="W5" s="36"/>
      <c r="X5" s="43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755"/>
      <c r="AQ5" s="38"/>
      <c r="AR5" s="38"/>
    </row>
    <row r="6" spans="1:44" ht="15.75" thickBot="1">
      <c r="A6" s="36"/>
      <c r="B6" s="43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  <c r="S6" s="44"/>
      <c r="T6" s="45"/>
      <c r="U6" s="44"/>
      <c r="V6" s="44"/>
      <c r="W6" s="36"/>
      <c r="X6" s="43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8"/>
      <c r="AO6" s="44"/>
      <c r="AP6" s="45"/>
      <c r="AQ6" s="38"/>
      <c r="AR6" s="38"/>
    </row>
    <row r="7" spans="1:44" ht="15.75" thickBot="1">
      <c r="A7" s="36"/>
      <c r="B7" s="49" t="s">
        <v>6</v>
      </c>
      <c r="C7" s="50" t="s">
        <v>14</v>
      </c>
      <c r="D7" s="37"/>
      <c r="E7" s="47"/>
      <c r="F7" s="47"/>
      <c r="G7" s="44" t="s">
        <v>5</v>
      </c>
      <c r="H7" s="44"/>
      <c r="I7" s="44" t="s">
        <v>6</v>
      </c>
      <c r="J7" s="50" t="str">
        <f>IF(E2=2,"","C")</f>
        <v>C</v>
      </c>
      <c r="K7" s="37"/>
      <c r="L7" s="47"/>
      <c r="M7" s="47"/>
      <c r="N7" s="44" t="s">
        <v>5</v>
      </c>
      <c r="O7" s="44"/>
      <c r="P7" s="44"/>
      <c r="Q7" s="50" t="s">
        <v>45</v>
      </c>
      <c r="R7" s="47"/>
      <c r="S7" s="47" t="s">
        <v>62</v>
      </c>
      <c r="T7" s="51"/>
      <c r="U7" s="47"/>
      <c r="V7" s="47"/>
      <c r="W7" s="36"/>
      <c r="X7" s="49" t="s">
        <v>6</v>
      </c>
      <c r="Y7" s="50" t="s">
        <v>14</v>
      </c>
      <c r="Z7" s="37"/>
      <c r="AA7" s="47"/>
      <c r="AB7" s="47"/>
      <c r="AC7" s="44" t="s">
        <v>5</v>
      </c>
      <c r="AD7" s="44"/>
      <c r="AE7" s="44" t="s">
        <v>6</v>
      </c>
      <c r="AF7" s="50" t="str">
        <f>IF(AA2=2,"","C")</f>
        <v>C</v>
      </c>
      <c r="AG7" s="37"/>
      <c r="AH7" s="47"/>
      <c r="AI7" s="47"/>
      <c r="AJ7" s="44" t="s">
        <v>5</v>
      </c>
      <c r="AK7" s="44"/>
      <c r="AL7" s="44"/>
      <c r="AM7" s="50" t="s">
        <v>45</v>
      </c>
      <c r="AN7" s="47"/>
      <c r="AO7" s="47" t="s">
        <v>62</v>
      </c>
      <c r="AP7" s="51"/>
      <c r="AQ7" s="38"/>
      <c r="AR7" s="38"/>
    </row>
    <row r="8" spans="1:44" ht="15.75" thickBot="1">
      <c r="A8" s="52">
        <v>31</v>
      </c>
      <c r="B8" s="662"/>
      <c r="C8" s="664" t="str">
        <f>IF(ISNA(MATCH($A$8,Rens.!$Z$6:$Z$82,0)),"",INDEX(Rens.!$X$6:$X$82,MATCH($A$8,Rens.!$Z$6:$Z$82,0)))</f>
        <v/>
      </c>
      <c r="D8" s="692"/>
      <c r="E8" s="692"/>
      <c r="F8" s="693"/>
      <c r="G8" s="53">
        <v>1</v>
      </c>
      <c r="H8" s="54">
        <v>33</v>
      </c>
      <c r="I8" s="662"/>
      <c r="J8" s="756" t="str">
        <f>IF(ISNA(MATCH($H$8,Rens.!$Z$6:$Z$82,0)),"",INDEX(Rens.!$X$6:$X$82,MATCH($H$8,Rens.!$Z$6:$Z$82,0)))</f>
        <v/>
      </c>
      <c r="K8" s="757"/>
      <c r="L8" s="757"/>
      <c r="M8" s="758"/>
      <c r="N8" s="53">
        <v>1</v>
      </c>
      <c r="O8" s="44"/>
      <c r="P8" s="47">
        <v>35</v>
      </c>
      <c r="Q8" s="759" t="str">
        <f>IF(E2+E3=4,0,IF(E2+E3=3,0,IF(ISNA(MATCH($P$8,Rens.!$Z$6:$Z$82,0)),"",INDEX(Rens.!$X$6:$X$82,MATCH($P$8,Rens.!$Z$6:$Z$82,0)))))</f>
        <v/>
      </c>
      <c r="R8" s="760"/>
      <c r="S8" s="761"/>
      <c r="T8" s="55"/>
      <c r="U8" s="47"/>
      <c r="V8" s="47"/>
      <c r="W8" s="36">
        <v>36</v>
      </c>
      <c r="X8" s="662"/>
      <c r="Y8" s="664" t="str">
        <f>IF(ISNA(MATCH($W$8,Rens.!$Z$6:$Z$82,0)),"",INDEX(Rens.!$X$6:$X$82,MATCH($W$8,Rens.!$Z$6:$Z$82,0)))</f>
        <v/>
      </c>
      <c r="Z8" s="692"/>
      <c r="AA8" s="692"/>
      <c r="AB8" s="693"/>
      <c r="AC8" s="53">
        <v>1</v>
      </c>
      <c r="AD8" s="54">
        <v>38</v>
      </c>
      <c r="AE8" s="662"/>
      <c r="AF8" s="664" t="str">
        <f>IF(ISNA(MATCH($AD$8,Rens.!$Z$6:$Z$82,0)),"",INDEX(Rens.!$X$6:$X$82,MATCH($AD$8,Rens.!$Z$6:$Z$82,0)))</f>
        <v/>
      </c>
      <c r="AG8" s="692"/>
      <c r="AH8" s="692"/>
      <c r="AI8" s="693"/>
      <c r="AJ8" s="53">
        <v>1</v>
      </c>
      <c r="AK8" s="44"/>
      <c r="AL8" s="47">
        <v>40</v>
      </c>
      <c r="AM8" s="759" t="str">
        <f>IF($AA$2+$AA$3=4,0,IF($AA$2+$AA$3=3,0,IF(ISNA(MATCH($AL$8,Rens.!$Z$6:$Z$82,0)),"",INDEX(Rens.!$X$6:$X$82,MATCH($AL$8,Rens.!$Z$6:$Z$82,0)))))</f>
        <v/>
      </c>
      <c r="AN8" s="760"/>
      <c r="AO8" s="761"/>
      <c r="AP8" s="55"/>
      <c r="AQ8" s="38"/>
      <c r="AR8" s="38"/>
    </row>
    <row r="9" spans="1:44" ht="15.75" thickBot="1">
      <c r="A9" s="52">
        <v>32</v>
      </c>
      <c r="B9" s="663"/>
      <c r="C9" s="694" t="str">
        <f>IF(ISNA(MATCH($A$9,Rens.!$Z$6:$Z$82,0)),"",INDEX(Rens.!$X$6:$X$82,MATCH($A$9,Rens.!$Z$6:$Z$82,0)))</f>
        <v/>
      </c>
      <c r="D9" s="695"/>
      <c r="E9" s="695"/>
      <c r="F9" s="696"/>
      <c r="G9" s="81">
        <v>0</v>
      </c>
      <c r="H9" s="54">
        <v>34</v>
      </c>
      <c r="I9" s="663"/>
      <c r="J9" s="697" t="s">
        <v>71</v>
      </c>
      <c r="K9" s="695"/>
      <c r="L9" s="695"/>
      <c r="M9" s="696"/>
      <c r="N9" s="53">
        <v>0</v>
      </c>
      <c r="O9" s="44"/>
      <c r="P9" s="47"/>
      <c r="Q9" s="56" t="e">
        <f>IF(ISNA(MATCH($P$8,#REF!,0)),"",INDEX(#REF!,MATCH($P$8,#REF!,0)))</f>
        <v>#REF!</v>
      </c>
      <c r="R9" s="47"/>
      <c r="S9" s="47"/>
      <c r="T9" s="51"/>
      <c r="U9" s="47"/>
      <c r="V9" s="47"/>
      <c r="W9" s="36">
        <v>37</v>
      </c>
      <c r="X9" s="663"/>
      <c r="Y9" s="694" t="str">
        <f>IF(ISNA(MATCH($W$9,Rens.!$Z$6:$Z$82,0)),"",INDEX(Rens.!$X$6:$X$82,MATCH($W$9,Rens.!$Z$6:$Z$82,0)))</f>
        <v/>
      </c>
      <c r="Z9" s="695"/>
      <c r="AA9" s="695"/>
      <c r="AB9" s="696"/>
      <c r="AC9" s="81">
        <v>0</v>
      </c>
      <c r="AD9" s="54">
        <v>39</v>
      </c>
      <c r="AE9" s="663"/>
      <c r="AF9" s="697"/>
      <c r="AG9" s="695"/>
      <c r="AH9" s="695"/>
      <c r="AI9" s="696"/>
      <c r="AJ9" s="53">
        <v>0</v>
      </c>
      <c r="AK9" s="44"/>
      <c r="AL9" s="47"/>
      <c r="AM9" s="56" t="e">
        <f>IF(ISNA(MATCH($AL$8,#REF!,0)),"",INDEX(#REF!,MATCH($AL$8,#REF!,0)))</f>
        <v>#REF!</v>
      </c>
      <c r="AN9" s="47"/>
      <c r="AO9" s="47"/>
      <c r="AP9" s="51"/>
      <c r="AQ9" s="38"/>
      <c r="AR9" s="38"/>
    </row>
    <row r="10" spans="1:44" ht="15.75" thickBot="1">
      <c r="A10" s="36"/>
      <c r="B10" s="43"/>
      <c r="C10" s="93" t="s">
        <v>15</v>
      </c>
      <c r="D10" s="37"/>
      <c r="E10" s="47"/>
      <c r="F10" s="47"/>
      <c r="G10" s="47"/>
      <c r="H10" s="47"/>
      <c r="I10" s="47"/>
      <c r="J10" s="50" t="s">
        <v>44</v>
      </c>
      <c r="K10" s="37"/>
      <c r="L10" s="47"/>
      <c r="M10" s="47"/>
      <c r="N10" s="47" t="s">
        <v>74</v>
      </c>
      <c r="O10" s="47"/>
      <c r="P10" s="47"/>
      <c r="Q10" s="47"/>
      <c r="R10" s="47"/>
      <c r="S10" s="47"/>
      <c r="T10" s="51"/>
      <c r="U10" s="47"/>
      <c r="V10" s="47"/>
      <c r="W10" s="36"/>
      <c r="X10" s="43"/>
      <c r="Y10" s="93" t="s">
        <v>15</v>
      </c>
      <c r="Z10" s="37"/>
      <c r="AA10" s="47"/>
      <c r="AB10" s="47"/>
      <c r="AC10" s="47"/>
      <c r="AD10" s="47"/>
      <c r="AE10" s="47"/>
      <c r="AF10" s="50" t="s">
        <v>44</v>
      </c>
      <c r="AG10" s="37"/>
      <c r="AH10" s="47"/>
      <c r="AI10" s="47"/>
      <c r="AJ10" s="47"/>
      <c r="AK10" s="47"/>
      <c r="AL10" s="47"/>
      <c r="AM10" s="47"/>
      <c r="AN10" s="47"/>
      <c r="AO10" s="47"/>
      <c r="AP10" s="51"/>
      <c r="AQ10" s="38"/>
      <c r="AR10" s="38"/>
    </row>
    <row r="11" spans="1:44">
      <c r="A11" s="36"/>
      <c r="B11" s="43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1"/>
      <c r="U11" s="47"/>
      <c r="V11" s="47"/>
      <c r="W11" s="36"/>
      <c r="X11" s="43"/>
      <c r="Y11" s="48"/>
      <c r="Z11" s="48"/>
      <c r="AA11" s="48"/>
      <c r="AB11" s="48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51"/>
      <c r="AQ11" s="38"/>
      <c r="AR11" s="38"/>
    </row>
    <row r="12" spans="1:44">
      <c r="A12" s="36"/>
      <c r="B12" s="43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51"/>
      <c r="U12" s="47"/>
      <c r="V12" s="47"/>
      <c r="W12" s="36"/>
      <c r="X12" s="43"/>
      <c r="Y12" s="48"/>
      <c r="Z12" s="48"/>
      <c r="AA12" s="48"/>
      <c r="AB12" s="48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51"/>
      <c r="AQ12" s="38"/>
      <c r="AR12" s="38"/>
    </row>
    <row r="13" spans="1:44" ht="15.75" thickBot="1">
      <c r="A13" s="36"/>
      <c r="B13" s="49" t="s">
        <v>6</v>
      </c>
      <c r="C13" s="47"/>
      <c r="D13" s="78" t="s">
        <v>61</v>
      </c>
      <c r="E13" s="47"/>
      <c r="F13" s="47"/>
      <c r="G13" s="44" t="s">
        <v>5</v>
      </c>
      <c r="H13" s="44"/>
      <c r="I13" s="47"/>
      <c r="J13" s="47"/>
      <c r="K13" s="47"/>
      <c r="L13" s="47" t="s">
        <v>62</v>
      </c>
      <c r="M13" s="47"/>
      <c r="N13" s="47"/>
      <c r="O13" s="47"/>
      <c r="P13" s="44" t="s">
        <v>6</v>
      </c>
      <c r="Q13" s="47"/>
      <c r="R13" s="78" t="s">
        <v>60</v>
      </c>
      <c r="S13" s="47"/>
      <c r="T13" s="44" t="s">
        <v>5</v>
      </c>
      <c r="U13" s="57"/>
      <c r="V13" s="58"/>
      <c r="W13" s="36"/>
      <c r="X13" s="59" t="s">
        <v>6</v>
      </c>
      <c r="Y13" s="48"/>
      <c r="Z13" s="48" t="s">
        <v>61</v>
      </c>
      <c r="AA13" s="48"/>
      <c r="AB13" s="48"/>
      <c r="AC13" s="44" t="s">
        <v>5</v>
      </c>
      <c r="AD13" s="44"/>
      <c r="AE13" s="47"/>
      <c r="AF13" s="47"/>
      <c r="AG13" s="47"/>
      <c r="AH13" s="47" t="s">
        <v>62</v>
      </c>
      <c r="AI13" s="47"/>
      <c r="AJ13" s="47"/>
      <c r="AK13" s="47"/>
      <c r="AL13" s="44" t="s">
        <v>6</v>
      </c>
      <c r="AM13" s="47"/>
      <c r="AN13" s="47" t="s">
        <v>60</v>
      </c>
      <c r="AO13" s="47"/>
      <c r="AP13" s="45" t="s">
        <v>5</v>
      </c>
      <c r="AQ13" s="58"/>
      <c r="AR13" s="58"/>
    </row>
    <row r="14" spans="1:44" ht="15.75" thickBot="1">
      <c r="A14" s="36"/>
      <c r="B14" s="662"/>
      <c r="C14" s="664" t="str">
        <f>IF($G$8=$G$9,"résultat",IF($G$8&gt;$G$9,$C$9,$C$8))</f>
        <v/>
      </c>
      <c r="D14" s="665"/>
      <c r="E14" s="665"/>
      <c r="F14" s="666"/>
      <c r="G14" s="53">
        <v>1</v>
      </c>
      <c r="H14" s="44"/>
      <c r="I14" s="47"/>
      <c r="J14" s="762" t="str">
        <f>IF(ISTEXT($Q$8),IF(($G$9=$G$8),"résultat",IF(($N$9=$N$8),"résultat",IF(($U$14=2),$C$8,IF(($V$14=2),$C$9,IF(($U$15=2),$J$9,IF(($V$15=2),J8,0)))))))</f>
        <v/>
      </c>
      <c r="K14" s="763"/>
      <c r="L14" s="763"/>
      <c r="M14" s="764"/>
      <c r="N14" s="55"/>
      <c r="O14" s="47"/>
      <c r="P14" s="662"/>
      <c r="Q14" s="765" t="str">
        <f>IF($E$2+$E$3=5,$Q$8,IF($N$8=$N$9,"résultat",IF($N$8&gt;$N$9,$J$8,$J$9)))</f>
        <v/>
      </c>
      <c r="R14" s="766"/>
      <c r="S14" s="767"/>
      <c r="T14" s="61">
        <v>1</v>
      </c>
      <c r="U14" s="62">
        <f>IF(G8&gt;G9,1)+IF(N8&gt;N9,1)</f>
        <v>2</v>
      </c>
      <c r="V14" s="63">
        <f>IF(G9&gt;G8,1)+IF(N9&gt;N8,1)</f>
        <v>0</v>
      </c>
      <c r="W14" s="36"/>
      <c r="X14" s="662"/>
      <c r="Y14" s="737" t="str">
        <f>IF($AC$8=$AC$9,"résultat",IF($AC$8&gt;$AC$9,$Y$9,$Y$8))</f>
        <v/>
      </c>
      <c r="Z14" s="665"/>
      <c r="AA14" s="665"/>
      <c r="AB14" s="666"/>
      <c r="AC14" s="53">
        <v>1</v>
      </c>
      <c r="AD14" s="44"/>
      <c r="AE14" s="47"/>
      <c r="AF14" s="768" t="str">
        <f>IF(ISTEXT($AM$8),IF(($AC$9=$AC$8),"résultat",IF(($AJ$9=$AJ$8),"résultat",IF(($AQ$14=2),$Y$8,IF(($AR$14=2),$Y$9,IF(($AQ$15=2),$AF$9,IF(($AR$15=2),$AF$8,0)))))))</f>
        <v/>
      </c>
      <c r="AG14" s="763"/>
      <c r="AH14" s="763"/>
      <c r="AI14" s="764"/>
      <c r="AJ14" s="60"/>
      <c r="AK14" s="47"/>
      <c r="AL14" s="662"/>
      <c r="AM14" s="765" t="str">
        <f>IF($AA$2+$AA$3=5,$AM$8,IF($AJ$8&gt;$AJ$9,$AF$8,$AF$9))</f>
        <v/>
      </c>
      <c r="AN14" s="766"/>
      <c r="AO14" s="767"/>
      <c r="AP14" s="53">
        <v>1</v>
      </c>
      <c r="AQ14" s="62">
        <f>IF(AC8&gt;AC9,1)+IF(AJ8&gt;AJ9,1)</f>
        <v>2</v>
      </c>
      <c r="AR14" s="63">
        <f>IF(AC9&gt;AC8,1)+IF(AJ9&gt;AJ8,1)</f>
        <v>0</v>
      </c>
    </row>
    <row r="15" spans="1:44" ht="15.75" thickBot="1">
      <c r="A15" s="36"/>
      <c r="B15" s="663"/>
      <c r="C15" s="656" t="str">
        <f>IF($N$8=$N$9,"résultat",IF($N$8&lt;$N$9,$J$8,$J$9))</f>
        <v>D7</v>
      </c>
      <c r="D15" s="657"/>
      <c r="E15" s="657"/>
      <c r="F15" s="658"/>
      <c r="G15" s="64">
        <v>0</v>
      </c>
      <c r="H15" s="44"/>
      <c r="I15" s="47"/>
      <c r="J15" s="65" t="str">
        <f>IF(ISTEXT(J14)," ",0)</f>
        <v xml:space="preserve"> </v>
      </c>
      <c r="K15" s="47"/>
      <c r="L15" s="47"/>
      <c r="M15" s="47"/>
      <c r="N15" s="47"/>
      <c r="O15" s="47"/>
      <c r="P15" s="663"/>
      <c r="Q15" s="656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657"/>
      <c r="S15" s="658"/>
      <c r="T15" s="81">
        <v>0</v>
      </c>
      <c r="U15" s="66">
        <f>IF(G8&gt;G9,1)+IF(N9&gt;N8,1)</f>
        <v>1</v>
      </c>
      <c r="V15" s="67">
        <f>IF(G9&gt;G8,1)+IF(N8&gt;N9,1)</f>
        <v>1</v>
      </c>
      <c r="W15" s="36"/>
      <c r="X15" s="663"/>
      <c r="Y15" s="656">
        <f>IF($AJ$8=$AJ$9,"résultat",IF($AJ$8&lt;$AJ$9,$AF$8,$AF$9))</f>
        <v>0</v>
      </c>
      <c r="Z15" s="657"/>
      <c r="AA15" s="657"/>
      <c r="AB15" s="658"/>
      <c r="AC15" s="53">
        <v>0</v>
      </c>
      <c r="AD15" s="44"/>
      <c r="AE15" s="47"/>
      <c r="AF15" s="47"/>
      <c r="AG15" s="47"/>
      <c r="AH15" s="47"/>
      <c r="AI15" s="47"/>
      <c r="AJ15" s="47"/>
      <c r="AK15" s="47"/>
      <c r="AL15" s="663"/>
      <c r="AM15" s="656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657"/>
      <c r="AO15" s="658"/>
      <c r="AP15" s="80">
        <v>0</v>
      </c>
      <c r="AQ15" s="66">
        <f>IF(AC8&gt;AC9,1)+IF(AJ9&gt;AJ8,1)</f>
        <v>1</v>
      </c>
      <c r="AR15" s="67">
        <f>IF(AC9&gt;AC8,1)+IF(AJ8&gt;AJ9,1)</f>
        <v>1</v>
      </c>
    </row>
    <row r="16" spans="1:44">
      <c r="A16" s="36"/>
      <c r="B16" s="43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68"/>
      <c r="Q16" s="47"/>
      <c r="R16" s="47"/>
      <c r="S16" s="47"/>
      <c r="T16" s="51"/>
      <c r="U16" s="47"/>
      <c r="V16" s="47"/>
      <c r="W16" s="36"/>
      <c r="X16" s="43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51"/>
      <c r="AQ16" s="38"/>
      <c r="AR16" s="38"/>
    </row>
    <row r="17" spans="1:44">
      <c r="A17" s="36"/>
      <c r="B17" s="43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51"/>
      <c r="U17" s="47"/>
      <c r="V17" s="47"/>
      <c r="W17" s="36"/>
      <c r="X17" s="43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51"/>
      <c r="AQ17" s="38"/>
      <c r="AR17" s="38"/>
    </row>
    <row r="18" spans="1:44">
      <c r="A18" s="36"/>
      <c r="B18" s="43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0"/>
      <c r="T18" s="51"/>
      <c r="U18" s="47"/>
      <c r="V18" s="47"/>
      <c r="W18" s="36"/>
      <c r="X18" s="43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51"/>
      <c r="AQ18" s="38"/>
      <c r="AR18" s="38"/>
    </row>
    <row r="19" spans="1:44" ht="15.75" thickBot="1">
      <c r="A19" s="36"/>
      <c r="B19" s="43"/>
      <c r="C19" s="47"/>
      <c r="D19" s="47"/>
      <c r="E19" s="44" t="s">
        <v>6</v>
      </c>
      <c r="F19" s="47"/>
      <c r="G19" s="47"/>
      <c r="H19" s="47"/>
      <c r="I19" s="47"/>
      <c r="J19" s="44" t="s">
        <v>5</v>
      </c>
      <c r="K19" s="44"/>
      <c r="L19" s="44" t="s">
        <v>6</v>
      </c>
      <c r="M19" s="47"/>
      <c r="N19" s="47"/>
      <c r="O19" s="47"/>
      <c r="P19" s="47"/>
      <c r="Q19" s="44" t="s">
        <v>5</v>
      </c>
      <c r="R19" s="47"/>
      <c r="S19" s="47"/>
      <c r="T19" s="51"/>
      <c r="U19" s="69"/>
      <c r="V19" s="47"/>
      <c r="W19" s="36"/>
      <c r="X19" s="43"/>
      <c r="Y19" s="47"/>
      <c r="Z19" s="47"/>
      <c r="AA19" s="44" t="s">
        <v>6</v>
      </c>
      <c r="AB19" s="47"/>
      <c r="AC19" s="47"/>
      <c r="AD19" s="47"/>
      <c r="AE19" s="47"/>
      <c r="AF19" s="44" t="s">
        <v>5</v>
      </c>
      <c r="AG19" s="44"/>
      <c r="AH19" s="44" t="s">
        <v>6</v>
      </c>
      <c r="AI19" s="47"/>
      <c r="AJ19" s="47"/>
      <c r="AK19" s="47"/>
      <c r="AL19" s="47"/>
      <c r="AM19" s="44" t="s">
        <v>5</v>
      </c>
      <c r="AN19" s="47"/>
      <c r="AO19" s="47"/>
      <c r="AP19" s="51"/>
      <c r="AQ19" s="38"/>
      <c r="AR19" s="38"/>
    </row>
    <row r="20" spans="1:44" ht="15.75" thickBot="1">
      <c r="A20" s="36"/>
      <c r="B20" s="43"/>
      <c r="C20" s="47"/>
      <c r="D20" s="47"/>
      <c r="E20" s="662"/>
      <c r="F20" s="694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698"/>
      <c r="H20" s="698"/>
      <c r="I20" s="699"/>
      <c r="J20" s="53">
        <v>0</v>
      </c>
      <c r="K20" s="44"/>
      <c r="L20" s="662" t="s">
        <v>16</v>
      </c>
      <c r="M20" s="748" t="b">
        <f>IF($E$2+$E$3=5,$J$14)</f>
        <v>0</v>
      </c>
      <c r="N20" s="749"/>
      <c r="O20" s="749"/>
      <c r="P20" s="750"/>
      <c r="Q20" s="53">
        <v>0</v>
      </c>
      <c r="R20" s="47"/>
      <c r="S20" s="47"/>
      <c r="T20" s="51"/>
      <c r="U20" s="47"/>
      <c r="V20" s="47"/>
      <c r="W20" s="36"/>
      <c r="X20" s="43"/>
      <c r="Y20" s="47"/>
      <c r="Z20" s="47"/>
      <c r="AA20" s="662"/>
      <c r="AB20" s="694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698"/>
      <c r="AD20" s="698"/>
      <c r="AE20" s="699"/>
      <c r="AF20" s="53">
        <v>0</v>
      </c>
      <c r="AG20" s="44"/>
      <c r="AH20" s="662" t="s">
        <v>16</v>
      </c>
      <c r="AI20" s="748" t="b">
        <f>IF($AA$2+$AA$3=5,$AF$14)</f>
        <v>0</v>
      </c>
      <c r="AJ20" s="749"/>
      <c r="AK20" s="749"/>
      <c r="AL20" s="750"/>
      <c r="AM20" s="53">
        <v>0</v>
      </c>
      <c r="AN20" s="47"/>
      <c r="AO20" s="47"/>
      <c r="AP20" s="51"/>
      <c r="AQ20" s="38"/>
      <c r="AR20" s="38"/>
    </row>
    <row r="21" spans="1:44" ht="15.75" thickBot="1">
      <c r="A21" s="36"/>
      <c r="B21" s="43"/>
      <c r="C21" s="47"/>
      <c r="D21" s="47"/>
      <c r="E21" s="663"/>
      <c r="F21" s="694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695"/>
      <c r="H21" s="695"/>
      <c r="I21" s="696"/>
      <c r="J21" s="53">
        <v>0</v>
      </c>
      <c r="K21" s="44"/>
      <c r="L21" s="663"/>
      <c r="M21" s="694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695"/>
      <c r="O21" s="695"/>
      <c r="P21" s="696"/>
      <c r="Q21" s="53">
        <v>0</v>
      </c>
      <c r="R21" s="47"/>
      <c r="S21" s="69"/>
      <c r="T21" s="51"/>
      <c r="U21" s="47"/>
      <c r="V21" s="40"/>
      <c r="W21" s="36"/>
      <c r="X21" s="43"/>
      <c r="Y21" s="47"/>
      <c r="Z21" s="47"/>
      <c r="AA21" s="663"/>
      <c r="AB21" s="694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695"/>
      <c r="AD21" s="695"/>
      <c r="AE21" s="696"/>
      <c r="AF21" s="53">
        <v>0</v>
      </c>
      <c r="AG21" s="44"/>
      <c r="AH21" s="663"/>
      <c r="AI21" s="694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695"/>
      <c r="AK21" s="695"/>
      <c r="AL21" s="696"/>
      <c r="AM21" s="53">
        <v>0</v>
      </c>
      <c r="AN21" s="47"/>
      <c r="AO21" s="47"/>
      <c r="AP21" s="51"/>
      <c r="AQ21" s="38"/>
      <c r="AR21" s="38"/>
    </row>
    <row r="22" spans="1:44">
      <c r="A22" s="36"/>
      <c r="B22" s="43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51"/>
      <c r="U22" s="47"/>
      <c r="V22" s="47"/>
      <c r="W22" s="36"/>
      <c r="X22" s="43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51"/>
      <c r="AQ22" s="38"/>
      <c r="AR22" s="38"/>
    </row>
    <row r="23" spans="1:44">
      <c r="A23" s="36"/>
      <c r="B23" s="43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51"/>
      <c r="U23" s="47"/>
      <c r="V23" s="47"/>
      <c r="W23" s="36"/>
      <c r="X23" s="43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51"/>
      <c r="AQ23" s="38"/>
      <c r="AR23" s="38"/>
    </row>
    <row r="24" spans="1:44" ht="15.75" thickBot="1">
      <c r="A24" s="36"/>
      <c r="B24" s="43"/>
      <c r="C24" s="47"/>
      <c r="D24" s="47"/>
      <c r="E24" s="47"/>
      <c r="F24" s="47"/>
      <c r="G24" s="47"/>
      <c r="H24" s="47"/>
      <c r="I24" s="44" t="s">
        <v>6</v>
      </c>
      <c r="J24" s="47"/>
      <c r="K24" s="47"/>
      <c r="L24" s="47"/>
      <c r="M24" s="47"/>
      <c r="N24" s="44" t="s">
        <v>5</v>
      </c>
      <c r="O24" s="44"/>
      <c r="P24" s="70"/>
      <c r="Q24" s="47"/>
      <c r="R24" s="47"/>
      <c r="S24" s="47"/>
      <c r="T24" s="51"/>
      <c r="U24" s="47"/>
      <c r="V24" s="47"/>
      <c r="W24" s="36"/>
      <c r="X24" s="43"/>
      <c r="Y24" s="47"/>
      <c r="Z24" s="47"/>
      <c r="AA24" s="47"/>
      <c r="AB24" s="47"/>
      <c r="AC24" s="47"/>
      <c r="AD24" s="47"/>
      <c r="AE24" s="44" t="s">
        <v>6</v>
      </c>
      <c r="AF24" s="47"/>
      <c r="AG24" s="47"/>
      <c r="AH24" s="47"/>
      <c r="AI24" s="47"/>
      <c r="AJ24" s="44" t="s">
        <v>5</v>
      </c>
      <c r="AK24" s="44"/>
      <c r="AL24" s="70"/>
      <c r="AM24" s="47"/>
      <c r="AN24" s="47"/>
      <c r="AO24" s="47"/>
      <c r="AP24" s="51"/>
      <c r="AQ24" s="38"/>
      <c r="AR24" s="38"/>
    </row>
    <row r="25" spans="1:44" ht="15.75" thickBot="1">
      <c r="A25" s="36"/>
      <c r="B25" s="43"/>
      <c r="C25" s="47"/>
      <c r="D25" s="47"/>
      <c r="E25" s="47"/>
      <c r="F25" s="47"/>
      <c r="G25" s="47"/>
      <c r="H25" s="47"/>
      <c r="I25" s="662"/>
      <c r="J25" s="715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716"/>
      <c r="L25" s="716"/>
      <c r="M25" s="717"/>
      <c r="N25" s="53">
        <v>1</v>
      </c>
      <c r="O25" s="44"/>
      <c r="P25" s="47"/>
      <c r="Q25" s="47"/>
      <c r="R25" s="47"/>
      <c r="S25" s="47"/>
      <c r="T25" s="51"/>
      <c r="U25" s="47"/>
      <c r="V25" s="47"/>
      <c r="W25" s="36"/>
      <c r="X25" s="43"/>
      <c r="Y25" s="47"/>
      <c r="Z25" s="47"/>
      <c r="AA25" s="47"/>
      <c r="AB25" s="47"/>
      <c r="AC25" s="47"/>
      <c r="AD25" s="47"/>
      <c r="AE25" s="662"/>
      <c r="AF25" s="715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716"/>
      <c r="AH25" s="716"/>
      <c r="AI25" s="717"/>
      <c r="AJ25" s="53">
        <v>1</v>
      </c>
      <c r="AK25" s="44"/>
      <c r="AL25" s="47"/>
      <c r="AM25" s="47"/>
      <c r="AN25" s="47"/>
      <c r="AO25" s="47"/>
      <c r="AP25" s="51"/>
      <c r="AQ25" s="38"/>
      <c r="AR25" s="38"/>
    </row>
    <row r="26" spans="1:44" ht="15.75" thickBot="1">
      <c r="A26" s="36"/>
      <c r="B26" s="43"/>
      <c r="C26" s="47"/>
      <c r="D26" s="47"/>
      <c r="E26" s="47"/>
      <c r="F26" s="47"/>
      <c r="G26" s="47"/>
      <c r="H26" s="47"/>
      <c r="I26" s="663"/>
      <c r="J26" s="712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713"/>
      <c r="L26" s="713"/>
      <c r="M26" s="714"/>
      <c r="N26" s="53">
        <v>0</v>
      </c>
      <c r="O26" s="44"/>
      <c r="P26" s="47"/>
      <c r="Q26" s="47"/>
      <c r="R26" s="47"/>
      <c r="S26" s="47"/>
      <c r="T26" s="51"/>
      <c r="U26" s="47"/>
      <c r="V26" s="47"/>
      <c r="W26" s="36"/>
      <c r="X26" s="43"/>
      <c r="Y26" s="47"/>
      <c r="Z26" s="47"/>
      <c r="AA26" s="47"/>
      <c r="AB26" s="47"/>
      <c r="AC26" s="47"/>
      <c r="AD26" s="47"/>
      <c r="AE26" s="663"/>
      <c r="AF26" s="712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713"/>
      <c r="AH26" s="713"/>
      <c r="AI26" s="714"/>
      <c r="AJ26" s="53">
        <v>0</v>
      </c>
      <c r="AK26" s="44"/>
      <c r="AL26" s="47"/>
      <c r="AM26" s="47"/>
      <c r="AN26" s="47"/>
      <c r="AO26" s="47"/>
      <c r="AP26" s="51"/>
      <c r="AQ26" s="38"/>
      <c r="AR26" s="38"/>
    </row>
    <row r="27" spans="1:44" ht="15.75" thickBot="1">
      <c r="A27" s="36"/>
      <c r="B27" s="43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1"/>
      <c r="U27" s="47"/>
      <c r="V27" s="47"/>
      <c r="W27" s="36"/>
      <c r="X27" s="43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51"/>
      <c r="AQ27" s="38"/>
      <c r="AR27" s="38"/>
    </row>
    <row r="28" spans="1:44" ht="15.75" thickBot="1">
      <c r="A28" s="36"/>
      <c r="B28" s="43"/>
      <c r="D28" s="47"/>
      <c r="E28" s="47"/>
      <c r="F28" s="47"/>
      <c r="G28" s="47"/>
      <c r="H28" s="47"/>
      <c r="I28" s="47"/>
      <c r="J28" s="744" t="s">
        <v>59</v>
      </c>
      <c r="K28" s="745"/>
      <c r="L28" s="745"/>
      <c r="M28" s="746"/>
      <c r="N28" s="47"/>
      <c r="O28" s="47"/>
      <c r="P28" s="69"/>
      <c r="Q28" s="47"/>
      <c r="R28" s="47"/>
      <c r="S28" s="47"/>
      <c r="T28" s="51"/>
      <c r="W28" s="36"/>
      <c r="X28" s="43"/>
      <c r="Z28" s="47"/>
      <c r="AA28" s="47"/>
      <c r="AB28" s="47"/>
      <c r="AC28" s="47"/>
      <c r="AD28" s="47"/>
      <c r="AE28" s="47"/>
      <c r="AF28" s="744" t="s">
        <v>59</v>
      </c>
      <c r="AG28" s="745"/>
      <c r="AH28" s="745"/>
      <c r="AI28" s="746"/>
      <c r="AJ28" s="47"/>
      <c r="AK28" s="47"/>
      <c r="AL28" s="69"/>
      <c r="AM28" s="47"/>
      <c r="AN28" s="47"/>
      <c r="AO28" s="47"/>
      <c r="AP28" s="51"/>
    </row>
    <row r="29" spans="1:44" ht="15.75" thickBot="1">
      <c r="A29" s="36"/>
      <c r="B29" s="43"/>
      <c r="D29" s="653" t="s">
        <v>0</v>
      </c>
      <c r="E29" s="654"/>
      <c r="F29" s="655"/>
      <c r="G29" s="47"/>
      <c r="H29" s="667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772"/>
      <c r="J29" s="772"/>
      <c r="K29" s="772"/>
      <c r="L29" s="772"/>
      <c r="M29" s="772"/>
      <c r="N29" s="773"/>
      <c r="O29" s="47"/>
      <c r="P29" s="47"/>
      <c r="Q29" s="47"/>
      <c r="R29" s="47"/>
      <c r="S29" s="47"/>
      <c r="T29" s="51"/>
      <c r="W29" s="36"/>
      <c r="X29" s="43"/>
      <c r="Z29" s="653" t="s">
        <v>0</v>
      </c>
      <c r="AA29" s="654"/>
      <c r="AB29" s="655"/>
      <c r="AC29" s="47"/>
      <c r="AD29" s="667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772"/>
      <c r="AF29" s="772"/>
      <c r="AG29" s="772"/>
      <c r="AH29" s="772"/>
      <c r="AI29" s="772"/>
      <c r="AJ29" s="773"/>
      <c r="AK29" s="47"/>
      <c r="AL29" s="47"/>
      <c r="AM29" s="60" t="s">
        <v>75</v>
      </c>
      <c r="AN29" s="47"/>
      <c r="AO29" s="47"/>
      <c r="AP29" s="51"/>
    </row>
    <row r="30" spans="1:44">
      <c r="A30" s="36"/>
      <c r="B30" s="43"/>
      <c r="D30" s="650" t="s">
        <v>1</v>
      </c>
      <c r="E30" s="651"/>
      <c r="F30" s="652"/>
      <c r="G30" s="47"/>
      <c r="H30" s="670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671"/>
      <c r="J30" s="671"/>
      <c r="K30" s="671"/>
      <c r="L30" s="671"/>
      <c r="M30" s="671"/>
      <c r="N30" s="672"/>
      <c r="O30" s="47"/>
      <c r="P30" s="71"/>
      <c r="Q30" s="71"/>
      <c r="R30" s="71"/>
      <c r="S30" s="71"/>
      <c r="T30" s="51"/>
      <c r="W30" s="36"/>
      <c r="X30" s="43"/>
      <c r="Z30" s="650" t="s">
        <v>1</v>
      </c>
      <c r="AA30" s="651"/>
      <c r="AB30" s="652"/>
      <c r="AC30" s="47"/>
      <c r="AD30" s="670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671"/>
      <c r="AF30" s="671"/>
      <c r="AG30" s="671"/>
      <c r="AH30" s="671"/>
      <c r="AI30" s="671"/>
      <c r="AJ30" s="672"/>
      <c r="AK30" s="47"/>
      <c r="AL30" s="71"/>
      <c r="AM30" s="71"/>
      <c r="AN30" s="71"/>
      <c r="AO30" s="47"/>
      <c r="AP30" s="51"/>
    </row>
    <row r="31" spans="1:44">
      <c r="A31" s="36"/>
      <c r="B31" s="43"/>
      <c r="D31" s="650" t="s">
        <v>2</v>
      </c>
      <c r="E31" s="651"/>
      <c r="F31" s="652"/>
      <c r="G31" s="47"/>
      <c r="H31" s="774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775"/>
      <c r="J31" s="775"/>
      <c r="K31" s="775"/>
      <c r="L31" s="775"/>
      <c r="M31" s="775"/>
      <c r="N31" s="776"/>
      <c r="O31" s="47"/>
      <c r="P31" s="47"/>
      <c r="Q31" s="47"/>
      <c r="R31" s="47"/>
      <c r="S31" s="47"/>
      <c r="T31" s="51"/>
      <c r="W31" s="36"/>
      <c r="X31" s="43"/>
      <c r="Z31" s="650" t="s">
        <v>2</v>
      </c>
      <c r="AA31" s="651"/>
      <c r="AB31" s="652"/>
      <c r="AC31" s="47"/>
      <c r="AD31" s="676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677"/>
      <c r="AF31" s="677"/>
      <c r="AG31" s="677"/>
      <c r="AH31" s="677"/>
      <c r="AI31" s="677"/>
      <c r="AJ31" s="678"/>
      <c r="AK31" s="47"/>
      <c r="AL31" s="47"/>
      <c r="AM31" s="47"/>
      <c r="AN31" s="47"/>
      <c r="AO31" s="47"/>
      <c r="AP31" s="51"/>
    </row>
    <row r="32" spans="1:44">
      <c r="A32" s="36"/>
      <c r="B32" s="43"/>
      <c r="D32" s="650" t="s">
        <v>3</v>
      </c>
      <c r="E32" s="651"/>
      <c r="F32" s="652"/>
      <c r="G32" s="47"/>
      <c r="H32" s="774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775"/>
      <c r="J32" s="775"/>
      <c r="K32" s="775"/>
      <c r="L32" s="775"/>
      <c r="M32" s="775"/>
      <c r="N32" s="776"/>
      <c r="O32" s="47"/>
      <c r="P32" s="47"/>
      <c r="Q32" s="47"/>
      <c r="R32" s="47"/>
      <c r="S32" s="47"/>
      <c r="T32" s="51"/>
      <c r="W32" s="36"/>
      <c r="X32" s="43"/>
      <c r="Z32" s="650" t="s">
        <v>3</v>
      </c>
      <c r="AA32" s="651"/>
      <c r="AB32" s="652"/>
      <c r="AC32" s="47"/>
      <c r="AD32" s="774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775"/>
      <c r="AF32" s="775"/>
      <c r="AG32" s="775"/>
      <c r="AH32" s="775"/>
      <c r="AI32" s="775"/>
      <c r="AJ32" s="776"/>
      <c r="AK32" s="47"/>
      <c r="AL32" s="47"/>
      <c r="AM32" s="47"/>
      <c r="AN32" s="47"/>
      <c r="AO32" s="47"/>
      <c r="AP32" s="51"/>
    </row>
    <row r="33" spans="1:44" ht="15.75" thickBot="1">
      <c r="A33" s="36"/>
      <c r="B33" s="43"/>
      <c r="D33" s="682" t="s">
        <v>4</v>
      </c>
      <c r="E33" s="683"/>
      <c r="F33" s="684"/>
      <c r="G33" s="47"/>
      <c r="H33" s="685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686"/>
      <c r="J33" s="686"/>
      <c r="K33" s="686"/>
      <c r="L33" s="686"/>
      <c r="M33" s="686"/>
      <c r="N33" s="687"/>
      <c r="O33" s="47"/>
      <c r="P33" s="47"/>
      <c r="Q33" s="47"/>
      <c r="R33" s="47"/>
      <c r="S33" s="47"/>
      <c r="T33" s="51"/>
      <c r="W33" s="36"/>
      <c r="X33" s="43"/>
      <c r="Z33" s="682" t="s">
        <v>4</v>
      </c>
      <c r="AA33" s="683"/>
      <c r="AB33" s="684"/>
      <c r="AC33" s="47"/>
      <c r="AD33" s="685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686"/>
      <c r="AF33" s="686"/>
      <c r="AG33" s="686"/>
      <c r="AH33" s="686"/>
      <c r="AI33" s="686"/>
      <c r="AJ33" s="687"/>
      <c r="AK33" s="47"/>
      <c r="AL33" s="47"/>
      <c r="AM33" s="47"/>
      <c r="AN33" s="47"/>
      <c r="AO33" s="47"/>
      <c r="AP33" s="51"/>
    </row>
    <row r="34" spans="1:44">
      <c r="A34" s="36"/>
      <c r="B34" s="43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47"/>
      <c r="O34" s="47"/>
      <c r="P34" s="47"/>
      <c r="Q34" s="47"/>
      <c r="R34" s="47"/>
      <c r="S34" s="47"/>
      <c r="T34" s="51"/>
      <c r="U34" s="47"/>
      <c r="V34" s="47"/>
      <c r="W34" s="36"/>
      <c r="X34" s="43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7"/>
      <c r="AK34" s="47"/>
      <c r="AL34" s="47"/>
      <c r="AM34" s="47"/>
      <c r="AN34" s="47"/>
      <c r="AO34" s="47"/>
      <c r="AP34" s="51"/>
      <c r="AQ34" s="38"/>
      <c r="AR34" s="38"/>
    </row>
    <row r="35" spans="1:44" ht="15.75" thickBot="1">
      <c r="A35" s="36"/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74"/>
      <c r="P35" s="74"/>
      <c r="Q35" s="74"/>
      <c r="R35" s="74"/>
      <c r="S35" s="74"/>
      <c r="T35" s="75"/>
      <c r="U35" s="36"/>
      <c r="V35" s="36"/>
      <c r="W35" s="36"/>
      <c r="X35" s="72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5"/>
      <c r="AQ35" s="38"/>
      <c r="AR35" s="38"/>
    </row>
    <row r="39" spans="1:4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</sheetData>
  <sheetProtection formatColumns="0" formatRows="0" selectLockedCells="1"/>
  <mergeCells count="88">
    <mergeCell ref="H30:N30"/>
    <mergeCell ref="Z30:AB30"/>
    <mergeCell ref="AD30:AJ30"/>
    <mergeCell ref="D31:F31"/>
    <mergeCell ref="H31:N31"/>
    <mergeCell ref="Z31:AB31"/>
    <mergeCell ref="AD31:AJ31"/>
    <mergeCell ref="D30:F30"/>
    <mergeCell ref="I25:I26"/>
    <mergeCell ref="J25:M25"/>
    <mergeCell ref="AE25:AE26"/>
    <mergeCell ref="AF25:AI25"/>
    <mergeCell ref="J26:M26"/>
    <mergeCell ref="AF26:AI26"/>
    <mergeCell ref="AA20:AA21"/>
    <mergeCell ref="AB20:AE20"/>
    <mergeCell ref="AH20:AH21"/>
    <mergeCell ref="AI20:AL20"/>
    <mergeCell ref="F21:I21"/>
    <mergeCell ref="M21:P21"/>
    <mergeCell ref="AB21:AE21"/>
    <mergeCell ref="AI21:AL21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Y9:AB9"/>
    <mergeCell ref="AF9:AI9"/>
    <mergeCell ref="B8:B9"/>
    <mergeCell ref="C8:F8"/>
    <mergeCell ref="I8:I9"/>
    <mergeCell ref="J8:M8"/>
    <mergeCell ref="Q8:S8"/>
    <mergeCell ref="C9:F9"/>
    <mergeCell ref="J9:M9"/>
    <mergeCell ref="B14:B15"/>
    <mergeCell ref="C14:F14"/>
    <mergeCell ref="J14:M14"/>
    <mergeCell ref="P14:P15"/>
    <mergeCell ref="E20:E21"/>
    <mergeCell ref="F20:I20"/>
    <mergeCell ref="L20:L21"/>
    <mergeCell ref="M20:P20"/>
    <mergeCell ref="D32:F32"/>
    <mergeCell ref="H32:N32"/>
    <mergeCell ref="Z32:AB32"/>
    <mergeCell ref="AD32:AJ32"/>
    <mergeCell ref="D33:F33"/>
    <mergeCell ref="H33:N33"/>
    <mergeCell ref="Z33:AB33"/>
    <mergeCell ref="AD33:AJ33"/>
    <mergeCell ref="J28:M28"/>
    <mergeCell ref="AF28:AI28"/>
    <mergeCell ref="D29:F29"/>
    <mergeCell ref="H29:N29"/>
    <mergeCell ref="Z29:AB29"/>
    <mergeCell ref="AD29:AJ29"/>
    <mergeCell ref="X2:Z2"/>
    <mergeCell ref="T4:T5"/>
    <mergeCell ref="Y4:AO4"/>
    <mergeCell ref="X1:Z1"/>
    <mergeCell ref="AA1:AC1"/>
    <mergeCell ref="AE1:AH1"/>
    <mergeCell ref="AJ1:AO1"/>
    <mergeCell ref="AB2:AC2"/>
    <mergeCell ref="AE2:AG2"/>
    <mergeCell ref="AH2:AP2"/>
    <mergeCell ref="AP4:AP5"/>
    <mergeCell ref="I1:L1"/>
    <mergeCell ref="N1:S1"/>
    <mergeCell ref="B1:D1"/>
    <mergeCell ref="E1:G1"/>
    <mergeCell ref="B2:D2"/>
    <mergeCell ref="F2:G2"/>
    <mergeCell ref="I2:K2"/>
    <mergeCell ref="L2:T2"/>
  </mergeCells>
  <conditionalFormatting sqref="H32">
    <cfRule type="expression" dxfId="343" priority="200">
      <formula>$H$2=5</formula>
    </cfRule>
    <cfRule type="expression" dxfId="342" priority="201">
      <formula>$H$2=4</formula>
    </cfRule>
    <cfRule type="expression" dxfId="341" priority="202">
      <formula>$H$2=0</formula>
    </cfRule>
  </conditionalFormatting>
  <conditionalFormatting sqref="H29:N29">
    <cfRule type="expression" dxfId="340" priority="197">
      <formula>$H$2=0</formula>
    </cfRule>
    <cfRule type="expression" dxfId="339" priority="198" stopIfTrue="1">
      <formula>(OR(H2="1",H2="2",H2="3"))</formula>
    </cfRule>
  </conditionalFormatting>
  <conditionalFormatting sqref="H30:N30">
    <cfRule type="expression" dxfId="338" priority="196">
      <formula>(OR(H2="2",H2="3"))</formula>
    </cfRule>
  </conditionalFormatting>
  <conditionalFormatting sqref="H31:N31">
    <cfRule type="expression" dxfId="337" priority="195">
      <formula>(H2="3")</formula>
    </cfRule>
  </conditionalFormatting>
  <conditionalFormatting sqref="H32:N32">
    <cfRule type="cellIs" dxfId="336" priority="194" operator="equal">
      <formula>0</formula>
    </cfRule>
  </conditionalFormatting>
  <conditionalFormatting sqref="H33:N33">
    <cfRule type="cellIs" dxfId="335" priority="193" operator="equal">
      <formula>0</formula>
    </cfRule>
  </conditionalFormatting>
  <conditionalFormatting sqref="AD32">
    <cfRule type="expression" dxfId="334" priority="184">
      <formula>$H$2=5</formula>
    </cfRule>
    <cfRule type="expression" dxfId="333" priority="185">
      <formula>$H$2=4</formula>
    </cfRule>
    <cfRule type="expression" dxfId="332" priority="186">
      <formula>$AA$2=0</formula>
    </cfRule>
  </conditionalFormatting>
  <conditionalFormatting sqref="AD32:AJ32">
    <cfRule type="cellIs" dxfId="331" priority="179" operator="equal">
      <formula>0</formula>
    </cfRule>
  </conditionalFormatting>
  <conditionalFormatting sqref="AD33:AJ33">
    <cfRule type="cellIs" dxfId="330" priority="178" operator="equal">
      <formula>0</formula>
    </cfRule>
  </conditionalFormatting>
  <conditionalFormatting sqref="H33 AD33">
    <cfRule type="expression" dxfId="329" priority="225">
      <formula>$AF$2=5</formula>
    </cfRule>
  </conditionalFormatting>
  <conditionalFormatting sqref="AD33">
    <cfRule type="expression" dxfId="328" priority="224">
      <formula>$AA$2=0</formula>
    </cfRule>
  </conditionalFormatting>
  <conditionalFormatting sqref="AD30">
    <cfRule type="expression" dxfId="327" priority="210">
      <formula>$AA$2=0</formula>
    </cfRule>
    <cfRule type="expression" dxfId="326" priority="211">
      <formula>$AF$2=5</formula>
    </cfRule>
    <cfRule type="expression" dxfId="325" priority="212">
      <formula>$AF$2=4</formula>
    </cfRule>
    <cfRule type="expression" dxfId="324" priority="213">
      <formula>$AF$2=3</formula>
    </cfRule>
    <cfRule type="expression" dxfId="323" priority="214">
      <formula>$AF$2=2</formula>
    </cfRule>
  </conditionalFormatting>
  <conditionalFormatting sqref="AD31:AJ31">
    <cfRule type="expression" dxfId="322" priority="206">
      <formula>$AA$2=0</formula>
    </cfRule>
    <cfRule type="expression" dxfId="321" priority="207">
      <formula>$AF$2=5</formula>
    </cfRule>
    <cfRule type="expression" dxfId="320" priority="208">
      <formula>$AF$2=4</formula>
    </cfRule>
    <cfRule type="expression" dxfId="319" priority="209">
      <formula>$AF$2=3</formula>
    </cfRule>
  </conditionalFormatting>
  <conditionalFormatting sqref="AD32:AJ32">
    <cfRule type="expression" dxfId="318" priority="203">
      <formula>$AF$2=5</formula>
    </cfRule>
    <cfRule type="expression" dxfId="317" priority="204">
      <formula>$AA$2=0</formula>
    </cfRule>
    <cfRule type="expression" dxfId="316" priority="205">
      <formula>$AF$2=4</formula>
    </cfRule>
  </conditionalFormatting>
  <conditionalFormatting sqref="AD29:AJ29">
    <cfRule type="expression" dxfId="315" priority="199">
      <formula>$AF$2=1</formula>
    </cfRule>
  </conditionalFormatting>
  <conditionalFormatting sqref="AD29:AJ29">
    <cfRule type="expression" dxfId="314" priority="182">
      <formula>$AA$2=0</formula>
    </cfRule>
    <cfRule type="expression" dxfId="313" priority="183" stopIfTrue="1">
      <formula>(OR(AF2="1",AF2="2",AF2="3"))</formula>
    </cfRule>
  </conditionalFormatting>
  <conditionalFormatting sqref="AD30:AJ30">
    <cfRule type="expression" dxfId="312" priority="181">
      <formula>(OR(AF2="2",AF2="3"))</formula>
    </cfRule>
  </conditionalFormatting>
  <conditionalFormatting sqref="AD31:AJ31">
    <cfRule type="expression" dxfId="311" priority="180">
      <formula>(AF2="3")</formula>
    </cfRule>
  </conditionalFormatting>
  <conditionalFormatting sqref="AD29">
    <cfRule type="expression" dxfId="310" priority="264">
      <formula>$AF$2=2</formula>
    </cfRule>
    <cfRule type="expression" dxfId="309" priority="265">
      <formula>$AF$2=5</formula>
    </cfRule>
    <cfRule type="expression" dxfId="308" priority="266">
      <formula>$AF$2=4</formula>
    </cfRule>
    <cfRule type="expression" dxfId="307" priority="267">
      <formula>$AF$2=3</formula>
    </cfRule>
    <cfRule type="expression" dxfId="306" priority="268">
      <formula>$AA$2=0</formula>
    </cfRule>
  </conditionalFormatting>
  <conditionalFormatting sqref="H33 AD33">
    <cfRule type="expression" dxfId="305" priority="163">
      <formula>$AD$2=5</formula>
    </cfRule>
  </conditionalFormatting>
  <conditionalFormatting sqref="AD33">
    <cfRule type="expression" dxfId="304" priority="162">
      <formula>$AD$2=0</formula>
    </cfRule>
  </conditionalFormatting>
  <conditionalFormatting sqref="AD29">
    <cfRule type="expression" dxfId="303" priority="154">
      <formula>$AD$2=2</formula>
    </cfRule>
    <cfRule type="expression" dxfId="302" priority="155">
      <formula>$AD$2=5</formula>
    </cfRule>
    <cfRule type="expression" dxfId="301" priority="156">
      <formula>$AD$2=4</formula>
    </cfRule>
    <cfRule type="expression" dxfId="300" priority="157">
      <formula>$AD$2=3</formula>
    </cfRule>
    <cfRule type="expression" dxfId="299" priority="158">
      <formula>$H$2=0</formula>
    </cfRule>
  </conditionalFormatting>
  <conditionalFormatting sqref="AD30">
    <cfRule type="expression" dxfId="298" priority="149">
      <formula>$AD$2=0</formula>
    </cfRule>
    <cfRule type="expression" dxfId="297" priority="150">
      <formula>$AD$2=5</formula>
    </cfRule>
    <cfRule type="expression" dxfId="296" priority="151">
      <formula>$AD$2=4</formula>
    </cfRule>
    <cfRule type="expression" dxfId="295" priority="152">
      <formula>$AD$2=3</formula>
    </cfRule>
    <cfRule type="expression" dxfId="294" priority="153">
      <formula>$AD$2=2</formula>
    </cfRule>
  </conditionalFormatting>
  <conditionalFormatting sqref="AD31">
    <cfRule type="expression" dxfId="293" priority="145">
      <formula>$AD$2=0</formula>
    </cfRule>
    <cfRule type="expression" dxfId="292" priority="146">
      <formula>$AD$2=5</formula>
    </cfRule>
    <cfRule type="expression" dxfId="291" priority="147">
      <formula>$AD$2=4</formula>
    </cfRule>
    <cfRule type="expression" dxfId="290" priority="148">
      <formula>$AD$2=3</formula>
    </cfRule>
  </conditionalFormatting>
  <conditionalFormatting sqref="AD32:AJ32">
    <cfRule type="cellIs" dxfId="289" priority="141" operator="equal">
      <formula>0</formula>
    </cfRule>
    <cfRule type="expression" dxfId="288" priority="142">
      <formula>$AD$2=5</formula>
    </cfRule>
    <cfRule type="expression" dxfId="287" priority="143">
      <formula>$AD$2=0</formula>
    </cfRule>
    <cfRule type="expression" dxfId="286" priority="144">
      <formula>$AD$2=4</formula>
    </cfRule>
  </conditionalFormatting>
  <conditionalFormatting sqref="H32 AD32">
    <cfRule type="expression" dxfId="285" priority="140">
      <formula>$H$2=0</formula>
    </cfRule>
  </conditionalFormatting>
  <conditionalFormatting sqref="AD29:AJ29">
    <cfRule type="expression" dxfId="284" priority="139">
      <formula>$AD$2=1</formula>
    </cfRule>
  </conditionalFormatting>
  <conditionalFormatting sqref="H29:N29">
    <cfRule type="expression" dxfId="283" priority="137">
      <formula>$H$2=0</formula>
    </cfRule>
    <cfRule type="expression" dxfId="282" priority="138" stopIfTrue="1">
      <formula>(OR(H2="1",H2="2",H2="3"))</formula>
    </cfRule>
  </conditionalFormatting>
  <conditionalFormatting sqref="H30:N30">
    <cfRule type="expression" dxfId="281" priority="136">
      <formula>(OR(H2="2",H2="3"))</formula>
    </cfRule>
  </conditionalFormatting>
  <conditionalFormatting sqref="H31:N31">
    <cfRule type="cellIs" dxfId="280" priority="134" operator="equal">
      <formula>0</formula>
    </cfRule>
    <cfRule type="expression" dxfId="279" priority="135">
      <formula>(H2="3")</formula>
    </cfRule>
  </conditionalFormatting>
  <conditionalFormatting sqref="AD29:AJ29">
    <cfRule type="expression" dxfId="278" priority="132">
      <formula>$H$2=0</formula>
    </cfRule>
    <cfRule type="expression" dxfId="277" priority="133" stopIfTrue="1">
      <formula>(OR(AD2="1",AD2="2",AD2="3"))</formula>
    </cfRule>
  </conditionalFormatting>
  <conditionalFormatting sqref="AD30:AJ30">
    <cfRule type="expression" dxfId="276" priority="131">
      <formula>(OR(AD2="2",AD2="3"))</formula>
    </cfRule>
  </conditionalFormatting>
  <conditionalFormatting sqref="AD31">
    <cfRule type="expression" dxfId="275" priority="130">
      <formula>(AD2="3")</formula>
    </cfRule>
  </conditionalFormatting>
  <conditionalFormatting sqref="H33:N33">
    <cfRule type="cellIs" dxfId="274" priority="109" operator="equal">
      <formula>0</formula>
    </cfRule>
  </conditionalFormatting>
  <conditionalFormatting sqref="H32:N32">
    <cfRule type="cellIs" dxfId="273" priority="108" operator="equal">
      <formula>0</formula>
    </cfRule>
  </conditionalFormatting>
  <conditionalFormatting sqref="AD33:AJ33">
    <cfRule type="cellIs" dxfId="272" priority="106" operator="equal">
      <formula>0</formula>
    </cfRule>
  </conditionalFormatting>
  <conditionalFormatting sqref="AD31:AJ31">
    <cfRule type="cellIs" dxfId="271" priority="105" operator="equal">
      <formula>0</formula>
    </cfRule>
  </conditionalFormatting>
  <conditionalFormatting sqref="C8:F9">
    <cfRule type="expression" dxfId="270" priority="67">
      <formula>(OR($E$2=3,$E$2=4,$E$2=5))</formula>
    </cfRule>
  </conditionalFormatting>
  <conditionalFormatting sqref="AF9:AI9">
    <cfRule type="cellIs" dxfId="269" priority="7" operator="equal">
      <formula>$E$2=0</formula>
    </cfRule>
  </conditionalFormatting>
  <conditionalFormatting sqref="AF8:AI9">
    <cfRule type="expression" dxfId="268" priority="6">
      <formula>(OR($E$2=3,$E$2=4,$E$2=5))</formula>
    </cfRule>
  </conditionalFormatting>
  <conditionalFormatting sqref="C14:F15">
    <cfRule type="cellIs" dxfId="267" priority="5" operator="equal">
      <formula>0</formula>
    </cfRule>
  </conditionalFormatting>
  <conditionalFormatting sqref="Q14:S15">
    <cfRule type="cellIs" dxfId="266" priority="4" operator="equal">
      <formula>0</formula>
    </cfRule>
  </conditionalFormatting>
  <conditionalFormatting sqref="F20:I21">
    <cfRule type="cellIs" dxfId="265" priority="3" operator="equal">
      <formula>0</formula>
    </cfRule>
  </conditionalFormatting>
  <conditionalFormatting sqref="M20:P21">
    <cfRule type="cellIs" dxfId="264" priority="2" operator="equal">
      <formula>0</formula>
    </cfRule>
  </conditionalFormatting>
  <conditionalFormatting sqref="J25:M26">
    <cfRule type="cellIs" dxfId="26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>
    <tabColor rgb="FF66FF33"/>
    <pageSetUpPr fitToPage="1"/>
  </sheetPr>
  <dimension ref="A1:AR39"/>
  <sheetViews>
    <sheetView zoomScale="70" zoomScaleNormal="70" workbookViewId="0">
      <selection activeCell="AR28" sqref="AR28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6" customWidth="1"/>
    <col min="21" max="21" width="8.140625" customWidth="1"/>
    <col min="22" max="22" width="5.140625" customWidth="1"/>
    <col min="23" max="23" width="6.42578125" customWidth="1"/>
    <col min="24" max="24" width="11.285156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8.570312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3" max="43" width="8.42578125" customWidth="1"/>
    <col min="44" max="44" width="9.140625" customWidth="1"/>
  </cols>
  <sheetData>
    <row r="1" spans="1:44" ht="21.75" thickBot="1">
      <c r="A1" s="1"/>
      <c r="B1" s="747" t="s">
        <v>54</v>
      </c>
      <c r="C1" s="736"/>
      <c r="D1" s="736"/>
      <c r="E1" s="736" t="str">
        <f>Rens.!J2</f>
        <v>ST PERAY</v>
      </c>
      <c r="F1" s="736"/>
      <c r="G1" s="736"/>
      <c r="H1" s="18">
        <f ca="1">Rens.!$D$4</f>
        <v>2020</v>
      </c>
      <c r="I1" s="736" t="str">
        <f>Rens.!$J$4</f>
        <v xml:space="preserve"> Quadrettes</v>
      </c>
      <c r="J1" s="736"/>
      <c r="K1" s="736"/>
      <c r="L1" s="736"/>
      <c r="M1" s="19" t="str">
        <f>Rens.!$E$6</f>
        <v>4 Div.</v>
      </c>
      <c r="N1" s="747" t="s">
        <v>25</v>
      </c>
      <c r="O1" s="736"/>
      <c r="P1" s="736"/>
      <c r="Q1" s="736"/>
      <c r="R1" s="736"/>
      <c r="S1" s="754"/>
      <c r="T1" s="4">
        <f>Rens.!$A$9</f>
        <v>0</v>
      </c>
      <c r="W1" s="1"/>
      <c r="X1" s="747" t="s">
        <v>54</v>
      </c>
      <c r="Y1" s="736"/>
      <c r="Z1" s="736"/>
      <c r="AA1" s="736" t="str">
        <f>Rens.!J2</f>
        <v>ST PERAY</v>
      </c>
      <c r="AB1" s="736"/>
      <c r="AC1" s="736"/>
      <c r="AD1" s="18">
        <f ca="1">Rens.!$D$4</f>
        <v>2020</v>
      </c>
      <c r="AE1" s="736" t="str">
        <f>Rens.!$J$4</f>
        <v xml:space="preserve"> Quadrettes</v>
      </c>
      <c r="AF1" s="736"/>
      <c r="AG1" s="736"/>
      <c r="AH1" s="736"/>
      <c r="AI1" s="19" t="str">
        <f>Rens.!$E$6</f>
        <v>4 Div.</v>
      </c>
      <c r="AJ1" s="747" t="s">
        <v>25</v>
      </c>
      <c r="AK1" s="736"/>
      <c r="AL1" s="736"/>
      <c r="AM1" s="736"/>
      <c r="AN1" s="736"/>
      <c r="AO1" s="754"/>
      <c r="AP1" s="5">
        <f>Rens.!$A$9</f>
        <v>0</v>
      </c>
      <c r="AQ1" s="3"/>
    </row>
    <row r="2" spans="1:44" ht="19.5" customHeight="1" thickBot="1">
      <c r="A2" s="1"/>
      <c r="B2" s="747" t="s">
        <v>32</v>
      </c>
      <c r="C2" s="736"/>
      <c r="D2" s="736"/>
      <c r="E2" s="16">
        <f>Rens.!M18</f>
        <v>0</v>
      </c>
      <c r="F2" s="736" t="s">
        <v>19</v>
      </c>
      <c r="G2" s="736"/>
      <c r="H2" s="7">
        <f>Rens.!M19</f>
        <v>0</v>
      </c>
      <c r="I2" s="736" t="s">
        <v>20</v>
      </c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54"/>
      <c r="W2" s="1"/>
      <c r="X2" s="747" t="s">
        <v>33</v>
      </c>
      <c r="Y2" s="736"/>
      <c r="Z2" s="736"/>
      <c r="AA2" s="17">
        <f>Rens.!N18</f>
        <v>0</v>
      </c>
      <c r="AB2" s="736" t="s">
        <v>19</v>
      </c>
      <c r="AC2" s="736"/>
      <c r="AD2" s="7">
        <f>Rens.!N19</f>
        <v>0</v>
      </c>
      <c r="AE2" s="736" t="s">
        <v>20</v>
      </c>
      <c r="AF2" s="736"/>
      <c r="AG2" s="736"/>
      <c r="AH2" s="736"/>
      <c r="AI2" s="736"/>
      <c r="AJ2" s="736"/>
      <c r="AK2" s="736"/>
      <c r="AL2" s="736"/>
      <c r="AM2" s="736"/>
      <c r="AN2" s="736"/>
      <c r="AO2" s="736"/>
      <c r="AP2" s="754"/>
      <c r="AQ2" s="3"/>
    </row>
    <row r="3" spans="1:44" ht="15.75" customHeight="1" thickBot="1">
      <c r="A3" s="36"/>
      <c r="B3" s="43"/>
      <c r="C3" s="44"/>
      <c r="D3" s="44"/>
      <c r="E3" s="44"/>
      <c r="F3" s="76" t="str">
        <f>CONCATENATE(E2,H2)</f>
        <v>00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  <c r="U3" s="44"/>
      <c r="V3" s="44"/>
      <c r="W3" s="36"/>
      <c r="X3" s="43"/>
      <c r="Y3" s="44"/>
      <c r="Z3" s="44"/>
      <c r="AA3" s="37"/>
      <c r="AB3" s="77" t="str">
        <f>CONCATENATE(AA2,AD2)</f>
        <v>00</v>
      </c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/>
      <c r="AQ3" s="38"/>
      <c r="AR3" s="38"/>
    </row>
    <row r="4" spans="1:44" ht="15.75" thickBot="1">
      <c r="A4" s="36"/>
      <c r="B4" s="43"/>
      <c r="C4" s="751" t="s">
        <v>67</v>
      </c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752"/>
      <c r="Q4" s="752"/>
      <c r="R4" s="752"/>
      <c r="S4" s="753"/>
      <c r="T4" s="755"/>
      <c r="U4" s="46"/>
      <c r="V4" s="46"/>
      <c r="W4" s="36"/>
      <c r="X4" s="43"/>
      <c r="Y4" s="751" t="s">
        <v>67</v>
      </c>
      <c r="Z4" s="752"/>
      <c r="AA4" s="752"/>
      <c r="AB4" s="752"/>
      <c r="AC4" s="752"/>
      <c r="AD4" s="752"/>
      <c r="AE4" s="752"/>
      <c r="AF4" s="752"/>
      <c r="AG4" s="752"/>
      <c r="AH4" s="752"/>
      <c r="AI4" s="752"/>
      <c r="AJ4" s="752"/>
      <c r="AK4" s="752"/>
      <c r="AL4" s="752"/>
      <c r="AM4" s="752"/>
      <c r="AN4" s="752"/>
      <c r="AO4" s="753"/>
      <c r="AP4" s="755"/>
      <c r="AQ4" s="38"/>
      <c r="AR4" s="38"/>
    </row>
    <row r="5" spans="1:44">
      <c r="A5" s="36"/>
      <c r="B5" s="43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755"/>
      <c r="U5" s="46"/>
      <c r="V5" s="46"/>
      <c r="W5" s="36"/>
      <c r="X5" s="43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755"/>
      <c r="AQ5" s="38"/>
      <c r="AR5" s="38"/>
    </row>
    <row r="6" spans="1:44" ht="15.75" thickBot="1">
      <c r="A6" s="36"/>
      <c r="B6" s="43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  <c r="S6" s="44"/>
      <c r="T6" s="45"/>
      <c r="U6" s="44"/>
      <c r="V6" s="44"/>
      <c r="W6" s="36"/>
      <c r="X6" s="43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8"/>
      <c r="AO6" s="44"/>
      <c r="AP6" s="45"/>
      <c r="AQ6" s="38"/>
      <c r="AR6" s="38"/>
    </row>
    <row r="7" spans="1:44" ht="15.75" thickBot="1">
      <c r="A7" s="36"/>
      <c r="B7" s="49" t="s">
        <v>6</v>
      </c>
      <c r="C7" s="50" t="s">
        <v>14</v>
      </c>
      <c r="D7" s="37"/>
      <c r="E7" s="47"/>
      <c r="F7" s="47"/>
      <c r="G7" s="44" t="s">
        <v>5</v>
      </c>
      <c r="H7" s="44"/>
      <c r="I7" s="44" t="s">
        <v>6</v>
      </c>
      <c r="J7" s="50" t="str">
        <f>IF(E2=2,"","C")</f>
        <v>C</v>
      </c>
      <c r="K7" s="37"/>
      <c r="L7" s="47"/>
      <c r="M7" s="47"/>
      <c r="N7" s="44" t="s">
        <v>5</v>
      </c>
      <c r="O7" s="44"/>
      <c r="P7" s="44"/>
      <c r="Q7" s="50" t="s">
        <v>45</v>
      </c>
      <c r="R7" s="47"/>
      <c r="S7" s="47" t="s">
        <v>62</v>
      </c>
      <c r="T7" s="51"/>
      <c r="U7" s="47"/>
      <c r="V7" s="47"/>
      <c r="W7" s="36"/>
      <c r="X7" s="49" t="s">
        <v>6</v>
      </c>
      <c r="Y7" s="50" t="s">
        <v>14</v>
      </c>
      <c r="Z7" s="37"/>
      <c r="AA7" s="47"/>
      <c r="AB7" s="47"/>
      <c r="AC7" s="44" t="s">
        <v>5</v>
      </c>
      <c r="AD7" s="44"/>
      <c r="AE7" s="44" t="s">
        <v>6</v>
      </c>
      <c r="AF7" s="50" t="str">
        <f>IF(AA2=2,"","C")</f>
        <v>C</v>
      </c>
      <c r="AG7" s="37"/>
      <c r="AH7" s="47"/>
      <c r="AI7" s="47"/>
      <c r="AJ7" s="44" t="s">
        <v>5</v>
      </c>
      <c r="AK7" s="44"/>
      <c r="AL7" s="44"/>
      <c r="AM7" s="50" t="s">
        <v>45</v>
      </c>
      <c r="AN7" s="47"/>
      <c r="AO7" s="47" t="s">
        <v>62</v>
      </c>
      <c r="AP7" s="51"/>
      <c r="AQ7" s="38"/>
      <c r="AR7" s="38"/>
    </row>
    <row r="8" spans="1:44" ht="15.75" thickBot="1">
      <c r="A8" s="52">
        <v>41</v>
      </c>
      <c r="B8" s="662"/>
      <c r="C8" s="664" t="str">
        <f>IF(ISNA(MATCH($A$8,Rens.!$Z$6:$Z$82,0)),"",INDEX(Rens.!$X$6:$X$82,MATCH($A$8,Rens.!$Z$6:$Z$82,0)))</f>
        <v/>
      </c>
      <c r="D8" s="692"/>
      <c r="E8" s="692"/>
      <c r="F8" s="693"/>
      <c r="G8" s="53">
        <v>1</v>
      </c>
      <c r="H8" s="54">
        <v>43</v>
      </c>
      <c r="I8" s="662"/>
      <c r="J8" s="756" t="str">
        <f>IF(ISNA(MATCH($H$8,Rens.!$Z$6:$Z$82,0)),"",INDEX(Rens.!$X$6:$X$82,MATCH($H$8,Rens.!$Z$6:$Z$82,0)))</f>
        <v/>
      </c>
      <c r="K8" s="757"/>
      <c r="L8" s="757"/>
      <c r="M8" s="758"/>
      <c r="N8" s="53">
        <v>1</v>
      </c>
      <c r="O8" s="44"/>
      <c r="P8" s="47">
        <v>45</v>
      </c>
      <c r="Q8" s="759" t="str">
        <f>IF(E2+E3=4,0,IF(E2+E3=3,0,IF(ISNA(MATCH($P$8,Rens.!$Z$6:$Z$82,0)),"",INDEX(Rens.!$X$6:$X$82,MATCH($P$8,Rens.!$Z$6:$Z$82,0)))))</f>
        <v/>
      </c>
      <c r="R8" s="760"/>
      <c r="S8" s="761"/>
      <c r="T8" s="55"/>
      <c r="U8" s="47"/>
      <c r="V8" s="47"/>
      <c r="W8" s="36">
        <v>46</v>
      </c>
      <c r="X8" s="662"/>
      <c r="Y8" s="664" t="str">
        <f>IF(ISNA(MATCH($W$8,Rens.!$Z$6:$Z$82,0)),"",INDEX(Rens.!$X$6:$X$82,MATCH($W$8,Rens.!$Z$6:$Z$82,0)))</f>
        <v/>
      </c>
      <c r="Z8" s="692"/>
      <c r="AA8" s="692"/>
      <c r="AB8" s="693"/>
      <c r="AC8" s="53">
        <v>1</v>
      </c>
      <c r="AD8" s="54">
        <v>48</v>
      </c>
      <c r="AE8" s="662"/>
      <c r="AF8" s="664" t="str">
        <f>IF(ISNA(MATCH($AD$8,Rens.!$Z$6:$Z$82,0)),"",INDEX(Rens.!$X$6:$X$82,MATCH($AD$8,Rens.!$Z$6:$Z$82,0)))</f>
        <v/>
      </c>
      <c r="AG8" s="692"/>
      <c r="AH8" s="692"/>
      <c r="AI8" s="693"/>
      <c r="AJ8" s="53">
        <v>1</v>
      </c>
      <c r="AK8" s="44"/>
      <c r="AL8" s="47">
        <v>50</v>
      </c>
      <c r="AM8" s="759" t="str">
        <f>IF($AA$2+$AA$3=4,0,IF($AA$2+$AA$3=3,0,IF(ISNA(MATCH($AL$8,Rens.!$Z$6:$Z$82,0)),"",INDEX(Rens.!$X$6:$X$82,MATCH($AL$8,Rens.!$Z$6:$Z$82,0)))))</f>
        <v/>
      </c>
      <c r="AN8" s="760"/>
      <c r="AO8" s="761"/>
      <c r="AP8" s="55"/>
      <c r="AQ8" s="38"/>
      <c r="AR8" s="38"/>
    </row>
    <row r="9" spans="1:44" ht="15.75" thickBot="1">
      <c r="A9" s="52">
        <v>42</v>
      </c>
      <c r="B9" s="663"/>
      <c r="C9" s="694" t="str">
        <f>IF(ISNA(MATCH($A$9,Rens.!$Z$6:$Z$82,0)),"",INDEX(Rens.!$X$6:$X$82,MATCH($A$9,Rens.!$Z$6:$Z$82,0)))</f>
        <v/>
      </c>
      <c r="D9" s="695"/>
      <c r="E9" s="695"/>
      <c r="F9" s="696"/>
      <c r="G9" s="81">
        <v>0</v>
      </c>
      <c r="H9" s="54">
        <v>44</v>
      </c>
      <c r="I9" s="663"/>
      <c r="J9" s="694" t="str">
        <f>IF(ISNA(MATCH($H$9,Rens.!$Z$6:$Z$82,0)),"0ffice",INDEX(Rens.!$X$6:$X$82,MATCH($H$9,Rens.!$Z$6:$Z$82,0)))</f>
        <v>0ffice</v>
      </c>
      <c r="K9" s="695"/>
      <c r="L9" s="695"/>
      <c r="M9" s="696"/>
      <c r="N9" s="53">
        <v>0</v>
      </c>
      <c r="O9" s="44"/>
      <c r="P9" s="47"/>
      <c r="Q9" s="56" t="e">
        <f>IF(ISNA(MATCH($P$8,#REF!,0)),"",INDEX(#REF!,MATCH($P$8,#REF!,0)))</f>
        <v>#REF!</v>
      </c>
      <c r="R9" s="47"/>
      <c r="S9" s="47"/>
      <c r="T9" s="51"/>
      <c r="U9" s="47"/>
      <c r="V9" s="47"/>
      <c r="W9" s="36">
        <v>47</v>
      </c>
      <c r="X9" s="663"/>
      <c r="Y9" s="694" t="str">
        <f>IF(ISNA(MATCH($W$9,Rens.!$Z$6:$Z$82,0)),"",INDEX(Rens.!$X$6:$X$82,MATCH($W$9,Rens.!$Z$6:$Z$82,0)))</f>
        <v/>
      </c>
      <c r="Z9" s="695"/>
      <c r="AA9" s="695"/>
      <c r="AB9" s="696"/>
      <c r="AC9" s="81">
        <v>0</v>
      </c>
      <c r="AD9" s="54">
        <v>49</v>
      </c>
      <c r="AE9" s="663"/>
      <c r="AF9" s="694" t="str">
        <f>IF(ISNA(MATCH($AD$9,Rens.!$Z$6:$Z$82,0)),"",INDEX(Rens.!$X$6:$X$82,MATCH($AD$9,Rens.!$Z$6:$Z$82,0)))</f>
        <v/>
      </c>
      <c r="AG9" s="695"/>
      <c r="AH9" s="695"/>
      <c r="AI9" s="696"/>
      <c r="AJ9" s="53">
        <v>0</v>
      </c>
      <c r="AK9" s="44"/>
      <c r="AL9" s="47"/>
      <c r="AM9" s="56" t="e">
        <f>IF(ISNA(MATCH($AL$8,#REF!,0)),"",INDEX(#REF!,MATCH($AL$8,#REF!,0)))</f>
        <v>#REF!</v>
      </c>
      <c r="AN9" s="47"/>
      <c r="AO9" s="47"/>
      <c r="AP9" s="51"/>
      <c r="AQ9" s="38"/>
      <c r="AR9" s="38"/>
    </row>
    <row r="10" spans="1:44" ht="15.75" thickBot="1">
      <c r="A10" s="36"/>
      <c r="B10" s="43"/>
      <c r="C10" s="93" t="s">
        <v>15</v>
      </c>
      <c r="D10" s="37"/>
      <c r="E10" s="47"/>
      <c r="F10" s="47"/>
      <c r="G10" s="47"/>
      <c r="H10" s="47"/>
      <c r="I10" s="47"/>
      <c r="J10" s="50" t="s">
        <v>44</v>
      </c>
      <c r="K10" s="37"/>
      <c r="L10" s="47"/>
      <c r="M10" s="47"/>
      <c r="N10" s="47"/>
      <c r="O10" s="47"/>
      <c r="P10" s="47"/>
      <c r="Q10" s="47"/>
      <c r="R10" s="47"/>
      <c r="S10" s="47"/>
      <c r="T10" s="51"/>
      <c r="U10" s="47"/>
      <c r="V10" s="47"/>
      <c r="W10" s="36"/>
      <c r="X10" s="43"/>
      <c r="Y10" s="93" t="s">
        <v>15</v>
      </c>
      <c r="Z10" s="37"/>
      <c r="AA10" s="47"/>
      <c r="AB10" s="47"/>
      <c r="AC10" s="47"/>
      <c r="AD10" s="47"/>
      <c r="AE10" s="47"/>
      <c r="AF10" s="50" t="s">
        <v>44</v>
      </c>
      <c r="AG10" s="37"/>
      <c r="AH10" s="47"/>
      <c r="AI10" s="47"/>
      <c r="AJ10" s="47"/>
      <c r="AK10" s="47"/>
      <c r="AL10" s="47"/>
      <c r="AM10" s="47"/>
      <c r="AN10" s="47"/>
      <c r="AO10" s="47"/>
      <c r="AP10" s="51"/>
      <c r="AQ10" s="38"/>
      <c r="AR10" s="38"/>
    </row>
    <row r="11" spans="1:44">
      <c r="A11" s="36"/>
      <c r="B11" s="43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1"/>
      <c r="U11" s="47"/>
      <c r="V11" s="47"/>
      <c r="W11" s="36"/>
      <c r="X11" s="43"/>
      <c r="Y11" s="48"/>
      <c r="Z11" s="48"/>
      <c r="AA11" s="48"/>
      <c r="AB11" s="48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51"/>
      <c r="AQ11" s="38"/>
      <c r="AR11" s="38"/>
    </row>
    <row r="12" spans="1:44">
      <c r="A12" s="36"/>
      <c r="B12" s="43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51"/>
      <c r="U12" s="47"/>
      <c r="V12" s="47"/>
      <c r="W12" s="36"/>
      <c r="X12" s="43"/>
      <c r="Y12" s="48"/>
      <c r="Z12" s="48"/>
      <c r="AA12" s="48"/>
      <c r="AB12" s="48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51"/>
      <c r="AQ12" s="38"/>
      <c r="AR12" s="38"/>
    </row>
    <row r="13" spans="1:44" ht="15.75" thickBot="1">
      <c r="A13" s="36"/>
      <c r="B13" s="49" t="s">
        <v>6</v>
      </c>
      <c r="C13" s="47"/>
      <c r="D13" s="78" t="s">
        <v>61</v>
      </c>
      <c r="E13" s="47"/>
      <c r="F13" s="47"/>
      <c r="G13" s="44" t="s">
        <v>5</v>
      </c>
      <c r="H13" s="44"/>
      <c r="I13" s="47"/>
      <c r="J13" s="47"/>
      <c r="K13" s="47"/>
      <c r="L13" s="47" t="s">
        <v>62</v>
      </c>
      <c r="M13" s="47"/>
      <c r="N13" s="47"/>
      <c r="O13" s="47"/>
      <c r="P13" s="44" t="s">
        <v>6</v>
      </c>
      <c r="Q13" s="47"/>
      <c r="R13" s="78" t="s">
        <v>60</v>
      </c>
      <c r="S13" s="47"/>
      <c r="T13" s="44" t="s">
        <v>5</v>
      </c>
      <c r="U13" s="57"/>
      <c r="V13" s="58"/>
      <c r="W13" s="36"/>
      <c r="X13" s="59" t="s">
        <v>6</v>
      </c>
      <c r="Y13" s="48"/>
      <c r="Z13" s="48" t="s">
        <v>61</v>
      </c>
      <c r="AA13" s="48"/>
      <c r="AB13" s="48"/>
      <c r="AC13" s="44" t="s">
        <v>5</v>
      </c>
      <c r="AD13" s="44"/>
      <c r="AE13" s="47"/>
      <c r="AF13" s="47"/>
      <c r="AG13" s="47"/>
      <c r="AH13" s="47" t="s">
        <v>62</v>
      </c>
      <c r="AI13" s="47"/>
      <c r="AJ13" s="47"/>
      <c r="AK13" s="47"/>
      <c r="AL13" s="44" t="s">
        <v>6</v>
      </c>
      <c r="AM13" s="47"/>
      <c r="AN13" s="47" t="s">
        <v>60</v>
      </c>
      <c r="AO13" s="47"/>
      <c r="AP13" s="45" t="s">
        <v>5</v>
      </c>
      <c r="AQ13" s="58"/>
      <c r="AR13" s="58"/>
    </row>
    <row r="14" spans="1:44" ht="15.75" thickBot="1">
      <c r="A14" s="36"/>
      <c r="B14" s="662"/>
      <c r="C14" s="664" t="str">
        <f>IF($G$8=$G$9,"résultat",IF($G$8&gt;$G$9,$C$9,$C$8))</f>
        <v/>
      </c>
      <c r="D14" s="665"/>
      <c r="E14" s="665"/>
      <c r="F14" s="666"/>
      <c r="G14" s="53">
        <v>1</v>
      </c>
      <c r="H14" s="44"/>
      <c r="I14" s="47"/>
      <c r="J14" s="762" t="str">
        <f>IF(ISTEXT($Q$8),IF(($G$9=$G$8),"résultat",IF(($N$9=$N$8),"résultat",IF(($U$14=2),$C$8,IF(($V$14=2),$C$9,IF(($U$15=2),$J$9,IF(($V$15=2),J8,0)))))))</f>
        <v/>
      </c>
      <c r="K14" s="763"/>
      <c r="L14" s="763"/>
      <c r="M14" s="764"/>
      <c r="N14" s="55"/>
      <c r="O14" s="47"/>
      <c r="P14" s="662"/>
      <c r="Q14" s="765" t="str">
        <f>IF($E$2+$E$3=5,$Q$8,IF($N$8=$N$9,"résultat",IF($N$8&gt;$N$9,$J$8,$J$9)))</f>
        <v/>
      </c>
      <c r="R14" s="766"/>
      <c r="S14" s="767"/>
      <c r="T14" s="61">
        <v>1</v>
      </c>
      <c r="U14" s="62">
        <f>IF(G8&gt;G9,1)+IF(N8&gt;N9,1)</f>
        <v>2</v>
      </c>
      <c r="V14" s="63">
        <f>IF(G9&gt;G8,1)+IF(N9&gt;N8,1)</f>
        <v>0</v>
      </c>
      <c r="W14" s="36"/>
      <c r="X14" s="662"/>
      <c r="Y14" s="737" t="str">
        <f>IF($AC$8=$AC$9,"résultat",IF($AC$8&gt;$AC$9,$Y$9,$Y$8))</f>
        <v/>
      </c>
      <c r="Z14" s="665"/>
      <c r="AA14" s="665"/>
      <c r="AB14" s="666"/>
      <c r="AC14" s="53">
        <v>1</v>
      </c>
      <c r="AD14" s="44"/>
      <c r="AE14" s="47"/>
      <c r="AF14" s="768" t="str">
        <f>IF(ISTEXT($AM$8),IF(($AC$9=$AC$8),"résultat",IF(($AJ$9=$AJ$8),"résultat",IF(($AQ$14=2),$Y$8,IF(($AR$14=2),$Y$9,IF(($AQ$15=2),$AF$9,IF(($AR$15=2),$AF$8,0)))))))</f>
        <v/>
      </c>
      <c r="AG14" s="763"/>
      <c r="AH14" s="763"/>
      <c r="AI14" s="764"/>
      <c r="AJ14" s="60"/>
      <c r="AK14" s="47"/>
      <c r="AL14" s="662"/>
      <c r="AM14" s="765" t="str">
        <f>IF($AA$2+$AA$3=5,$AM$8,IF($AJ$8&gt;$AJ$9,$AF$8,$AF$9))</f>
        <v/>
      </c>
      <c r="AN14" s="766"/>
      <c r="AO14" s="767"/>
      <c r="AP14" s="97">
        <v>1</v>
      </c>
      <c r="AQ14" s="62">
        <f>IF(AC8&gt;AC9,1)+IF(AJ8&gt;AJ9,1)</f>
        <v>2</v>
      </c>
      <c r="AR14" s="63">
        <f>IF(AC9&gt;AC8,1)+IF(AJ9&gt;AJ8,1)</f>
        <v>0</v>
      </c>
    </row>
    <row r="15" spans="1:44" ht="15.75" thickBot="1">
      <c r="A15" s="36"/>
      <c r="B15" s="663"/>
      <c r="C15" s="656" t="str">
        <f>IF($N$8=$N$9,"résultat",IF($N$8&lt;$N$9,$J$8,$J$9))</f>
        <v>0ffice</v>
      </c>
      <c r="D15" s="657"/>
      <c r="E15" s="657"/>
      <c r="F15" s="658"/>
      <c r="G15" s="64">
        <v>0</v>
      </c>
      <c r="H15" s="44"/>
      <c r="I15" s="47"/>
      <c r="J15" s="65" t="str">
        <f>IF(ISTEXT(J14)," ",0)</f>
        <v xml:space="preserve"> </v>
      </c>
      <c r="K15" s="47"/>
      <c r="L15" s="47"/>
      <c r="M15" s="47"/>
      <c r="N15" s="47"/>
      <c r="O15" s="47"/>
      <c r="P15" s="663"/>
      <c r="Q15" s="656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657"/>
      <c r="S15" s="658"/>
      <c r="T15" s="81">
        <v>0</v>
      </c>
      <c r="U15" s="66">
        <f>IF(G8&gt;G9,1)+IF(N9&gt;N8,1)</f>
        <v>1</v>
      </c>
      <c r="V15" s="67">
        <f>IF(G9&gt;G8,1)+IF(N8&gt;N9,1)</f>
        <v>1</v>
      </c>
      <c r="W15" s="36"/>
      <c r="X15" s="663"/>
      <c r="Y15" s="656" t="str">
        <f>IF($AJ$8=$AJ$9,"résultat",IF($AJ$8&lt;$AJ$9,$AF$8,$AF$9))</f>
        <v/>
      </c>
      <c r="Z15" s="657"/>
      <c r="AA15" s="657"/>
      <c r="AB15" s="658"/>
      <c r="AC15" s="53">
        <v>0</v>
      </c>
      <c r="AD15" s="44"/>
      <c r="AE15" s="47"/>
      <c r="AF15" s="47"/>
      <c r="AG15" s="47"/>
      <c r="AH15" s="47"/>
      <c r="AI15" s="47"/>
      <c r="AJ15" s="47"/>
      <c r="AK15" s="47"/>
      <c r="AL15" s="663"/>
      <c r="AM15" s="656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657"/>
      <c r="AO15" s="658"/>
      <c r="AP15" s="96">
        <v>0</v>
      </c>
      <c r="AQ15" s="66">
        <f>IF(AC8&gt;AC9,1)+IF(AJ9&gt;AJ8,1)</f>
        <v>1</v>
      </c>
      <c r="AR15" s="67">
        <f>IF(AC9&gt;AC8,1)+IF(AJ8&gt;AJ9,1)</f>
        <v>1</v>
      </c>
    </row>
    <row r="16" spans="1:44">
      <c r="A16" s="36"/>
      <c r="B16" s="43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68"/>
      <c r="Q16" s="47"/>
      <c r="R16" s="47"/>
      <c r="S16" s="47"/>
      <c r="T16" s="51"/>
      <c r="U16" s="47"/>
      <c r="V16" s="47"/>
      <c r="W16" s="36"/>
      <c r="X16" s="43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51"/>
      <c r="AQ16" s="38"/>
      <c r="AR16" s="38"/>
    </row>
    <row r="17" spans="1:44">
      <c r="A17" s="36"/>
      <c r="B17" s="43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51"/>
      <c r="U17" s="47"/>
      <c r="V17" s="47"/>
      <c r="W17" s="36"/>
      <c r="X17" s="43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51"/>
      <c r="AQ17" s="38"/>
      <c r="AR17" s="38"/>
    </row>
    <row r="18" spans="1:44">
      <c r="A18" s="36"/>
      <c r="B18" s="43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0"/>
      <c r="T18" s="51"/>
      <c r="U18" s="47"/>
      <c r="V18" s="47"/>
      <c r="W18" s="36"/>
      <c r="X18" s="43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51"/>
      <c r="AQ18" s="38"/>
      <c r="AR18" s="38"/>
    </row>
    <row r="19" spans="1:44" ht="15.75" thickBot="1">
      <c r="A19" s="36"/>
      <c r="B19" s="43"/>
      <c r="C19" s="47"/>
      <c r="D19" s="47"/>
      <c r="E19" s="44" t="s">
        <v>6</v>
      </c>
      <c r="F19" s="47"/>
      <c r="G19" s="47"/>
      <c r="H19" s="47"/>
      <c r="I19" s="47"/>
      <c r="J19" s="44" t="s">
        <v>5</v>
      </c>
      <c r="K19" s="44"/>
      <c r="L19" s="44" t="s">
        <v>6</v>
      </c>
      <c r="M19" s="47"/>
      <c r="N19" s="47"/>
      <c r="O19" s="47"/>
      <c r="P19" s="47"/>
      <c r="Q19" s="44" t="s">
        <v>5</v>
      </c>
      <c r="R19" s="47"/>
      <c r="S19" s="47"/>
      <c r="T19" s="51"/>
      <c r="U19" s="69"/>
      <c r="V19" s="47"/>
      <c r="W19" s="36"/>
      <c r="X19" s="43"/>
      <c r="Y19" s="47"/>
      <c r="Z19" s="47"/>
      <c r="AA19" s="44" t="s">
        <v>6</v>
      </c>
      <c r="AB19" s="47"/>
      <c r="AC19" s="47"/>
      <c r="AD19" s="47"/>
      <c r="AE19" s="47"/>
      <c r="AF19" s="44" t="s">
        <v>5</v>
      </c>
      <c r="AG19" s="44"/>
      <c r="AH19" s="44" t="s">
        <v>6</v>
      </c>
      <c r="AI19" s="47"/>
      <c r="AJ19" s="47"/>
      <c r="AK19" s="47"/>
      <c r="AL19" s="47"/>
      <c r="AM19" s="44" t="s">
        <v>5</v>
      </c>
      <c r="AN19" s="47"/>
      <c r="AO19" s="47"/>
      <c r="AP19" s="51"/>
      <c r="AQ19" s="38"/>
      <c r="AR19" s="38"/>
    </row>
    <row r="20" spans="1:44" ht="15.75" thickBot="1">
      <c r="A20" s="36"/>
      <c r="B20" s="43"/>
      <c r="C20" s="47"/>
      <c r="D20" s="47"/>
      <c r="E20" s="662"/>
      <c r="F20" s="694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698"/>
      <c r="H20" s="698"/>
      <c r="I20" s="699"/>
      <c r="J20" s="53">
        <v>1</v>
      </c>
      <c r="K20" s="44"/>
      <c r="L20" s="662" t="s">
        <v>16</v>
      </c>
      <c r="M20" s="748" t="b">
        <f>IF($E$2+$E$3=5,$J$14)</f>
        <v>0</v>
      </c>
      <c r="N20" s="749"/>
      <c r="O20" s="749"/>
      <c r="P20" s="750"/>
      <c r="Q20" s="53">
        <v>1</v>
      </c>
      <c r="R20" s="47"/>
      <c r="S20" s="47"/>
      <c r="T20" s="51"/>
      <c r="U20" s="47"/>
      <c r="V20" s="47"/>
      <c r="W20" s="36"/>
      <c r="X20" s="43"/>
      <c r="Y20" s="47"/>
      <c r="Z20" s="47"/>
      <c r="AA20" s="662"/>
      <c r="AB20" s="694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698"/>
      <c r="AD20" s="698"/>
      <c r="AE20" s="699"/>
      <c r="AF20" s="53">
        <v>0</v>
      </c>
      <c r="AG20" s="44"/>
      <c r="AH20" s="662" t="s">
        <v>16</v>
      </c>
      <c r="AI20" s="748" t="b">
        <f>IF($AA$2+$AA$3=5,$AF$14)</f>
        <v>0</v>
      </c>
      <c r="AJ20" s="749"/>
      <c r="AK20" s="749"/>
      <c r="AL20" s="750"/>
      <c r="AM20" s="53">
        <v>0</v>
      </c>
      <c r="AN20" s="47"/>
      <c r="AO20" s="47"/>
      <c r="AP20" s="51"/>
      <c r="AQ20" s="38"/>
      <c r="AR20" s="38"/>
    </row>
    <row r="21" spans="1:44" ht="15.75" thickBot="1">
      <c r="A21" s="36"/>
      <c r="B21" s="43"/>
      <c r="C21" s="47"/>
      <c r="D21" s="47"/>
      <c r="E21" s="663"/>
      <c r="F21" s="694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695"/>
      <c r="H21" s="695"/>
      <c r="I21" s="696"/>
      <c r="J21" s="53">
        <v>0</v>
      </c>
      <c r="K21" s="44"/>
      <c r="L21" s="663"/>
      <c r="M21" s="694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695"/>
      <c r="O21" s="695"/>
      <c r="P21" s="696"/>
      <c r="Q21" s="53">
        <v>0</v>
      </c>
      <c r="R21" s="47"/>
      <c r="S21" s="69"/>
      <c r="T21" s="51"/>
      <c r="U21" s="47"/>
      <c r="V21" s="40"/>
      <c r="W21" s="36"/>
      <c r="X21" s="43"/>
      <c r="Y21" s="47"/>
      <c r="Z21" s="47"/>
      <c r="AA21" s="663"/>
      <c r="AB21" s="694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695"/>
      <c r="AD21" s="695"/>
      <c r="AE21" s="696"/>
      <c r="AF21" s="53">
        <v>0</v>
      </c>
      <c r="AG21" s="44"/>
      <c r="AH21" s="663"/>
      <c r="AI21" s="694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695"/>
      <c r="AK21" s="695"/>
      <c r="AL21" s="696"/>
      <c r="AM21" s="53">
        <v>0</v>
      </c>
      <c r="AN21" s="47"/>
      <c r="AO21" s="47"/>
      <c r="AP21" s="51"/>
      <c r="AQ21" s="38"/>
      <c r="AR21" s="38"/>
    </row>
    <row r="22" spans="1:44">
      <c r="A22" s="36"/>
      <c r="B22" s="43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51"/>
      <c r="U22" s="47"/>
      <c r="V22" s="47"/>
      <c r="W22" s="36"/>
      <c r="X22" s="43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51"/>
      <c r="AQ22" s="38"/>
      <c r="AR22" s="38"/>
    </row>
    <row r="23" spans="1:44">
      <c r="A23" s="36"/>
      <c r="B23" s="43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51"/>
      <c r="U23" s="47"/>
      <c r="V23" s="47"/>
      <c r="W23" s="36"/>
      <c r="X23" s="43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51"/>
      <c r="AQ23" s="38"/>
      <c r="AR23" s="38"/>
    </row>
    <row r="24" spans="1:44" ht="15.75" thickBot="1">
      <c r="A24" s="36"/>
      <c r="B24" s="43"/>
      <c r="C24" s="47"/>
      <c r="D24" s="47"/>
      <c r="E24" s="47"/>
      <c r="F24" s="47"/>
      <c r="G24" s="47"/>
      <c r="H24" s="47"/>
      <c r="I24" s="44" t="s">
        <v>6</v>
      </c>
      <c r="J24" s="47"/>
      <c r="K24" s="47"/>
      <c r="L24" s="47"/>
      <c r="M24" s="47"/>
      <c r="N24" s="44" t="s">
        <v>5</v>
      </c>
      <c r="O24" s="44"/>
      <c r="P24" s="70"/>
      <c r="Q24" s="47"/>
      <c r="R24" s="47"/>
      <c r="S24" s="47"/>
      <c r="T24" s="51"/>
      <c r="U24" s="47"/>
      <c r="V24" s="47"/>
      <c r="W24" s="36"/>
      <c r="X24" s="43"/>
      <c r="Y24" s="47"/>
      <c r="Z24" s="47"/>
      <c r="AA24" s="47"/>
      <c r="AB24" s="47"/>
      <c r="AC24" s="47"/>
      <c r="AD24" s="47"/>
      <c r="AE24" s="44" t="s">
        <v>6</v>
      </c>
      <c r="AF24" s="47"/>
      <c r="AG24" s="47"/>
      <c r="AH24" s="47"/>
      <c r="AI24" s="47"/>
      <c r="AJ24" s="44" t="s">
        <v>5</v>
      </c>
      <c r="AK24" s="44"/>
      <c r="AL24" s="70"/>
      <c r="AM24" s="47"/>
      <c r="AN24" s="47"/>
      <c r="AO24" s="47"/>
      <c r="AP24" s="51"/>
      <c r="AQ24" s="38"/>
      <c r="AR24" s="38"/>
    </row>
    <row r="25" spans="1:44" ht="15.75" thickBot="1">
      <c r="A25" s="36"/>
      <c r="B25" s="43"/>
      <c r="C25" s="47"/>
      <c r="D25" s="47"/>
      <c r="E25" s="47"/>
      <c r="F25" s="47"/>
      <c r="G25" s="47"/>
      <c r="H25" s="47"/>
      <c r="I25" s="662"/>
      <c r="J25" s="715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716"/>
      <c r="L25" s="716"/>
      <c r="M25" s="717"/>
      <c r="N25" s="53">
        <v>1</v>
      </c>
      <c r="O25" s="44"/>
      <c r="P25" s="47"/>
      <c r="Q25" s="47"/>
      <c r="R25" s="47"/>
      <c r="S25" s="47"/>
      <c r="T25" s="51"/>
      <c r="U25" s="47"/>
      <c r="V25" s="47"/>
      <c r="W25" s="36"/>
      <c r="X25" s="43"/>
      <c r="Y25" s="47"/>
      <c r="Z25" s="47"/>
      <c r="AA25" s="47"/>
      <c r="AB25" s="47"/>
      <c r="AC25" s="47"/>
      <c r="AD25" s="47"/>
      <c r="AE25" s="662"/>
      <c r="AF25" s="715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716"/>
      <c r="AH25" s="716"/>
      <c r="AI25" s="717"/>
      <c r="AJ25" s="53">
        <v>1</v>
      </c>
      <c r="AK25" s="44"/>
      <c r="AL25" s="47"/>
      <c r="AM25" s="47"/>
      <c r="AN25" s="47"/>
      <c r="AO25" s="47"/>
      <c r="AP25" s="51"/>
      <c r="AQ25" s="38"/>
      <c r="AR25" s="38"/>
    </row>
    <row r="26" spans="1:44" ht="15.75" thickBot="1">
      <c r="A26" s="36"/>
      <c r="B26" s="43"/>
      <c r="C26" s="47"/>
      <c r="D26" s="47"/>
      <c r="E26" s="47"/>
      <c r="F26" s="47"/>
      <c r="G26" s="47"/>
      <c r="H26" s="47"/>
      <c r="I26" s="663"/>
      <c r="J26" s="712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713"/>
      <c r="L26" s="713"/>
      <c r="M26" s="714"/>
      <c r="N26" s="53">
        <v>0</v>
      </c>
      <c r="O26" s="44"/>
      <c r="P26" s="47"/>
      <c r="Q26" s="47"/>
      <c r="R26" s="47"/>
      <c r="S26" s="47"/>
      <c r="T26" s="51"/>
      <c r="U26" s="47"/>
      <c r="V26" s="47"/>
      <c r="W26" s="36"/>
      <c r="X26" s="43"/>
      <c r="Y26" s="47"/>
      <c r="Z26" s="47"/>
      <c r="AA26" s="47"/>
      <c r="AB26" s="47"/>
      <c r="AC26" s="47"/>
      <c r="AD26" s="47"/>
      <c r="AE26" s="663"/>
      <c r="AF26" s="712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713"/>
      <c r="AH26" s="713"/>
      <c r="AI26" s="714"/>
      <c r="AJ26" s="53">
        <v>0</v>
      </c>
      <c r="AK26" s="44"/>
      <c r="AL26" s="47"/>
      <c r="AM26" s="47"/>
      <c r="AN26" s="47"/>
      <c r="AO26" s="47"/>
      <c r="AP26" s="51"/>
      <c r="AQ26" s="38"/>
      <c r="AR26" s="38"/>
    </row>
    <row r="27" spans="1:44" ht="15.75" thickBot="1">
      <c r="A27" s="36"/>
      <c r="B27" s="43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1"/>
      <c r="U27" s="47"/>
      <c r="V27" s="47"/>
      <c r="W27" s="36"/>
      <c r="X27" s="43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51"/>
      <c r="AQ27" s="38"/>
      <c r="AR27" s="38"/>
    </row>
    <row r="28" spans="1:44" ht="15.75" thickBot="1">
      <c r="A28" s="36"/>
      <c r="B28" s="43"/>
      <c r="D28" s="47"/>
      <c r="E28" s="47"/>
      <c r="F28" s="47"/>
      <c r="G28" s="47"/>
      <c r="H28" s="47"/>
      <c r="I28" s="47"/>
      <c r="J28" s="744" t="s">
        <v>59</v>
      </c>
      <c r="K28" s="745"/>
      <c r="L28" s="745"/>
      <c r="M28" s="746"/>
      <c r="N28" s="47"/>
      <c r="O28" s="47"/>
      <c r="P28" s="69"/>
      <c r="Q28" s="47"/>
      <c r="R28" s="47"/>
      <c r="S28" s="47"/>
      <c r="T28" s="51"/>
      <c r="W28" s="36"/>
      <c r="X28" s="43"/>
      <c r="Z28" s="47"/>
      <c r="AA28" s="47"/>
      <c r="AB28" s="47"/>
      <c r="AC28" s="47"/>
      <c r="AD28" s="47"/>
      <c r="AE28" s="47"/>
      <c r="AF28" s="744" t="s">
        <v>59</v>
      </c>
      <c r="AG28" s="745"/>
      <c r="AH28" s="745"/>
      <c r="AI28" s="746"/>
      <c r="AJ28" s="47"/>
      <c r="AK28" s="47"/>
      <c r="AL28" s="69"/>
      <c r="AM28" s="47"/>
      <c r="AN28" s="47"/>
      <c r="AO28" s="47"/>
      <c r="AP28" s="51"/>
    </row>
    <row r="29" spans="1:44" ht="15.75" thickBot="1">
      <c r="A29" s="36"/>
      <c r="B29" s="43"/>
      <c r="D29" s="653" t="s">
        <v>0</v>
      </c>
      <c r="E29" s="654"/>
      <c r="F29" s="655"/>
      <c r="G29" s="47"/>
      <c r="H29" s="667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772"/>
      <c r="J29" s="772"/>
      <c r="K29" s="772"/>
      <c r="L29" s="772"/>
      <c r="M29" s="772"/>
      <c r="N29" s="773"/>
      <c r="O29" s="47"/>
      <c r="P29" s="47"/>
      <c r="Q29" s="47"/>
      <c r="R29" s="47"/>
      <c r="S29" s="47"/>
      <c r="T29" s="51"/>
      <c r="W29" s="36"/>
      <c r="X29" s="43"/>
      <c r="Z29" s="653" t="s">
        <v>0</v>
      </c>
      <c r="AA29" s="654"/>
      <c r="AB29" s="655"/>
      <c r="AC29" s="47"/>
      <c r="AD29" s="667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772"/>
      <c r="AF29" s="772"/>
      <c r="AG29" s="772"/>
      <c r="AH29" s="772"/>
      <c r="AI29" s="772"/>
      <c r="AJ29" s="773"/>
      <c r="AK29" s="47"/>
      <c r="AL29" s="47"/>
      <c r="AM29" s="60" t="s">
        <v>75</v>
      </c>
      <c r="AN29" s="47"/>
      <c r="AO29" s="47"/>
      <c r="AP29" s="51"/>
    </row>
    <row r="30" spans="1:44">
      <c r="A30" s="36"/>
      <c r="B30" s="43"/>
      <c r="D30" s="650" t="s">
        <v>1</v>
      </c>
      <c r="E30" s="651"/>
      <c r="F30" s="652"/>
      <c r="G30" s="47"/>
      <c r="H30" s="670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671"/>
      <c r="J30" s="671"/>
      <c r="K30" s="671"/>
      <c r="L30" s="671"/>
      <c r="M30" s="671"/>
      <c r="N30" s="672"/>
      <c r="O30" s="47"/>
      <c r="P30" s="71"/>
      <c r="Q30" s="71"/>
      <c r="R30" s="71"/>
      <c r="S30" s="71"/>
      <c r="T30" s="51"/>
      <c r="W30" s="36"/>
      <c r="X30" s="43"/>
      <c r="Z30" s="650" t="s">
        <v>1</v>
      </c>
      <c r="AA30" s="651"/>
      <c r="AB30" s="652"/>
      <c r="AC30" s="47"/>
      <c r="AD30" s="670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671"/>
      <c r="AF30" s="671"/>
      <c r="AG30" s="671"/>
      <c r="AH30" s="671"/>
      <c r="AI30" s="671"/>
      <c r="AJ30" s="672"/>
      <c r="AK30" s="47"/>
      <c r="AL30" s="71"/>
      <c r="AM30" s="71"/>
      <c r="AN30" s="71"/>
      <c r="AO30" s="47"/>
      <c r="AP30" s="51"/>
    </row>
    <row r="31" spans="1:44">
      <c r="A31" s="36"/>
      <c r="B31" s="43"/>
      <c r="D31" s="650" t="s">
        <v>2</v>
      </c>
      <c r="E31" s="651"/>
      <c r="F31" s="652"/>
      <c r="G31" s="47"/>
      <c r="H31" s="774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775"/>
      <c r="J31" s="775"/>
      <c r="K31" s="775"/>
      <c r="L31" s="775"/>
      <c r="M31" s="775"/>
      <c r="N31" s="776"/>
      <c r="O31" s="47"/>
      <c r="P31" s="47"/>
      <c r="Q31" s="47"/>
      <c r="R31" s="47"/>
      <c r="S31" s="47"/>
      <c r="T31" s="51"/>
      <c r="W31" s="36"/>
      <c r="X31" s="43"/>
      <c r="Z31" s="650" t="s">
        <v>2</v>
      </c>
      <c r="AA31" s="651"/>
      <c r="AB31" s="652"/>
      <c r="AC31" s="47"/>
      <c r="AD31" s="676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677"/>
      <c r="AF31" s="677"/>
      <c r="AG31" s="677"/>
      <c r="AH31" s="677"/>
      <c r="AI31" s="677"/>
      <c r="AJ31" s="678"/>
      <c r="AK31" s="47"/>
      <c r="AL31" s="47"/>
      <c r="AM31" s="47"/>
      <c r="AN31" s="47"/>
      <c r="AO31" s="47"/>
      <c r="AP31" s="51"/>
    </row>
    <row r="32" spans="1:44">
      <c r="A32" s="36"/>
      <c r="B32" s="43"/>
      <c r="D32" s="650" t="s">
        <v>3</v>
      </c>
      <c r="E32" s="651"/>
      <c r="F32" s="652"/>
      <c r="G32" s="47"/>
      <c r="H32" s="774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775"/>
      <c r="J32" s="775"/>
      <c r="K32" s="775"/>
      <c r="L32" s="775"/>
      <c r="M32" s="775"/>
      <c r="N32" s="776"/>
      <c r="O32" s="47"/>
      <c r="P32" s="47"/>
      <c r="Q32" s="47"/>
      <c r="R32" s="47"/>
      <c r="S32" s="47"/>
      <c r="T32" s="51"/>
      <c r="W32" s="36"/>
      <c r="X32" s="43"/>
      <c r="Z32" s="650" t="s">
        <v>3</v>
      </c>
      <c r="AA32" s="651"/>
      <c r="AB32" s="652"/>
      <c r="AC32" s="47"/>
      <c r="AD32" s="774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775"/>
      <c r="AF32" s="775"/>
      <c r="AG32" s="775"/>
      <c r="AH32" s="775"/>
      <c r="AI32" s="775"/>
      <c r="AJ32" s="776"/>
      <c r="AK32" s="47"/>
      <c r="AL32" s="47"/>
      <c r="AM32" s="47"/>
      <c r="AN32" s="47"/>
      <c r="AO32" s="47"/>
      <c r="AP32" s="51"/>
    </row>
    <row r="33" spans="1:44" ht="15.75" thickBot="1">
      <c r="A33" s="36"/>
      <c r="B33" s="43"/>
      <c r="D33" s="682" t="s">
        <v>4</v>
      </c>
      <c r="E33" s="683"/>
      <c r="F33" s="684"/>
      <c r="G33" s="47"/>
      <c r="H33" s="685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686"/>
      <c r="J33" s="686"/>
      <c r="K33" s="686"/>
      <c r="L33" s="686"/>
      <c r="M33" s="686"/>
      <c r="N33" s="687"/>
      <c r="O33" s="47"/>
      <c r="P33" s="47"/>
      <c r="Q33" s="47"/>
      <c r="R33" s="47"/>
      <c r="S33" s="47"/>
      <c r="T33" s="51"/>
      <c r="W33" s="36"/>
      <c r="X33" s="43"/>
      <c r="Z33" s="682" t="s">
        <v>4</v>
      </c>
      <c r="AA33" s="683"/>
      <c r="AB33" s="684"/>
      <c r="AC33" s="47"/>
      <c r="AD33" s="685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686"/>
      <c r="AF33" s="686"/>
      <c r="AG33" s="686"/>
      <c r="AH33" s="686"/>
      <c r="AI33" s="686"/>
      <c r="AJ33" s="687"/>
      <c r="AK33" s="47"/>
      <c r="AL33" s="47"/>
      <c r="AM33" s="47"/>
      <c r="AN33" s="47"/>
      <c r="AO33" s="47"/>
      <c r="AP33" s="51"/>
    </row>
    <row r="34" spans="1:44">
      <c r="A34" s="36"/>
      <c r="B34" s="43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47"/>
      <c r="O34" s="47"/>
      <c r="P34" s="47"/>
      <c r="Q34" s="47"/>
      <c r="R34" s="47"/>
      <c r="S34" s="47"/>
      <c r="T34" s="51"/>
      <c r="U34" s="47"/>
      <c r="V34" s="47"/>
      <c r="W34" s="36"/>
      <c r="X34" s="43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7"/>
      <c r="AK34" s="47"/>
      <c r="AL34" s="47"/>
      <c r="AM34" s="47"/>
      <c r="AN34" s="47"/>
      <c r="AO34" s="47"/>
      <c r="AP34" s="51"/>
      <c r="AQ34" s="38"/>
      <c r="AR34" s="38"/>
    </row>
    <row r="35" spans="1:44" ht="15.75" thickBot="1">
      <c r="A35" s="36"/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74"/>
      <c r="P35" s="74"/>
      <c r="Q35" s="74"/>
      <c r="R35" s="74"/>
      <c r="S35" s="74"/>
      <c r="T35" s="75"/>
      <c r="U35" s="36"/>
      <c r="V35" s="36"/>
      <c r="W35" s="36"/>
      <c r="X35" s="72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5"/>
      <c r="AQ35" s="38"/>
      <c r="AR35" s="38"/>
    </row>
    <row r="39" spans="1:4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</sheetData>
  <sheetProtection formatColumns="0" formatRows="0" selectLockedCells="1"/>
  <mergeCells count="88">
    <mergeCell ref="H30:N30"/>
    <mergeCell ref="Z30:AB30"/>
    <mergeCell ref="AD30:AJ30"/>
    <mergeCell ref="D31:F31"/>
    <mergeCell ref="H31:N31"/>
    <mergeCell ref="Z31:AB31"/>
    <mergeCell ref="AD31:AJ31"/>
    <mergeCell ref="D30:F30"/>
    <mergeCell ref="I25:I26"/>
    <mergeCell ref="J25:M25"/>
    <mergeCell ref="AE25:AE26"/>
    <mergeCell ref="AF25:AI25"/>
    <mergeCell ref="J26:M26"/>
    <mergeCell ref="AF26:AI26"/>
    <mergeCell ref="AA20:AA21"/>
    <mergeCell ref="AB20:AE20"/>
    <mergeCell ref="AH20:AH21"/>
    <mergeCell ref="AI20:AL20"/>
    <mergeCell ref="F21:I21"/>
    <mergeCell ref="M21:P21"/>
    <mergeCell ref="AB21:AE21"/>
    <mergeCell ref="AI21:AL21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Y9:AB9"/>
    <mergeCell ref="AF9:AI9"/>
    <mergeCell ref="B8:B9"/>
    <mergeCell ref="C8:F8"/>
    <mergeCell ref="I8:I9"/>
    <mergeCell ref="J8:M8"/>
    <mergeCell ref="Q8:S8"/>
    <mergeCell ref="C9:F9"/>
    <mergeCell ref="J9:M9"/>
    <mergeCell ref="B14:B15"/>
    <mergeCell ref="C14:F14"/>
    <mergeCell ref="J14:M14"/>
    <mergeCell ref="P14:P15"/>
    <mergeCell ref="E20:E21"/>
    <mergeCell ref="F20:I20"/>
    <mergeCell ref="L20:L21"/>
    <mergeCell ref="M20:P20"/>
    <mergeCell ref="D32:F32"/>
    <mergeCell ref="H32:N32"/>
    <mergeCell ref="Z32:AB32"/>
    <mergeCell ref="AD32:AJ32"/>
    <mergeCell ref="D33:F33"/>
    <mergeCell ref="H33:N33"/>
    <mergeCell ref="Z33:AB33"/>
    <mergeCell ref="AD33:AJ33"/>
    <mergeCell ref="J28:M28"/>
    <mergeCell ref="AF28:AI28"/>
    <mergeCell ref="D29:F29"/>
    <mergeCell ref="H29:N29"/>
    <mergeCell ref="Z29:AB29"/>
    <mergeCell ref="AD29:AJ29"/>
    <mergeCell ref="X2:Z2"/>
    <mergeCell ref="T4:T5"/>
    <mergeCell ref="Y4:AO4"/>
    <mergeCell ref="X1:Z1"/>
    <mergeCell ref="AA1:AC1"/>
    <mergeCell ref="AE1:AH1"/>
    <mergeCell ref="AJ1:AO1"/>
    <mergeCell ref="AB2:AC2"/>
    <mergeCell ref="AE2:AG2"/>
    <mergeCell ref="AH2:AP2"/>
    <mergeCell ref="AP4:AP5"/>
    <mergeCell ref="I1:L1"/>
    <mergeCell ref="N1:S1"/>
    <mergeCell ref="B1:D1"/>
    <mergeCell ref="E1:G1"/>
    <mergeCell ref="B2:D2"/>
    <mergeCell ref="F2:G2"/>
    <mergeCell ref="I2:K2"/>
    <mergeCell ref="L2:T2"/>
  </mergeCells>
  <conditionalFormatting sqref="H32">
    <cfRule type="expression" dxfId="262" priority="285">
      <formula>$H$2=5</formula>
    </cfRule>
    <cfRule type="expression" dxfId="261" priority="286">
      <formula>$H$2=4</formula>
    </cfRule>
    <cfRule type="expression" dxfId="260" priority="287">
      <formula>$H$2=0</formula>
    </cfRule>
  </conditionalFormatting>
  <conditionalFormatting sqref="H29:N29">
    <cfRule type="expression" dxfId="259" priority="282">
      <formula>$H$2=0</formula>
    </cfRule>
    <cfRule type="expression" dxfId="258" priority="283" stopIfTrue="1">
      <formula>(OR(H2="1",H2="2",H2="3"))</formula>
    </cfRule>
  </conditionalFormatting>
  <conditionalFormatting sqref="H30:N30">
    <cfRule type="expression" dxfId="257" priority="281">
      <formula>(OR(H2="2",H2="3"))</formula>
    </cfRule>
  </conditionalFormatting>
  <conditionalFormatting sqref="H31:N31">
    <cfRule type="expression" dxfId="256" priority="280">
      <formula>(H2="3")</formula>
    </cfRule>
  </conditionalFormatting>
  <conditionalFormatting sqref="H32:N32">
    <cfRule type="cellIs" dxfId="255" priority="279" operator="equal">
      <formula>0</formula>
    </cfRule>
  </conditionalFormatting>
  <conditionalFormatting sqref="H33:N33">
    <cfRule type="cellIs" dxfId="254" priority="278" operator="equal">
      <formula>0</formula>
    </cfRule>
  </conditionalFormatting>
  <conditionalFormatting sqref="H33">
    <cfRule type="expression" dxfId="253" priority="310">
      <formula>$AF$2=5</formula>
    </cfRule>
  </conditionalFormatting>
  <conditionalFormatting sqref="AD30">
    <cfRule type="expression" dxfId="252" priority="296">
      <formula>$AF$2=5</formula>
    </cfRule>
    <cfRule type="expression" dxfId="251" priority="297">
      <formula>$AF$2=4</formula>
    </cfRule>
    <cfRule type="expression" dxfId="250" priority="298">
      <formula>$AF$2=3</formula>
    </cfRule>
    <cfRule type="expression" dxfId="249" priority="299">
      <formula>$AF$2=2</formula>
    </cfRule>
  </conditionalFormatting>
  <conditionalFormatting sqref="AD29:AJ29">
    <cfRule type="expression" dxfId="248" priority="284">
      <formula>$AF$2=1</formula>
    </cfRule>
    <cfRule type="expression" priority="1">
      <formula>(OR(FALSE,"OFFICE"))</formula>
    </cfRule>
  </conditionalFormatting>
  <conditionalFormatting sqref="AD29:AJ29">
    <cfRule type="expression" dxfId="247" priority="268" stopIfTrue="1">
      <formula>(OR(AF2="1",AF2="2",AF2="3"))</formula>
    </cfRule>
  </conditionalFormatting>
  <conditionalFormatting sqref="AD30:AJ30">
    <cfRule type="expression" dxfId="246" priority="266">
      <formula>(OR(AF2="2",AF2="3"))</formula>
    </cfRule>
  </conditionalFormatting>
  <conditionalFormatting sqref="AD29">
    <cfRule type="expression" dxfId="245" priority="349">
      <formula>$AF$2=2</formula>
    </cfRule>
    <cfRule type="expression" dxfId="244" priority="350">
      <formula>$AF$2=5</formula>
    </cfRule>
    <cfRule type="expression" dxfId="243" priority="351">
      <formula>$AF$2=4</formula>
    </cfRule>
    <cfRule type="expression" dxfId="242" priority="352">
      <formula>$AF$2=3</formula>
    </cfRule>
  </conditionalFormatting>
  <conditionalFormatting sqref="H33">
    <cfRule type="expression" dxfId="241" priority="248">
      <formula>$AD$2=5</formula>
    </cfRule>
  </conditionalFormatting>
  <conditionalFormatting sqref="AD29">
    <cfRule type="expression" dxfId="240" priority="239">
      <formula>$AD$2=2</formula>
    </cfRule>
    <cfRule type="expression" dxfId="239" priority="240">
      <formula>$AD$2=5</formula>
    </cfRule>
    <cfRule type="expression" dxfId="238" priority="241">
      <formula>$AD$2=4</formula>
    </cfRule>
    <cfRule type="expression" dxfId="237" priority="242">
      <formula>$AD$2=3</formula>
    </cfRule>
  </conditionalFormatting>
  <conditionalFormatting sqref="AD30">
    <cfRule type="expression" dxfId="236" priority="235">
      <formula>$AD$2=5</formula>
    </cfRule>
    <cfRule type="expression" dxfId="235" priority="236">
      <formula>$AD$2=4</formula>
    </cfRule>
    <cfRule type="expression" dxfId="234" priority="237">
      <formula>$AD$2=3</formula>
    </cfRule>
    <cfRule type="expression" dxfId="233" priority="238">
      <formula>$AD$2=2</formula>
    </cfRule>
  </conditionalFormatting>
  <conditionalFormatting sqref="AD29:AJ29">
    <cfRule type="expression" dxfId="232" priority="224">
      <formula>$AD$2=1</formula>
    </cfRule>
  </conditionalFormatting>
  <conditionalFormatting sqref="H29:N29">
    <cfRule type="expression" dxfId="231" priority="222">
      <formula>$H$2=0</formula>
    </cfRule>
    <cfRule type="expression" dxfId="230" priority="223" stopIfTrue="1">
      <formula>(OR(H2="1",H2="2",H2="3"))</formula>
    </cfRule>
  </conditionalFormatting>
  <conditionalFormatting sqref="H30:N30">
    <cfRule type="expression" dxfId="229" priority="221">
      <formula>(OR(H2="2",H2="3"))</formula>
    </cfRule>
  </conditionalFormatting>
  <conditionalFormatting sqref="H31:N31">
    <cfRule type="cellIs" dxfId="228" priority="219" operator="equal">
      <formula>0</formula>
    </cfRule>
    <cfRule type="expression" dxfId="227" priority="220">
      <formula>(H2="3")</formula>
    </cfRule>
  </conditionalFormatting>
  <conditionalFormatting sqref="AD29:AJ29">
    <cfRule type="expression" dxfId="226" priority="218" stopIfTrue="1">
      <formula>(OR(AD2="1",AD2="2",AD2="3"))</formula>
    </cfRule>
  </conditionalFormatting>
  <conditionalFormatting sqref="AD30:AJ30">
    <cfRule type="expression" dxfId="225" priority="216">
      <formula>(OR(AD2="2",AD2="3"))</formula>
    </cfRule>
  </conditionalFormatting>
  <conditionalFormatting sqref="H33:N33">
    <cfRule type="cellIs" dxfId="224" priority="194" operator="equal">
      <formula>0</formula>
    </cfRule>
  </conditionalFormatting>
  <conditionalFormatting sqref="H32:N32">
    <cfRule type="cellIs" dxfId="223" priority="193" operator="equal">
      <formula>0</formula>
    </cfRule>
  </conditionalFormatting>
  <conditionalFormatting sqref="C9:F9">
    <cfRule type="cellIs" dxfId="222" priority="130" operator="equal">
      <formula>$E$2=0</formula>
    </cfRule>
  </conditionalFormatting>
  <conditionalFormatting sqref="C8:F9">
    <cfRule type="expression" dxfId="221" priority="119">
      <formula>(OR($E$2=3,$E$2=4,$E$2=5))</formula>
    </cfRule>
  </conditionalFormatting>
  <conditionalFormatting sqref="AF9:AI9">
    <cfRule type="cellIs" dxfId="220" priority="3" operator="equal">
      <formula>0</formula>
    </cfRule>
  </conditionalFormatting>
  <conditionalFormatting sqref="AF8:AI9">
    <cfRule type="expression" dxfId="219" priority="2">
      <formula>(OR($E$2=3,$E$2=4,$E$2=5))</formula>
    </cfRule>
  </conditionalFormatting>
  <pageMargins left="0.7" right="0.7" top="0.75" bottom="0.75" header="0.3" footer="0.3"/>
  <pageSetup paperSize="9" scale="40" orientation="landscape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8">
    <tabColor rgb="FF66FF33"/>
    <pageSetUpPr fitToPage="1"/>
  </sheetPr>
  <dimension ref="A1:AR40"/>
  <sheetViews>
    <sheetView zoomScale="70" zoomScaleNormal="70" workbookViewId="0">
      <selection activeCell="H31" sqref="H31:N31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6" customWidth="1"/>
    <col min="21" max="21" width="7.28515625" customWidth="1"/>
    <col min="22" max="22" width="5.140625" customWidth="1"/>
    <col min="23" max="23" width="6.42578125" customWidth="1"/>
    <col min="24" max="24" width="8.57031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7.8554687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3" max="43" width="7.140625" customWidth="1"/>
    <col min="44" max="44" width="8.5703125" customWidth="1"/>
  </cols>
  <sheetData>
    <row r="1" spans="1:44" ht="21.75" thickBot="1">
      <c r="A1" s="1"/>
      <c r="B1" s="747" t="s">
        <v>54</v>
      </c>
      <c r="C1" s="736"/>
      <c r="D1" s="736"/>
      <c r="E1" s="736" t="str">
        <f>Rens.!J2</f>
        <v>ST PERAY</v>
      </c>
      <c r="F1" s="736"/>
      <c r="G1" s="736"/>
      <c r="H1" s="18">
        <f ca="1">Rens.!$D$4</f>
        <v>2020</v>
      </c>
      <c r="I1" s="736" t="str">
        <f>Rens.!$J$4</f>
        <v xml:space="preserve"> Quadrettes</v>
      </c>
      <c r="J1" s="736"/>
      <c r="K1" s="736"/>
      <c r="L1" s="736"/>
      <c r="M1" s="19" t="str">
        <f>Rens.!$E$6</f>
        <v>4 Div.</v>
      </c>
      <c r="N1" s="747" t="s">
        <v>25</v>
      </c>
      <c r="O1" s="736"/>
      <c r="P1" s="736"/>
      <c r="Q1" s="736"/>
      <c r="R1" s="736"/>
      <c r="S1" s="754"/>
      <c r="T1" s="4">
        <f>Rens.!$A$9</f>
        <v>0</v>
      </c>
      <c r="W1" s="1"/>
      <c r="X1" s="747" t="s">
        <v>54</v>
      </c>
      <c r="Y1" s="736"/>
      <c r="Z1" s="736"/>
      <c r="AA1" s="736" t="str">
        <f>Rens.!J2</f>
        <v>ST PERAY</v>
      </c>
      <c r="AB1" s="736"/>
      <c r="AC1" s="736"/>
      <c r="AD1" s="18">
        <f ca="1">Rens.!$D$4</f>
        <v>2020</v>
      </c>
      <c r="AE1" s="736" t="str">
        <f>Rens.!$J$4</f>
        <v xml:space="preserve"> Quadrettes</v>
      </c>
      <c r="AF1" s="736"/>
      <c r="AG1" s="736"/>
      <c r="AH1" s="736"/>
      <c r="AI1" s="19" t="str">
        <f>Rens.!$E$6</f>
        <v>4 Div.</v>
      </c>
      <c r="AJ1" s="747" t="s">
        <v>25</v>
      </c>
      <c r="AK1" s="736"/>
      <c r="AL1" s="736"/>
      <c r="AM1" s="736"/>
      <c r="AN1" s="736"/>
      <c r="AO1" s="754"/>
      <c r="AP1" s="5">
        <f>Rens.!$A$9</f>
        <v>0</v>
      </c>
      <c r="AQ1" s="3"/>
    </row>
    <row r="2" spans="1:44" ht="19.5" customHeight="1" thickBot="1">
      <c r="A2" s="1"/>
      <c r="B2" s="747" t="s">
        <v>34</v>
      </c>
      <c r="C2" s="736"/>
      <c r="D2" s="736"/>
      <c r="E2" s="16">
        <f>Rens.!O18</f>
        <v>0</v>
      </c>
      <c r="F2" s="736" t="s">
        <v>19</v>
      </c>
      <c r="G2" s="736"/>
      <c r="H2" s="7">
        <f>Rens.!O19</f>
        <v>0</v>
      </c>
      <c r="I2" s="736" t="s">
        <v>20</v>
      </c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54"/>
      <c r="W2" s="1"/>
      <c r="X2" s="747" t="s">
        <v>35</v>
      </c>
      <c r="Y2" s="736"/>
      <c r="Z2" s="736"/>
      <c r="AA2" s="17">
        <f>Rens.!P18</f>
        <v>0</v>
      </c>
      <c r="AB2" s="736" t="s">
        <v>19</v>
      </c>
      <c r="AC2" s="736"/>
      <c r="AD2" s="7">
        <f>Rens.!P19</f>
        <v>0</v>
      </c>
      <c r="AE2" s="736" t="s">
        <v>20</v>
      </c>
      <c r="AF2" s="736"/>
      <c r="AG2" s="736"/>
      <c r="AH2" s="736"/>
      <c r="AI2" s="736"/>
      <c r="AJ2" s="736"/>
      <c r="AK2" s="736"/>
      <c r="AL2" s="736"/>
      <c r="AM2" s="736"/>
      <c r="AN2" s="736"/>
      <c r="AO2" s="736"/>
      <c r="AP2" s="754"/>
      <c r="AQ2" s="3"/>
    </row>
    <row r="3" spans="1:44" ht="15.75" customHeight="1" thickBot="1">
      <c r="A3" s="36"/>
      <c r="B3" s="43"/>
      <c r="C3" s="44"/>
      <c r="D3" s="44"/>
      <c r="E3" s="44"/>
      <c r="F3" s="76" t="str">
        <f>CONCATENATE(E2,H2)</f>
        <v>00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  <c r="W3" s="36"/>
      <c r="X3" s="43"/>
      <c r="Y3" s="44"/>
      <c r="Z3" s="44"/>
      <c r="AA3" s="37"/>
      <c r="AB3" s="77" t="str">
        <f>CONCATENATE(AA2,AD2)</f>
        <v>00</v>
      </c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/>
      <c r="AQ3" s="38"/>
      <c r="AR3" s="38"/>
    </row>
    <row r="4" spans="1:44" ht="15.75" thickBot="1">
      <c r="A4" s="36"/>
      <c r="B4" s="43"/>
      <c r="C4" s="751" t="s">
        <v>67</v>
      </c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752"/>
      <c r="Q4" s="752"/>
      <c r="R4" s="752"/>
      <c r="S4" s="753"/>
      <c r="T4" s="755"/>
      <c r="U4" s="46"/>
      <c r="V4" s="46"/>
      <c r="W4" s="36"/>
      <c r="X4" s="43"/>
      <c r="Y4" s="751" t="s">
        <v>67</v>
      </c>
      <c r="Z4" s="752"/>
      <c r="AA4" s="752"/>
      <c r="AB4" s="752"/>
      <c r="AC4" s="752"/>
      <c r="AD4" s="752"/>
      <c r="AE4" s="752"/>
      <c r="AF4" s="752"/>
      <c r="AG4" s="752"/>
      <c r="AH4" s="752"/>
      <c r="AI4" s="752"/>
      <c r="AJ4" s="752"/>
      <c r="AK4" s="752"/>
      <c r="AL4" s="752"/>
      <c r="AM4" s="752"/>
      <c r="AN4" s="752"/>
      <c r="AO4" s="753"/>
      <c r="AP4" s="755"/>
      <c r="AQ4" s="38"/>
      <c r="AR4" s="38"/>
    </row>
    <row r="5" spans="1:44">
      <c r="A5" s="36"/>
      <c r="B5" s="43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755"/>
      <c r="U5" s="46"/>
      <c r="V5" s="46"/>
      <c r="W5" s="36"/>
      <c r="X5" s="43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755"/>
      <c r="AQ5" s="38"/>
      <c r="AR5" s="38"/>
    </row>
    <row r="6" spans="1:44" ht="15.75" thickBot="1">
      <c r="A6" s="36"/>
      <c r="B6" s="43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  <c r="S6" s="44"/>
      <c r="T6" s="45"/>
      <c r="U6" s="44"/>
      <c r="V6" s="44"/>
      <c r="W6" s="36"/>
      <c r="X6" s="43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8"/>
      <c r="AO6" s="44"/>
      <c r="AP6" s="45"/>
      <c r="AQ6" s="38"/>
      <c r="AR6" s="38"/>
    </row>
    <row r="7" spans="1:44" ht="15.75" thickBot="1">
      <c r="A7" s="36"/>
      <c r="B7" s="49" t="s">
        <v>6</v>
      </c>
      <c r="C7" s="50" t="s">
        <v>14</v>
      </c>
      <c r="D7" s="37"/>
      <c r="E7" s="47"/>
      <c r="F7" s="47"/>
      <c r="G7" s="44" t="s">
        <v>5</v>
      </c>
      <c r="H7" s="44"/>
      <c r="I7" s="44" t="s">
        <v>6</v>
      </c>
      <c r="J7" s="50" t="str">
        <f>IF(E2=2,"","C")</f>
        <v>C</v>
      </c>
      <c r="K7" s="37"/>
      <c r="L7" s="47"/>
      <c r="M7" s="47"/>
      <c r="N7" s="44" t="s">
        <v>5</v>
      </c>
      <c r="O7" s="44"/>
      <c r="P7" s="44"/>
      <c r="Q7" s="50" t="s">
        <v>45</v>
      </c>
      <c r="R7" s="47"/>
      <c r="S7" s="47" t="s">
        <v>62</v>
      </c>
      <c r="T7" s="51"/>
      <c r="U7" s="47"/>
      <c r="V7" s="47"/>
      <c r="W7" s="36"/>
      <c r="X7" s="49" t="s">
        <v>6</v>
      </c>
      <c r="Y7" s="50" t="s">
        <v>14</v>
      </c>
      <c r="Z7" s="37"/>
      <c r="AA7" s="47"/>
      <c r="AB7" s="47"/>
      <c r="AC7" s="44" t="s">
        <v>5</v>
      </c>
      <c r="AD7" s="44"/>
      <c r="AE7" s="44" t="s">
        <v>6</v>
      </c>
      <c r="AF7" s="50" t="str">
        <f>IF(AA2=2,"","C")</f>
        <v>C</v>
      </c>
      <c r="AG7" s="37"/>
      <c r="AH7" s="47"/>
      <c r="AI7" s="47"/>
      <c r="AJ7" s="44" t="s">
        <v>5</v>
      </c>
      <c r="AK7" s="44"/>
      <c r="AL7" s="44"/>
      <c r="AM7" s="50" t="s">
        <v>45</v>
      </c>
      <c r="AN7" s="47"/>
      <c r="AO7" s="47" t="s">
        <v>62</v>
      </c>
      <c r="AP7" s="51"/>
      <c r="AQ7" s="38"/>
      <c r="AR7" s="38"/>
    </row>
    <row r="8" spans="1:44" ht="15.75" thickBot="1">
      <c r="A8" s="52">
        <v>51</v>
      </c>
      <c r="B8" s="662"/>
      <c r="C8" s="664" t="str">
        <f>IF(ISNA(MATCH($A$8,Rens.!$Z$6:$Z$82,0)),"",INDEX(Rens.!$X$6:$X$82,MATCH($A$8,Rens.!$Z$6:$Z$82,0)))</f>
        <v/>
      </c>
      <c r="D8" s="692"/>
      <c r="E8" s="692"/>
      <c r="F8" s="693"/>
      <c r="G8" s="53">
        <v>1</v>
      </c>
      <c r="H8" s="54">
        <v>53</v>
      </c>
      <c r="I8" s="662"/>
      <c r="J8" s="756" t="str">
        <f>IF(ISNA(MATCH($H$8,Rens.!$Z$6:$Z$82,0)),"",INDEX(Rens.!$X$6:$X$82,MATCH($H$8,Rens.!$Z$6:$Z$82,0)))</f>
        <v/>
      </c>
      <c r="K8" s="757"/>
      <c r="L8" s="757"/>
      <c r="M8" s="758"/>
      <c r="N8" s="53">
        <v>1</v>
      </c>
      <c r="O8" s="44"/>
      <c r="P8" s="47">
        <v>55</v>
      </c>
      <c r="Q8" s="759" t="str">
        <f>IF(E2+E3=4,0,IF(E2+E3=3,0,IF(ISNA(MATCH($P$8,Rens.!$Z$6:$Z$82,0)),"",INDEX(Rens.!$X$6:$X$82,MATCH($P$8,Rens.!$Z$6:$Z$82,0)))))</f>
        <v/>
      </c>
      <c r="R8" s="760"/>
      <c r="S8" s="761"/>
      <c r="T8" s="55"/>
      <c r="U8" s="47"/>
      <c r="V8" s="47"/>
      <c r="W8" s="36">
        <v>56</v>
      </c>
      <c r="X8" s="662"/>
      <c r="Y8" s="664" t="str">
        <f>IF(ISNA(MATCH($W$8,Rens.!$Z$6:$Z$82,0)),"",INDEX(Rens.!$X$6:$X$82,MATCH($W$8,Rens.!$Z$6:$Z$82,0)))</f>
        <v/>
      </c>
      <c r="Z8" s="692"/>
      <c r="AA8" s="692"/>
      <c r="AB8" s="693"/>
      <c r="AC8" s="53">
        <v>1</v>
      </c>
      <c r="AD8" s="54">
        <v>58</v>
      </c>
      <c r="AE8" s="662"/>
      <c r="AF8" s="664" t="str">
        <f>IF(ISNA(MATCH($AD$8,Rens.!$Z$6:$Z$82,0)),"",INDEX(Rens.!$X$6:$X$82,MATCH($AD$8,Rens.!$Z$6:$Z$82,0)))</f>
        <v/>
      </c>
      <c r="AG8" s="692"/>
      <c r="AH8" s="692"/>
      <c r="AI8" s="693"/>
      <c r="AJ8" s="53">
        <v>1</v>
      </c>
      <c r="AK8" s="44"/>
      <c r="AL8" s="47">
        <v>60</v>
      </c>
      <c r="AM8" s="759" t="str">
        <f>IF($AA$2+$AA$3=4,0,IF($AA$2+$AA$3=3,0,IF(ISNA(MATCH($AL$8,Rens.!$Z$6:$Z$82,0)),"",INDEX(Rens.!$X$6:$X$82,MATCH($AL$8,Rens.!$Z$6:$Z$82,0)))))</f>
        <v/>
      </c>
      <c r="AN8" s="760"/>
      <c r="AO8" s="761"/>
      <c r="AP8" s="55"/>
      <c r="AQ8" s="38"/>
      <c r="AR8" s="38"/>
    </row>
    <row r="9" spans="1:44" ht="15.75" thickBot="1">
      <c r="A9" s="52">
        <v>52</v>
      </c>
      <c r="B9" s="663"/>
      <c r="C9" s="694" t="str">
        <f>IF(ISNA(MATCH($A$9,Rens.!$Z$6:$Z$82,0)),"",INDEX(Rens.!$X$6:$X$82,MATCH($A$9,Rens.!$Z$6:$Z$82,0)))</f>
        <v/>
      </c>
      <c r="D9" s="695"/>
      <c r="E9" s="695"/>
      <c r="F9" s="696"/>
      <c r="G9" s="81">
        <v>0</v>
      </c>
      <c r="H9" s="54">
        <v>54</v>
      </c>
      <c r="I9" s="663"/>
      <c r="J9" s="694" t="str">
        <f>IF(ISNA(MATCH($H$9,Rens.!$Z$6:$Z$82,0)),"0ffice",INDEX(Rens.!$X$6:$X$82,MATCH($H$9,Rens.!$Z$6:$Z$82,0)))</f>
        <v>0ffice</v>
      </c>
      <c r="K9" s="695"/>
      <c r="L9" s="695"/>
      <c r="M9" s="696"/>
      <c r="N9" s="53">
        <v>0</v>
      </c>
      <c r="O9" s="44"/>
      <c r="P9" s="47"/>
      <c r="Q9" s="56" t="e">
        <f>IF(ISNA(MATCH($P$8,#REF!,0)),"",INDEX(#REF!,MATCH($P$8,#REF!,0)))</f>
        <v>#REF!</v>
      </c>
      <c r="R9" s="47"/>
      <c r="S9" s="47"/>
      <c r="T9" s="51"/>
      <c r="U9" s="47"/>
      <c r="V9" s="47"/>
      <c r="W9" s="36">
        <v>57</v>
      </c>
      <c r="X9" s="663"/>
      <c r="Y9" s="694" t="str">
        <f>IF(ISNA(MATCH($W$9,Rens.!$Z$6:$Z$82,0)),"",INDEX(Rens.!$X$6:$X$82,MATCH($W$9,Rens.!$Z$6:$Z$82,0)))</f>
        <v/>
      </c>
      <c r="Z9" s="695"/>
      <c r="AA9" s="695"/>
      <c r="AB9" s="696"/>
      <c r="AC9" s="81">
        <v>0</v>
      </c>
      <c r="AD9" s="54">
        <v>59</v>
      </c>
      <c r="AE9" s="663"/>
      <c r="AF9" s="694" t="str">
        <f>IF(ISNA(MATCH($AD$9,Rens.!$Z$6:$Z$82,0)),"",INDEX(Rens.!$X$6:$X$82,MATCH($AD$9,Rens.!$Z$6:$Z$82,0)))</f>
        <v/>
      </c>
      <c r="AG9" s="695"/>
      <c r="AH9" s="695"/>
      <c r="AI9" s="696"/>
      <c r="AJ9" s="53">
        <v>0</v>
      </c>
      <c r="AK9" s="44"/>
      <c r="AL9" s="47"/>
      <c r="AM9" s="56" t="e">
        <f>IF(ISNA(MATCH($AL$8,#REF!,0)),"",INDEX(#REF!,MATCH($AL$8,#REF!,0)))</f>
        <v>#REF!</v>
      </c>
      <c r="AN9" s="47"/>
      <c r="AO9" s="47"/>
      <c r="AP9" s="51"/>
      <c r="AQ9" s="38"/>
      <c r="AR9" s="38"/>
    </row>
    <row r="10" spans="1:44" ht="15.75" thickBot="1">
      <c r="A10" s="36"/>
      <c r="B10" s="43"/>
      <c r="C10" s="93" t="s">
        <v>15</v>
      </c>
      <c r="D10" s="37"/>
      <c r="E10" s="47"/>
      <c r="F10" s="47"/>
      <c r="G10" s="47"/>
      <c r="H10" s="47"/>
      <c r="I10" s="47"/>
      <c r="J10" s="50" t="s">
        <v>44</v>
      </c>
      <c r="K10" s="37"/>
      <c r="L10" s="47"/>
      <c r="M10" s="47"/>
      <c r="N10" s="47"/>
      <c r="O10" s="47"/>
      <c r="P10" s="47"/>
      <c r="Q10" s="47"/>
      <c r="R10" s="47"/>
      <c r="S10" s="47"/>
      <c r="T10" s="51"/>
      <c r="U10" s="47"/>
      <c r="V10" s="47"/>
      <c r="W10" s="36"/>
      <c r="X10" s="43"/>
      <c r="Y10" s="93" t="s">
        <v>15</v>
      </c>
      <c r="Z10" s="37"/>
      <c r="AA10" s="47"/>
      <c r="AB10" s="47"/>
      <c r="AC10" s="47"/>
      <c r="AD10" s="47"/>
      <c r="AE10" s="47"/>
      <c r="AF10" s="50" t="s">
        <v>44</v>
      </c>
      <c r="AG10" s="37"/>
      <c r="AH10" s="47"/>
      <c r="AI10" s="47"/>
      <c r="AJ10" s="47"/>
      <c r="AK10" s="47"/>
      <c r="AL10" s="47"/>
      <c r="AM10" s="47"/>
      <c r="AN10" s="47"/>
      <c r="AO10" s="47"/>
      <c r="AP10" s="51"/>
      <c r="AQ10" s="38"/>
      <c r="AR10" s="38"/>
    </row>
    <row r="11" spans="1:44">
      <c r="A11" s="36"/>
      <c r="B11" s="43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1"/>
      <c r="U11" s="47"/>
      <c r="V11" s="47"/>
      <c r="W11" s="36"/>
      <c r="X11" s="43"/>
      <c r="Y11" s="48"/>
      <c r="Z11" s="48"/>
      <c r="AA11" s="48"/>
      <c r="AB11" s="48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51"/>
      <c r="AQ11" s="38"/>
      <c r="AR11" s="38"/>
    </row>
    <row r="12" spans="1:44">
      <c r="A12" s="36"/>
      <c r="B12" s="43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51"/>
      <c r="U12" s="47"/>
      <c r="V12" s="47"/>
      <c r="W12" s="36"/>
      <c r="X12" s="43"/>
      <c r="Y12" s="48"/>
      <c r="Z12" s="48"/>
      <c r="AA12" s="48"/>
      <c r="AB12" s="48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51"/>
      <c r="AQ12" s="38"/>
      <c r="AR12" s="38"/>
    </row>
    <row r="13" spans="1:44" ht="15.75" thickBot="1">
      <c r="A13" s="36"/>
      <c r="B13" s="49" t="s">
        <v>6</v>
      </c>
      <c r="C13" s="47"/>
      <c r="D13" s="78" t="s">
        <v>61</v>
      </c>
      <c r="E13" s="47"/>
      <c r="F13" s="47"/>
      <c r="G13" s="44" t="s">
        <v>5</v>
      </c>
      <c r="H13" s="44"/>
      <c r="I13" s="47"/>
      <c r="J13" s="47"/>
      <c r="K13" s="47"/>
      <c r="L13" s="47" t="s">
        <v>62</v>
      </c>
      <c r="M13" s="47"/>
      <c r="N13" s="47"/>
      <c r="O13" s="47"/>
      <c r="P13" s="44" t="s">
        <v>6</v>
      </c>
      <c r="Q13" s="47"/>
      <c r="R13" s="78" t="s">
        <v>60</v>
      </c>
      <c r="S13" s="47"/>
      <c r="T13" s="44" t="s">
        <v>5</v>
      </c>
      <c r="U13" s="57"/>
      <c r="V13" s="58"/>
      <c r="W13" s="36"/>
      <c r="X13" s="59" t="s">
        <v>6</v>
      </c>
      <c r="Y13" s="48"/>
      <c r="Z13" s="48" t="s">
        <v>61</v>
      </c>
      <c r="AA13" s="48"/>
      <c r="AB13" s="48"/>
      <c r="AC13" s="44" t="s">
        <v>5</v>
      </c>
      <c r="AD13" s="44"/>
      <c r="AE13" s="47"/>
      <c r="AF13" s="47"/>
      <c r="AG13" s="47"/>
      <c r="AH13" s="47" t="s">
        <v>62</v>
      </c>
      <c r="AI13" s="47"/>
      <c r="AJ13" s="47"/>
      <c r="AK13" s="47"/>
      <c r="AL13" s="44" t="s">
        <v>6</v>
      </c>
      <c r="AM13" s="47"/>
      <c r="AN13" s="47" t="s">
        <v>60</v>
      </c>
      <c r="AO13" s="47"/>
      <c r="AP13" s="45" t="s">
        <v>5</v>
      </c>
      <c r="AQ13" s="58"/>
      <c r="AR13" s="58"/>
    </row>
    <row r="14" spans="1:44" ht="15.75" thickBot="1">
      <c r="A14" s="36"/>
      <c r="B14" s="662"/>
      <c r="C14" s="664" t="str">
        <f>IF($G$8=$G$9,"résultat",IF($G$8&gt;$G$9,$C$9,$C$8))</f>
        <v/>
      </c>
      <c r="D14" s="665"/>
      <c r="E14" s="665"/>
      <c r="F14" s="666"/>
      <c r="G14" s="53">
        <v>1</v>
      </c>
      <c r="H14" s="44"/>
      <c r="I14" s="47"/>
      <c r="J14" s="762" t="str">
        <f>IF(ISTEXT($Q$8),IF(($G$9=$G$8),"résultat",IF(($N$9=$N$8),"résultat",IF(($U$14=2),$C$8,IF(($V$14=2),$C$9,IF(($U$15=2),$J$9,IF(($V$15=2),J8,0)))))))</f>
        <v/>
      </c>
      <c r="K14" s="763"/>
      <c r="L14" s="763"/>
      <c r="M14" s="764"/>
      <c r="N14" s="55"/>
      <c r="O14" s="47"/>
      <c r="P14" s="662"/>
      <c r="Q14" s="765" t="str">
        <f>IF($E$2+$E$3=5,$Q$8,IF($N$8=$N$9,"résultat",IF($N$8&gt;$N$9,$J$8,$J$9)))</f>
        <v/>
      </c>
      <c r="R14" s="766"/>
      <c r="S14" s="767"/>
      <c r="T14" s="61">
        <v>1</v>
      </c>
      <c r="U14" s="62">
        <f>IF(G8&gt;G9,1)+IF(N8&gt;N9,1)</f>
        <v>2</v>
      </c>
      <c r="V14" s="63">
        <f>IF(G9&gt;G8,1)+IF(N9&gt;N8,1)</f>
        <v>0</v>
      </c>
      <c r="W14" s="36"/>
      <c r="X14" s="662"/>
      <c r="Y14" s="737" t="str">
        <f>IF($AC$8=$AC$9,"résultat",IF($AC$8&gt;$AC$9,$Y$9,$Y$8))</f>
        <v/>
      </c>
      <c r="Z14" s="665"/>
      <c r="AA14" s="665"/>
      <c r="AB14" s="666"/>
      <c r="AC14" s="53">
        <v>1</v>
      </c>
      <c r="AD14" s="44"/>
      <c r="AE14" s="47"/>
      <c r="AF14" s="768" t="str">
        <f>IF(ISTEXT($AM$8),IF(($AC$9=$AC$8),"résultat",IF(($AJ$9=$AJ$8),"résultat",IF(($AQ$14=2),$Y$8,IF(($AR$14=2),$Y$9,IF(($AQ$15=2),$AF$9,IF(($AR$15=2),$AF$8,0)))))))</f>
        <v/>
      </c>
      <c r="AG14" s="763"/>
      <c r="AH14" s="763"/>
      <c r="AI14" s="764"/>
      <c r="AJ14" s="60"/>
      <c r="AK14" s="47"/>
      <c r="AL14" s="662"/>
      <c r="AM14" s="765" t="str">
        <f>IF($AA$2+$AA$3=5,$AM$8,IF($AJ$8&gt;$AJ$9,$AF$8,$AF$9))</f>
        <v/>
      </c>
      <c r="AN14" s="766"/>
      <c r="AO14" s="767"/>
      <c r="AP14" s="53">
        <v>1</v>
      </c>
      <c r="AQ14" s="62">
        <f>IF(AC8&gt;AC9,1)+IF(AJ8&gt;AJ9,1)</f>
        <v>2</v>
      </c>
      <c r="AR14" s="63">
        <f>IF(AC9&gt;AC8,1)+IF(AJ9&gt;AJ8,1)</f>
        <v>0</v>
      </c>
    </row>
    <row r="15" spans="1:44" ht="15.75" thickBot="1">
      <c r="A15" s="36"/>
      <c r="B15" s="663"/>
      <c r="C15" s="656" t="str">
        <f>IF($N$8=$N$9,"résultat",IF($N$8&lt;$N$9,$J$8,$J$9))</f>
        <v>0ffice</v>
      </c>
      <c r="D15" s="657"/>
      <c r="E15" s="657"/>
      <c r="F15" s="658"/>
      <c r="G15" s="64">
        <v>0</v>
      </c>
      <c r="H15" s="44"/>
      <c r="I15" s="47"/>
      <c r="J15" s="65" t="str">
        <f>IF(ISTEXT(J14)," ",0)</f>
        <v xml:space="preserve"> </v>
      </c>
      <c r="K15" s="47"/>
      <c r="L15" s="47"/>
      <c r="M15" s="47"/>
      <c r="N15" s="47"/>
      <c r="O15" s="47"/>
      <c r="P15" s="663"/>
      <c r="Q15" s="656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657"/>
      <c r="S15" s="658"/>
      <c r="T15" s="81">
        <v>0</v>
      </c>
      <c r="U15" s="66">
        <f>IF(G8&gt;G9,1)+IF(N9&gt;N8,1)</f>
        <v>1</v>
      </c>
      <c r="V15" s="67">
        <f>IF(G9&gt;G8,1)+IF(N8&gt;N9,1)</f>
        <v>1</v>
      </c>
      <c r="W15" s="36"/>
      <c r="X15" s="663"/>
      <c r="Y15" s="656" t="str">
        <f>IF($AJ$8=$AJ$9,"résultat",IF($AJ$8&lt;$AJ$9,$AF$8,$AF$9))</f>
        <v/>
      </c>
      <c r="Z15" s="657"/>
      <c r="AA15" s="657"/>
      <c r="AB15" s="658"/>
      <c r="AC15" s="53">
        <v>0</v>
      </c>
      <c r="AD15" s="44"/>
      <c r="AE15" s="47"/>
      <c r="AF15" s="47"/>
      <c r="AG15" s="47"/>
      <c r="AH15" s="47"/>
      <c r="AI15" s="47"/>
      <c r="AJ15" s="47"/>
      <c r="AK15" s="47"/>
      <c r="AL15" s="663"/>
      <c r="AM15" s="656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657"/>
      <c r="AO15" s="658"/>
      <c r="AP15" s="80">
        <v>0</v>
      </c>
      <c r="AQ15" s="66">
        <f>IF(AC8&gt;AC9,1)+IF(AJ9&gt;AJ8,1)</f>
        <v>1</v>
      </c>
      <c r="AR15" s="67">
        <f>IF(AC9&gt;AC8,1)+IF(AJ8&gt;AJ9,1)</f>
        <v>1</v>
      </c>
    </row>
    <row r="16" spans="1:44">
      <c r="A16" s="36"/>
      <c r="B16" s="43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68"/>
      <c r="Q16" s="47"/>
      <c r="R16" s="47"/>
      <c r="S16" s="47"/>
      <c r="T16" s="51"/>
      <c r="U16" s="47"/>
      <c r="V16" s="47"/>
      <c r="W16" s="36"/>
      <c r="X16" s="43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51"/>
      <c r="AQ16" s="38"/>
      <c r="AR16" s="38"/>
    </row>
    <row r="17" spans="1:44">
      <c r="A17" s="36"/>
      <c r="B17" s="43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51"/>
      <c r="U17" s="47"/>
      <c r="V17" s="47"/>
      <c r="W17" s="36"/>
      <c r="X17" s="43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51"/>
      <c r="AQ17" s="38"/>
      <c r="AR17" s="38"/>
    </row>
    <row r="18" spans="1:44">
      <c r="A18" s="36"/>
      <c r="B18" s="43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0"/>
      <c r="T18" s="51"/>
      <c r="U18" s="47"/>
      <c r="V18" s="47"/>
      <c r="W18" s="36"/>
      <c r="X18" s="43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51"/>
      <c r="AQ18" s="38"/>
      <c r="AR18" s="38"/>
    </row>
    <row r="19" spans="1:44" ht="15.75" thickBot="1">
      <c r="A19" s="36"/>
      <c r="B19" s="43"/>
      <c r="C19" s="47"/>
      <c r="D19" s="47"/>
      <c r="E19" s="44" t="s">
        <v>6</v>
      </c>
      <c r="F19" s="47"/>
      <c r="G19" s="47"/>
      <c r="H19" s="47"/>
      <c r="I19" s="47"/>
      <c r="J19" s="44" t="s">
        <v>5</v>
      </c>
      <c r="K19" s="44"/>
      <c r="L19" s="44" t="s">
        <v>6</v>
      </c>
      <c r="M19" s="47"/>
      <c r="N19" s="47"/>
      <c r="O19" s="47"/>
      <c r="P19" s="47"/>
      <c r="Q19" s="44" t="s">
        <v>5</v>
      </c>
      <c r="R19" s="47"/>
      <c r="S19" s="47"/>
      <c r="T19" s="51"/>
      <c r="U19" s="69"/>
      <c r="V19" s="47"/>
      <c r="W19" s="36"/>
      <c r="X19" s="43"/>
      <c r="Y19" s="47"/>
      <c r="Z19" s="47"/>
      <c r="AA19" s="44" t="s">
        <v>6</v>
      </c>
      <c r="AB19" s="47"/>
      <c r="AC19" s="47"/>
      <c r="AD19" s="47"/>
      <c r="AE19" s="47"/>
      <c r="AF19" s="44" t="s">
        <v>5</v>
      </c>
      <c r="AG19" s="44"/>
      <c r="AH19" s="44" t="s">
        <v>6</v>
      </c>
      <c r="AI19" s="47"/>
      <c r="AJ19" s="47"/>
      <c r="AK19" s="47"/>
      <c r="AL19" s="47"/>
      <c r="AM19" s="44" t="s">
        <v>5</v>
      </c>
      <c r="AN19" s="47"/>
      <c r="AO19" s="47"/>
      <c r="AP19" s="51"/>
      <c r="AQ19" s="38"/>
      <c r="AR19" s="38"/>
    </row>
    <row r="20" spans="1:44" ht="15.75" thickBot="1">
      <c r="A20" s="36"/>
      <c r="B20" s="43"/>
      <c r="C20" s="47"/>
      <c r="D20" s="47"/>
      <c r="E20" s="662"/>
      <c r="F20" s="694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698"/>
      <c r="H20" s="698"/>
      <c r="I20" s="699"/>
      <c r="J20" s="53">
        <v>1</v>
      </c>
      <c r="K20" s="44"/>
      <c r="L20" s="662" t="s">
        <v>16</v>
      </c>
      <c r="M20" s="748" t="b">
        <f>IF($E$2+$E$3=5,$J$14)</f>
        <v>0</v>
      </c>
      <c r="N20" s="749"/>
      <c r="O20" s="749"/>
      <c r="P20" s="750"/>
      <c r="Q20" s="53">
        <v>0</v>
      </c>
      <c r="R20" s="47"/>
      <c r="S20" s="47"/>
      <c r="T20" s="51"/>
      <c r="U20" s="47"/>
      <c r="V20" s="47"/>
      <c r="W20" s="36"/>
      <c r="X20" s="43"/>
      <c r="Y20" s="47"/>
      <c r="Z20" s="47"/>
      <c r="AA20" s="662"/>
      <c r="AB20" s="694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698"/>
      <c r="AD20" s="698"/>
      <c r="AE20" s="699"/>
      <c r="AF20" s="53">
        <v>0</v>
      </c>
      <c r="AG20" s="44"/>
      <c r="AH20" s="662" t="s">
        <v>16</v>
      </c>
      <c r="AI20" s="748" t="b">
        <f>IF($AA$2+$AA$3=5,$AF$14)</f>
        <v>0</v>
      </c>
      <c r="AJ20" s="749"/>
      <c r="AK20" s="749"/>
      <c r="AL20" s="750"/>
      <c r="AM20" s="53">
        <v>0</v>
      </c>
      <c r="AN20" s="47"/>
      <c r="AO20" s="47"/>
      <c r="AP20" s="51"/>
      <c r="AQ20" s="38"/>
      <c r="AR20" s="38"/>
    </row>
    <row r="21" spans="1:44" ht="15.75" thickBot="1">
      <c r="A21" s="36"/>
      <c r="B21" s="43"/>
      <c r="C21" s="47"/>
      <c r="D21" s="47"/>
      <c r="E21" s="663"/>
      <c r="F21" s="694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695"/>
      <c r="H21" s="695"/>
      <c r="I21" s="696"/>
      <c r="J21" s="53">
        <v>0</v>
      </c>
      <c r="K21" s="44"/>
      <c r="L21" s="663"/>
      <c r="M21" s="694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695"/>
      <c r="O21" s="695"/>
      <c r="P21" s="696"/>
      <c r="Q21" s="53">
        <v>0</v>
      </c>
      <c r="R21" s="47"/>
      <c r="S21" s="69"/>
      <c r="T21" s="51"/>
      <c r="U21" s="47"/>
      <c r="V21" s="40"/>
      <c r="W21" s="36"/>
      <c r="X21" s="43"/>
      <c r="Y21" s="47"/>
      <c r="Z21" s="47"/>
      <c r="AA21" s="663"/>
      <c r="AB21" s="694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695"/>
      <c r="AD21" s="695"/>
      <c r="AE21" s="696"/>
      <c r="AF21" s="53">
        <v>0</v>
      </c>
      <c r="AG21" s="44"/>
      <c r="AH21" s="663"/>
      <c r="AI21" s="694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695"/>
      <c r="AK21" s="695"/>
      <c r="AL21" s="696"/>
      <c r="AM21" s="53">
        <v>0</v>
      </c>
      <c r="AN21" s="47"/>
      <c r="AO21" s="47"/>
      <c r="AP21" s="51"/>
      <c r="AQ21" s="38"/>
      <c r="AR21" s="38"/>
    </row>
    <row r="22" spans="1:44">
      <c r="A22" s="36"/>
      <c r="B22" s="43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51"/>
      <c r="U22" s="47"/>
      <c r="V22" s="47"/>
      <c r="W22" s="36"/>
      <c r="X22" s="43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51"/>
      <c r="AQ22" s="38"/>
      <c r="AR22" s="38"/>
    </row>
    <row r="23" spans="1:44">
      <c r="A23" s="36"/>
      <c r="B23" s="43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51"/>
      <c r="U23" s="47"/>
      <c r="V23" s="47"/>
      <c r="W23" s="36"/>
      <c r="X23" s="43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51"/>
      <c r="AQ23" s="38"/>
      <c r="AR23" s="38"/>
    </row>
    <row r="24" spans="1:44" ht="15.75" thickBot="1">
      <c r="A24" s="36"/>
      <c r="B24" s="43"/>
      <c r="C24" s="47"/>
      <c r="D24" s="47"/>
      <c r="E24" s="47"/>
      <c r="F24" s="47"/>
      <c r="G24" s="47"/>
      <c r="H24" s="47"/>
      <c r="I24" s="44" t="s">
        <v>6</v>
      </c>
      <c r="J24" s="47"/>
      <c r="K24" s="47"/>
      <c r="L24" s="47"/>
      <c r="M24" s="47"/>
      <c r="N24" s="44" t="s">
        <v>5</v>
      </c>
      <c r="O24" s="44"/>
      <c r="P24" s="70"/>
      <c r="Q24" s="47"/>
      <c r="R24" s="47"/>
      <c r="S24" s="47"/>
      <c r="T24" s="51"/>
      <c r="U24" s="47"/>
      <c r="V24" s="47"/>
      <c r="W24" s="36"/>
      <c r="X24" s="43"/>
      <c r="Y24" s="47"/>
      <c r="Z24" s="47"/>
      <c r="AA24" s="47"/>
      <c r="AB24" s="47"/>
      <c r="AC24" s="47"/>
      <c r="AD24" s="47"/>
      <c r="AE24" s="44" t="s">
        <v>6</v>
      </c>
      <c r="AF24" s="47"/>
      <c r="AG24" s="47"/>
      <c r="AH24" s="47"/>
      <c r="AI24" s="47"/>
      <c r="AJ24" s="44" t="s">
        <v>5</v>
      </c>
      <c r="AK24" s="44"/>
      <c r="AL24" s="70"/>
      <c r="AM24" s="47"/>
      <c r="AN24" s="47"/>
      <c r="AO24" s="47"/>
      <c r="AP24" s="51"/>
      <c r="AQ24" s="38"/>
      <c r="AR24" s="38"/>
    </row>
    <row r="25" spans="1:44" ht="15.75" thickBot="1">
      <c r="A25" s="36"/>
      <c r="B25" s="43"/>
      <c r="C25" s="47"/>
      <c r="D25" s="47"/>
      <c r="E25" s="47"/>
      <c r="F25" s="47"/>
      <c r="G25" s="47"/>
      <c r="H25" s="47"/>
      <c r="I25" s="662"/>
      <c r="J25" s="715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716"/>
      <c r="L25" s="716"/>
      <c r="M25" s="717"/>
      <c r="N25" s="53">
        <v>1</v>
      </c>
      <c r="O25" s="44"/>
      <c r="P25" s="47"/>
      <c r="Q25" s="47"/>
      <c r="R25" s="47"/>
      <c r="S25" s="47"/>
      <c r="T25" s="51"/>
      <c r="U25" s="47"/>
      <c r="V25" s="47"/>
      <c r="W25" s="36"/>
      <c r="X25" s="43"/>
      <c r="Y25" s="47"/>
      <c r="Z25" s="47"/>
      <c r="AA25" s="47"/>
      <c r="AB25" s="47"/>
      <c r="AC25" s="47"/>
      <c r="AD25" s="47"/>
      <c r="AE25" s="662"/>
      <c r="AF25" s="715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716"/>
      <c r="AH25" s="716"/>
      <c r="AI25" s="717"/>
      <c r="AJ25" s="53">
        <v>1</v>
      </c>
      <c r="AK25" s="44"/>
      <c r="AL25" s="47"/>
      <c r="AM25" s="47"/>
      <c r="AN25" s="47"/>
      <c r="AO25" s="47"/>
      <c r="AP25" s="51"/>
      <c r="AQ25" s="38"/>
      <c r="AR25" s="38"/>
    </row>
    <row r="26" spans="1:44" ht="15.75" thickBot="1">
      <c r="A26" s="36"/>
      <c r="B26" s="43"/>
      <c r="C26" s="47"/>
      <c r="D26" s="47"/>
      <c r="E26" s="47"/>
      <c r="F26" s="47"/>
      <c r="G26" s="47"/>
      <c r="H26" s="47"/>
      <c r="I26" s="663"/>
      <c r="J26" s="712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713"/>
      <c r="L26" s="713"/>
      <c r="M26" s="714"/>
      <c r="N26" s="53">
        <v>0</v>
      </c>
      <c r="O26" s="44"/>
      <c r="P26" s="47"/>
      <c r="Q26" s="47"/>
      <c r="R26" s="47"/>
      <c r="S26" s="47"/>
      <c r="T26" s="51"/>
      <c r="U26" s="47"/>
      <c r="V26" s="47"/>
      <c r="W26" s="36"/>
      <c r="X26" s="43"/>
      <c r="Y26" s="47"/>
      <c r="Z26" s="47"/>
      <c r="AA26" s="47"/>
      <c r="AB26" s="47"/>
      <c r="AC26" s="47"/>
      <c r="AD26" s="47"/>
      <c r="AE26" s="663"/>
      <c r="AF26" s="712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713"/>
      <c r="AH26" s="713"/>
      <c r="AI26" s="714"/>
      <c r="AJ26" s="53">
        <v>0</v>
      </c>
      <c r="AK26" s="44"/>
      <c r="AL26" s="47"/>
      <c r="AM26" s="47"/>
      <c r="AN26" s="47"/>
      <c r="AO26" s="47"/>
      <c r="AP26" s="51"/>
      <c r="AQ26" s="38"/>
      <c r="AR26" s="38"/>
    </row>
    <row r="27" spans="1:44" ht="15.75" thickBot="1">
      <c r="A27" s="36"/>
      <c r="B27" s="43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1"/>
      <c r="U27" s="47"/>
      <c r="V27" s="47"/>
      <c r="W27" s="36"/>
      <c r="X27" s="43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51"/>
      <c r="AQ27" s="38"/>
      <c r="AR27" s="38"/>
    </row>
    <row r="28" spans="1:44" ht="15.75" thickBot="1">
      <c r="A28" s="36"/>
      <c r="B28" s="43"/>
      <c r="D28" s="47"/>
      <c r="E28" s="47"/>
      <c r="F28" s="47"/>
      <c r="G28" s="47"/>
      <c r="H28" s="47"/>
      <c r="I28" s="47"/>
      <c r="J28" s="744" t="s">
        <v>59</v>
      </c>
      <c r="K28" s="745"/>
      <c r="L28" s="745"/>
      <c r="M28" s="746"/>
      <c r="N28" s="47"/>
      <c r="O28" s="47"/>
      <c r="P28" s="69"/>
      <c r="Q28" s="47"/>
      <c r="R28" s="47"/>
      <c r="S28" s="47"/>
      <c r="T28" s="51"/>
      <c r="W28" s="36"/>
      <c r="X28" s="43"/>
      <c r="Z28" s="47"/>
      <c r="AA28" s="47"/>
      <c r="AB28" s="47"/>
      <c r="AC28" s="47"/>
      <c r="AD28" s="47"/>
      <c r="AE28" s="47"/>
      <c r="AF28" s="744" t="s">
        <v>59</v>
      </c>
      <c r="AG28" s="745"/>
      <c r="AH28" s="745"/>
      <c r="AI28" s="746"/>
      <c r="AJ28" s="47"/>
      <c r="AK28" s="47"/>
      <c r="AL28" s="69"/>
      <c r="AM28" s="47"/>
      <c r="AN28" s="47"/>
      <c r="AO28" s="47"/>
      <c r="AP28" s="51"/>
    </row>
    <row r="29" spans="1:44" ht="15.75" thickBot="1">
      <c r="A29" s="36"/>
      <c r="B29" s="43"/>
      <c r="D29" s="653" t="s">
        <v>0</v>
      </c>
      <c r="E29" s="654"/>
      <c r="F29" s="655"/>
      <c r="G29" s="47"/>
      <c r="H29" s="667" t="str">
        <f>IF(F3+G3=0,"OFFICE",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)</f>
        <v>OFFICE</v>
      </c>
      <c r="I29" s="772"/>
      <c r="J29" s="772"/>
      <c r="K29" s="772"/>
      <c r="L29" s="772"/>
      <c r="M29" s="772"/>
      <c r="N29" s="773"/>
      <c r="O29" s="47"/>
      <c r="P29" s="47"/>
      <c r="Q29" s="47"/>
      <c r="R29" s="47"/>
      <c r="S29" s="47"/>
      <c r="T29" s="51"/>
      <c r="W29" s="36"/>
      <c r="X29" s="43"/>
      <c r="Z29" s="653" t="s">
        <v>0</v>
      </c>
      <c r="AA29" s="654"/>
      <c r="AB29" s="655"/>
      <c r="AC29" s="47"/>
      <c r="AD29" s="667" t="str">
        <f>IF(AB3+AC3=0,"OFFICE",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)</f>
        <v>OFFICE</v>
      </c>
      <c r="AE29" s="772"/>
      <c r="AF29" s="772"/>
      <c r="AG29" s="772"/>
      <c r="AH29" s="772"/>
      <c r="AI29" s="772"/>
      <c r="AJ29" s="773"/>
      <c r="AK29" s="47"/>
      <c r="AL29" s="47"/>
      <c r="AM29" s="60" t="s">
        <v>75</v>
      </c>
      <c r="AN29" s="47"/>
      <c r="AO29" s="47"/>
      <c r="AP29" s="51"/>
    </row>
    <row r="30" spans="1:44">
      <c r="A30" s="36"/>
      <c r="B30" s="43"/>
      <c r="D30" s="650" t="s">
        <v>1</v>
      </c>
      <c r="E30" s="651"/>
      <c r="F30" s="652"/>
      <c r="G30" s="47"/>
      <c r="H30" s="670" t="str">
        <f>IF(F3+G3=0,"OFFICE",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)</f>
        <v>OFFICE</v>
      </c>
      <c r="I30" s="671"/>
      <c r="J30" s="671"/>
      <c r="K30" s="671"/>
      <c r="L30" s="671"/>
      <c r="M30" s="671"/>
      <c r="N30" s="672"/>
      <c r="O30" s="47"/>
      <c r="P30" s="71"/>
      <c r="Q30" s="71"/>
      <c r="R30" s="71"/>
      <c r="S30" s="71"/>
      <c r="T30" s="51"/>
      <c r="W30" s="36"/>
      <c r="X30" s="43"/>
      <c r="Z30" s="650" t="s">
        <v>1</v>
      </c>
      <c r="AA30" s="651"/>
      <c r="AB30" s="652"/>
      <c r="AC30" s="47"/>
      <c r="AD30" s="670" t="str">
        <f>IF(AB3+AC3=0,"OFFICE",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)</f>
        <v>OFFICE</v>
      </c>
      <c r="AE30" s="671"/>
      <c r="AF30" s="671"/>
      <c r="AG30" s="671"/>
      <c r="AH30" s="671"/>
      <c r="AI30" s="671"/>
      <c r="AJ30" s="672"/>
      <c r="AK30" s="47"/>
      <c r="AL30" s="71"/>
      <c r="AM30" s="71"/>
      <c r="AN30" s="71"/>
      <c r="AO30" s="47"/>
      <c r="AP30" s="51"/>
    </row>
    <row r="31" spans="1:44">
      <c r="A31" s="36"/>
      <c r="B31" s="43"/>
      <c r="D31" s="650" t="s">
        <v>2</v>
      </c>
      <c r="E31" s="651"/>
      <c r="F31" s="652"/>
      <c r="G31" s="47"/>
      <c r="H31" s="774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775"/>
      <c r="J31" s="775"/>
      <c r="K31" s="775"/>
      <c r="L31" s="775"/>
      <c r="M31" s="775"/>
      <c r="N31" s="776"/>
      <c r="O31" s="47"/>
      <c r="P31" s="47"/>
      <c r="Q31" s="47"/>
      <c r="R31" s="47"/>
      <c r="S31" s="47"/>
      <c r="T31" s="51"/>
      <c r="W31" s="36"/>
      <c r="X31" s="43"/>
      <c r="Z31" s="650" t="s">
        <v>2</v>
      </c>
      <c r="AA31" s="651"/>
      <c r="AB31" s="652"/>
      <c r="AC31" s="47"/>
      <c r="AD31" s="676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677"/>
      <c r="AF31" s="677"/>
      <c r="AG31" s="677"/>
      <c r="AH31" s="677"/>
      <c r="AI31" s="677"/>
      <c r="AJ31" s="678"/>
      <c r="AK31" s="47"/>
      <c r="AL31" s="47"/>
      <c r="AM31" s="47" t="e">
        <f ca="1">CELL(V,AD29)</f>
        <v>#NAME?</v>
      </c>
      <c r="AN31" s="47"/>
      <c r="AO31" s="47"/>
      <c r="AP31" s="51"/>
    </row>
    <row r="32" spans="1:44">
      <c r="A32" s="36"/>
      <c r="B32" s="43"/>
      <c r="D32" s="650" t="s">
        <v>3</v>
      </c>
      <c r="E32" s="651"/>
      <c r="F32" s="652"/>
      <c r="G32" s="47"/>
      <c r="H32" s="774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775"/>
      <c r="J32" s="775"/>
      <c r="K32" s="775"/>
      <c r="L32" s="775"/>
      <c r="M32" s="775"/>
      <c r="N32" s="776"/>
      <c r="O32" s="47"/>
      <c r="P32" s="47"/>
      <c r="Q32" s="47"/>
      <c r="R32" s="47"/>
      <c r="S32" s="47"/>
      <c r="T32" s="51"/>
      <c r="W32" s="36"/>
      <c r="X32" s="43"/>
      <c r="Z32" s="650" t="s">
        <v>3</v>
      </c>
      <c r="AA32" s="651"/>
      <c r="AB32" s="652"/>
      <c r="AC32" s="47"/>
      <c r="AD32" s="774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775"/>
      <c r="AF32" s="775"/>
      <c r="AG32" s="775"/>
      <c r="AH32" s="775"/>
      <c r="AI32" s="775"/>
      <c r="AJ32" s="776"/>
      <c r="AK32" s="47"/>
      <c r="AL32" s="47"/>
      <c r="AM32" s="47"/>
      <c r="AN32" s="47"/>
      <c r="AO32" s="47"/>
      <c r="AP32" s="51"/>
    </row>
    <row r="33" spans="1:44" ht="15.75" thickBot="1">
      <c r="A33" s="36"/>
      <c r="B33" s="43"/>
      <c r="D33" s="682" t="s">
        <v>4</v>
      </c>
      <c r="E33" s="683"/>
      <c r="F33" s="684"/>
      <c r="G33" s="47"/>
      <c r="H33" s="685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686"/>
      <c r="J33" s="686"/>
      <c r="K33" s="686"/>
      <c r="L33" s="686"/>
      <c r="M33" s="686"/>
      <c r="N33" s="687"/>
      <c r="O33" s="47"/>
      <c r="P33" s="47"/>
      <c r="Q33" s="47"/>
      <c r="R33" s="47"/>
      <c r="S33" s="47"/>
      <c r="T33" s="51"/>
      <c r="W33" s="36"/>
      <c r="X33" s="43"/>
      <c r="Z33" s="682" t="s">
        <v>4</v>
      </c>
      <c r="AA33" s="683"/>
      <c r="AB33" s="684"/>
      <c r="AC33" s="47"/>
      <c r="AD33" s="685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686"/>
      <c r="AF33" s="686"/>
      <c r="AG33" s="686"/>
      <c r="AH33" s="686"/>
      <c r="AI33" s="686"/>
      <c r="AJ33" s="687"/>
      <c r="AK33" s="47"/>
      <c r="AL33" s="47"/>
      <c r="AM33" s="47"/>
      <c r="AN33" s="47"/>
      <c r="AO33" s="47"/>
      <c r="AP33" s="51"/>
    </row>
    <row r="34" spans="1:44">
      <c r="A34" s="36"/>
      <c r="B34" s="43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47"/>
      <c r="O34" s="47"/>
      <c r="P34" s="47"/>
      <c r="Q34" s="47"/>
      <c r="R34" s="47"/>
      <c r="S34" s="47"/>
      <c r="T34" s="51"/>
      <c r="U34" s="47"/>
      <c r="V34" s="47"/>
      <c r="W34" s="36"/>
      <c r="X34" s="43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7"/>
      <c r="AK34" s="47"/>
      <c r="AL34" s="47"/>
      <c r="AM34" s="47"/>
      <c r="AN34" s="47"/>
      <c r="AO34" s="47"/>
      <c r="AP34" s="51"/>
      <c r="AQ34" s="38"/>
      <c r="AR34" s="38"/>
    </row>
    <row r="35" spans="1:44" ht="15.75" thickBot="1">
      <c r="A35" s="36"/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74"/>
      <c r="P35" s="74"/>
      <c r="Q35" s="74"/>
      <c r="R35" s="74"/>
      <c r="S35" s="74"/>
      <c r="T35" s="75"/>
      <c r="U35" s="36"/>
      <c r="V35" s="36"/>
      <c r="W35" s="36"/>
      <c r="X35" s="72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5"/>
      <c r="AQ35" s="38"/>
      <c r="AR35" s="38"/>
    </row>
    <row r="40" spans="1:4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</sheetData>
  <sheetProtection formatColumns="0" formatRows="0" selectLockedCells="1"/>
  <mergeCells count="88">
    <mergeCell ref="H30:N30"/>
    <mergeCell ref="Z30:AB30"/>
    <mergeCell ref="AD30:AJ30"/>
    <mergeCell ref="D31:F31"/>
    <mergeCell ref="H31:N31"/>
    <mergeCell ref="Z31:AB31"/>
    <mergeCell ref="AD31:AJ31"/>
    <mergeCell ref="D30:F30"/>
    <mergeCell ref="I25:I26"/>
    <mergeCell ref="J25:M25"/>
    <mergeCell ref="AE25:AE26"/>
    <mergeCell ref="AF25:AI25"/>
    <mergeCell ref="J26:M26"/>
    <mergeCell ref="AF26:AI26"/>
    <mergeCell ref="AA20:AA21"/>
    <mergeCell ref="AB20:AE20"/>
    <mergeCell ref="AH20:AH21"/>
    <mergeCell ref="AI20:AL20"/>
    <mergeCell ref="F21:I21"/>
    <mergeCell ref="M21:P21"/>
    <mergeCell ref="AB21:AE21"/>
    <mergeCell ref="AI21:AL21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Y9:AB9"/>
    <mergeCell ref="AF9:AI9"/>
    <mergeCell ref="B8:B9"/>
    <mergeCell ref="C8:F8"/>
    <mergeCell ref="I8:I9"/>
    <mergeCell ref="J8:M8"/>
    <mergeCell ref="Q8:S8"/>
    <mergeCell ref="C9:F9"/>
    <mergeCell ref="J9:M9"/>
    <mergeCell ref="B14:B15"/>
    <mergeCell ref="C14:F14"/>
    <mergeCell ref="J14:M14"/>
    <mergeCell ref="P14:P15"/>
    <mergeCell ref="E20:E21"/>
    <mergeCell ref="F20:I20"/>
    <mergeCell ref="L20:L21"/>
    <mergeCell ref="M20:P20"/>
    <mergeCell ref="D32:F32"/>
    <mergeCell ref="H32:N32"/>
    <mergeCell ref="Z32:AB32"/>
    <mergeCell ref="AD32:AJ32"/>
    <mergeCell ref="D33:F33"/>
    <mergeCell ref="H33:N33"/>
    <mergeCell ref="Z33:AB33"/>
    <mergeCell ref="AD33:AJ33"/>
    <mergeCell ref="J28:M28"/>
    <mergeCell ref="AF28:AI28"/>
    <mergeCell ref="D29:F29"/>
    <mergeCell ref="H29:N29"/>
    <mergeCell ref="Z29:AB29"/>
    <mergeCell ref="AD29:AJ29"/>
    <mergeCell ref="X2:Z2"/>
    <mergeCell ref="T4:T5"/>
    <mergeCell ref="Y4:AO4"/>
    <mergeCell ref="X1:Z1"/>
    <mergeCell ref="AA1:AC1"/>
    <mergeCell ref="AE1:AH1"/>
    <mergeCell ref="AJ1:AO1"/>
    <mergeCell ref="AB2:AC2"/>
    <mergeCell ref="AE2:AG2"/>
    <mergeCell ref="AH2:AP2"/>
    <mergeCell ref="AP4:AP5"/>
    <mergeCell ref="I1:L1"/>
    <mergeCell ref="N1:S1"/>
    <mergeCell ref="B1:D1"/>
    <mergeCell ref="E1:G1"/>
    <mergeCell ref="B2:D2"/>
    <mergeCell ref="F2:G2"/>
    <mergeCell ref="I2:K2"/>
    <mergeCell ref="L2:T2"/>
  </mergeCells>
  <conditionalFormatting sqref="H32">
    <cfRule type="expression" dxfId="218" priority="247">
      <formula>$H$2=5</formula>
    </cfRule>
    <cfRule type="expression" dxfId="217" priority="248">
      <formula>$H$2=4</formula>
    </cfRule>
    <cfRule type="expression" dxfId="216" priority="249">
      <formula>$H$2=0</formula>
    </cfRule>
  </conditionalFormatting>
  <conditionalFormatting sqref="H29:N29">
    <cfRule type="expression" dxfId="215" priority="244">
      <formula>$H$2=0</formula>
    </cfRule>
    <cfRule type="expression" dxfId="214" priority="245" stopIfTrue="1">
      <formula>(OR(H2="1",H2="2",H2="3"))</formula>
    </cfRule>
  </conditionalFormatting>
  <conditionalFormatting sqref="H30:N30">
    <cfRule type="expression" dxfId="213" priority="243">
      <formula>(OR(H2="2",H2="3"))</formula>
    </cfRule>
  </conditionalFormatting>
  <conditionalFormatting sqref="H31:N31">
    <cfRule type="expression" dxfId="212" priority="242">
      <formula>(H2="3")</formula>
    </cfRule>
  </conditionalFormatting>
  <conditionalFormatting sqref="H32:N32">
    <cfRule type="cellIs" dxfId="211" priority="241" operator="equal">
      <formula>0</formula>
    </cfRule>
  </conditionalFormatting>
  <conditionalFormatting sqref="H33:N33">
    <cfRule type="cellIs" dxfId="210" priority="240" operator="equal">
      <formula>0</formula>
    </cfRule>
  </conditionalFormatting>
  <conditionalFormatting sqref="AD32">
    <cfRule type="expression" dxfId="209" priority="233">
      <formula>$AA$2=0</formula>
    </cfRule>
  </conditionalFormatting>
  <conditionalFormatting sqref="AD32:AJ32">
    <cfRule type="cellIs" dxfId="208" priority="226" operator="equal">
      <formula>0</formula>
    </cfRule>
  </conditionalFormatting>
  <conditionalFormatting sqref="AD33:AJ33">
    <cfRule type="cellIs" dxfId="207" priority="225" operator="equal">
      <formula>0</formula>
    </cfRule>
  </conditionalFormatting>
  <conditionalFormatting sqref="AD33">
    <cfRule type="expression" dxfId="206" priority="271">
      <formula>$AA$2=0</formula>
    </cfRule>
  </conditionalFormatting>
  <conditionalFormatting sqref="AD30">
    <cfRule type="expression" dxfId="205" priority="257">
      <formula>$AA$2=0</formula>
    </cfRule>
    <cfRule type="expression" dxfId="204" priority="258">
      <formula>$AF$2=5</formula>
    </cfRule>
    <cfRule type="expression" dxfId="203" priority="259">
      <formula>$AF$2=4</formula>
    </cfRule>
    <cfRule type="expression" dxfId="202" priority="260">
      <formula>$AF$2=3</formula>
    </cfRule>
    <cfRule type="expression" dxfId="201" priority="261">
      <formula>$AF$2=2</formula>
    </cfRule>
  </conditionalFormatting>
  <conditionalFormatting sqref="AD31:AJ31">
    <cfRule type="expression" dxfId="200" priority="253">
      <formula>$AA$2=0</formula>
    </cfRule>
  </conditionalFormatting>
  <conditionalFormatting sqref="AD29:AJ29">
    <cfRule type="expression" dxfId="199" priority="229">
      <formula>$AA$2=0</formula>
    </cfRule>
    <cfRule type="expression" dxfId="198" priority="230">
      <formula>(OR(AD2="1",AD2="2",AD2="3"))</formula>
    </cfRule>
  </conditionalFormatting>
  <conditionalFormatting sqref="AD30:AJ30">
    <cfRule type="expression" dxfId="197" priority="228">
      <formula>(OR(AD2="2",AD2="3"))</formula>
    </cfRule>
  </conditionalFormatting>
  <conditionalFormatting sqref="AD31:AJ31">
    <cfRule type="expression" dxfId="196" priority="227">
      <formula>(AD2="3")</formula>
    </cfRule>
  </conditionalFormatting>
  <conditionalFormatting sqref="H33 AD33">
    <cfRule type="expression" dxfId="195" priority="210">
      <formula>$AD$2=5</formula>
    </cfRule>
  </conditionalFormatting>
  <conditionalFormatting sqref="AD33">
    <cfRule type="expression" dxfId="194" priority="209">
      <formula>$AD$2=0</formula>
    </cfRule>
  </conditionalFormatting>
  <conditionalFormatting sqref="AD29">
    <cfRule type="expression" dxfId="193" priority="201">
      <formula>$AD$2=2</formula>
    </cfRule>
    <cfRule type="expression" dxfId="192" priority="202">
      <formula>$AD$2=5</formula>
    </cfRule>
    <cfRule type="expression" dxfId="191" priority="203">
      <formula>$AD$2=4</formula>
    </cfRule>
    <cfRule type="expression" dxfId="190" priority="204">
      <formula>$AD$2=3</formula>
    </cfRule>
    <cfRule type="expression" dxfId="189" priority="205">
      <formula>$H$2=0</formula>
    </cfRule>
  </conditionalFormatting>
  <conditionalFormatting sqref="AD30">
    <cfRule type="expression" dxfId="188" priority="196">
      <formula>$AD$2=0</formula>
    </cfRule>
    <cfRule type="expression" dxfId="187" priority="197">
      <formula>$AD$2=5</formula>
    </cfRule>
    <cfRule type="expression" dxfId="186" priority="198">
      <formula>$AD$2=4</formula>
    </cfRule>
    <cfRule type="expression" dxfId="185" priority="199">
      <formula>$AD$2=3</formula>
    </cfRule>
    <cfRule type="expression" dxfId="184" priority="200">
      <formula>$AD$2=2</formula>
    </cfRule>
  </conditionalFormatting>
  <conditionalFormatting sqref="AD31">
    <cfRule type="expression" dxfId="183" priority="192">
      <formula>$AD$2=0</formula>
    </cfRule>
    <cfRule type="expression" dxfId="182" priority="193">
      <formula>$AD$2=5</formula>
    </cfRule>
    <cfRule type="expression" dxfId="181" priority="194">
      <formula>$AD$2=4</formula>
    </cfRule>
    <cfRule type="expression" dxfId="180" priority="195">
      <formula>$AD$2=3</formula>
    </cfRule>
  </conditionalFormatting>
  <conditionalFormatting sqref="AD32:AJ32">
    <cfRule type="cellIs" dxfId="179" priority="188" operator="equal">
      <formula>0</formula>
    </cfRule>
    <cfRule type="expression" dxfId="178" priority="189">
      <formula>$AD$2=5</formula>
    </cfRule>
    <cfRule type="expression" dxfId="177" priority="190">
      <formula>$AD$2=0</formula>
    </cfRule>
    <cfRule type="expression" dxfId="176" priority="191">
      <formula>$AD$2=4</formula>
    </cfRule>
  </conditionalFormatting>
  <conditionalFormatting sqref="H32 AD32">
    <cfRule type="expression" dxfId="175" priority="187">
      <formula>$H$2=0</formula>
    </cfRule>
  </conditionalFormatting>
  <conditionalFormatting sqref="AD29:AJ29">
    <cfRule type="expression" dxfId="174" priority="186">
      <formula>$AD$2=1</formula>
    </cfRule>
  </conditionalFormatting>
  <conditionalFormatting sqref="H29:N29">
    <cfRule type="expression" dxfId="173" priority="184">
      <formula>$H$2=0</formula>
    </cfRule>
    <cfRule type="expression" dxfId="172" priority="185" stopIfTrue="1">
      <formula>(OR(H2="1",H2="2",H2="3"))</formula>
    </cfRule>
  </conditionalFormatting>
  <conditionalFormatting sqref="H30:N30">
    <cfRule type="expression" dxfId="171" priority="183">
      <formula>(OR(H2="2",H2="3"))</formula>
    </cfRule>
  </conditionalFormatting>
  <conditionalFormatting sqref="H31:N31">
    <cfRule type="cellIs" dxfId="170" priority="181" operator="equal">
      <formula>0</formula>
    </cfRule>
    <cfRule type="expression" dxfId="169" priority="182">
      <formula>(H2="3")</formula>
    </cfRule>
  </conditionalFormatting>
  <conditionalFormatting sqref="AD29:AJ29">
    <cfRule type="expression" dxfId="168" priority="179">
      <formula>$H$2=0</formula>
    </cfRule>
    <cfRule type="expression" dxfId="167" priority="180" stopIfTrue="1">
      <formula>(OR(AD2="1",AD2="2",AD2="3"))</formula>
    </cfRule>
  </conditionalFormatting>
  <conditionalFormatting sqref="AD30:AJ30">
    <cfRule type="expression" dxfId="166" priority="178">
      <formula>(OR(AD2="2",AD2="3"))</formula>
    </cfRule>
  </conditionalFormatting>
  <conditionalFormatting sqref="AD31">
    <cfRule type="expression" dxfId="165" priority="177">
      <formula>(AD2="3")</formula>
    </cfRule>
  </conditionalFormatting>
  <conditionalFormatting sqref="H33:N33">
    <cfRule type="cellIs" dxfId="164" priority="156" operator="equal">
      <formula>0</formula>
    </cfRule>
  </conditionalFormatting>
  <conditionalFormatting sqref="H32:N32">
    <cfRule type="cellIs" dxfId="163" priority="155" operator="equal">
      <formula>0</formula>
    </cfRule>
  </conditionalFormatting>
  <conditionalFormatting sqref="AD33:AJ33">
    <cfRule type="cellIs" dxfId="162" priority="153" operator="equal">
      <formula>0</formula>
    </cfRule>
  </conditionalFormatting>
  <conditionalFormatting sqref="AD31:AJ31">
    <cfRule type="cellIs" dxfId="161" priority="152" operator="equal">
      <formula>0</formula>
    </cfRule>
  </conditionalFormatting>
  <conditionalFormatting sqref="Q14:S15">
    <cfRule type="cellIs" dxfId="160" priority="108" operator="equal">
      <formula>0</formula>
    </cfRule>
  </conditionalFormatting>
  <conditionalFormatting sqref="C8:F9">
    <cfRule type="expression" dxfId="159" priority="97">
      <formula>(OR($E$2=3,$E$2=4,$E$2=5))</formula>
    </cfRule>
  </conditionalFormatting>
  <conditionalFormatting sqref="AF8:AI9">
    <cfRule type="expression" dxfId="158" priority="2">
      <formula>(OR($E$2=3,$E$2=4,$E$2=5))</formula>
    </cfRule>
  </conditionalFormatting>
  <conditionalFormatting sqref="Y8:AB9">
    <cfRule type="cellIs" dxfId="157" priority="1" operator="equal">
      <formula>0</formula>
    </cfRule>
  </conditionalFormatting>
  <pageMargins left="0.7" right="0.7" top="0.75" bottom="0.75" header="0.3" footer="0.3"/>
  <pageSetup paperSize="9" scale="41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9">
    <tabColor rgb="FF66FF33"/>
    <pageSetUpPr fitToPage="1"/>
  </sheetPr>
  <dimension ref="A1:AR35"/>
  <sheetViews>
    <sheetView zoomScale="70" zoomScaleNormal="70" workbookViewId="0">
      <selection activeCell="AF10" sqref="AF10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13.5703125" customWidth="1"/>
    <col min="7" max="7" width="6" customWidth="1"/>
    <col min="8" max="8" width="5.1406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5" width="4.42578125" customWidth="1"/>
    <col min="16" max="16" width="6.42578125" customWidth="1"/>
    <col min="17" max="17" width="7.7109375" customWidth="1"/>
    <col min="18" max="18" width="7.42578125" customWidth="1"/>
    <col min="19" max="19" width="9.7109375" customWidth="1"/>
    <col min="20" max="20" width="6" customWidth="1"/>
    <col min="21" max="21" width="5.42578125" customWidth="1"/>
    <col min="22" max="22" width="5.140625" customWidth="1"/>
    <col min="23" max="23" width="6.42578125" customWidth="1"/>
    <col min="24" max="24" width="7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3" max="43" width="7.140625" customWidth="1"/>
    <col min="44" max="44" width="6.28515625" customWidth="1"/>
  </cols>
  <sheetData>
    <row r="1" spans="1:44" ht="21.75" thickBot="1">
      <c r="A1" s="1"/>
      <c r="B1" s="747" t="s">
        <v>54</v>
      </c>
      <c r="C1" s="736"/>
      <c r="D1" s="736"/>
      <c r="E1" s="736" t="str">
        <f>Rens.!J2</f>
        <v>ST PERAY</v>
      </c>
      <c r="F1" s="736"/>
      <c r="G1" s="736"/>
      <c r="H1" s="18">
        <f ca="1">Rens.!$D$4</f>
        <v>2020</v>
      </c>
      <c r="I1" s="736" t="str">
        <f>Rens.!$J$4</f>
        <v xml:space="preserve"> Quadrettes</v>
      </c>
      <c r="J1" s="736"/>
      <c r="K1" s="736"/>
      <c r="L1" s="736"/>
      <c r="M1" s="19" t="str">
        <f>Rens.!$E$6</f>
        <v>4 Div.</v>
      </c>
      <c r="N1" s="747" t="s">
        <v>25</v>
      </c>
      <c r="O1" s="736"/>
      <c r="P1" s="736"/>
      <c r="Q1" s="736"/>
      <c r="R1" s="736"/>
      <c r="S1" s="754"/>
      <c r="T1" s="4">
        <f>Rens.!$A$9</f>
        <v>0</v>
      </c>
      <c r="W1" s="1"/>
      <c r="X1" s="747" t="s">
        <v>54</v>
      </c>
      <c r="Y1" s="736"/>
      <c r="Z1" s="736"/>
      <c r="AA1" s="736" t="str">
        <f>Rens.!J2</f>
        <v>ST PERAY</v>
      </c>
      <c r="AB1" s="736"/>
      <c r="AC1" s="736"/>
      <c r="AD1" s="9">
        <f ca="1">Rens.!$D$4</f>
        <v>2020</v>
      </c>
      <c r="AE1" s="736" t="str">
        <f>Rens.!$J$4</f>
        <v xml:space="preserve"> Quadrettes</v>
      </c>
      <c r="AF1" s="736"/>
      <c r="AG1" s="736"/>
      <c r="AH1" s="736"/>
      <c r="AI1" s="10" t="str">
        <f>Rens.!$E$6</f>
        <v>4 Div.</v>
      </c>
      <c r="AJ1" s="747" t="s">
        <v>25</v>
      </c>
      <c r="AK1" s="736"/>
      <c r="AL1" s="736"/>
      <c r="AM1" s="736"/>
      <c r="AN1" s="736"/>
      <c r="AO1" s="754"/>
      <c r="AP1" s="5">
        <f>Rens.!$A$9</f>
        <v>0</v>
      </c>
      <c r="AQ1" s="8"/>
    </row>
    <row r="2" spans="1:44" ht="18.75" customHeight="1" thickBot="1">
      <c r="A2" s="1"/>
      <c r="B2" s="747" t="s">
        <v>36</v>
      </c>
      <c r="C2" s="736"/>
      <c r="D2" s="736"/>
      <c r="E2" s="16" t="e">
        <f>Rens.!#REF!</f>
        <v>#REF!</v>
      </c>
      <c r="F2" s="736" t="s">
        <v>19</v>
      </c>
      <c r="G2" s="736"/>
      <c r="H2" s="7" t="e">
        <f>Rens.!#REF!</f>
        <v>#REF!</v>
      </c>
      <c r="I2" s="736" t="s">
        <v>20</v>
      </c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54"/>
      <c r="W2" s="1"/>
      <c r="X2" s="747" t="s">
        <v>37</v>
      </c>
      <c r="Y2" s="736"/>
      <c r="Z2" s="736"/>
      <c r="AA2" s="6">
        <f>Rens.!$Q$18</f>
        <v>0</v>
      </c>
      <c r="AB2" s="736" t="s">
        <v>19</v>
      </c>
      <c r="AC2" s="736"/>
      <c r="AD2" s="12">
        <f>Rens.!$Q$19</f>
        <v>0</v>
      </c>
      <c r="AE2" s="736" t="s">
        <v>20</v>
      </c>
      <c r="AF2" s="736"/>
      <c r="AG2" s="736"/>
      <c r="AH2" s="736"/>
      <c r="AI2" s="736"/>
      <c r="AJ2" s="736"/>
      <c r="AK2" s="736"/>
      <c r="AL2" s="736"/>
      <c r="AM2" s="736"/>
      <c r="AN2" s="736"/>
      <c r="AO2" s="736"/>
      <c r="AP2" s="754"/>
      <c r="AQ2" s="8"/>
    </row>
    <row r="3" spans="1:44" ht="15" customHeight="1" thickBot="1">
      <c r="A3" s="36"/>
      <c r="B3" s="43"/>
      <c r="C3" s="44"/>
      <c r="D3" s="44"/>
      <c r="E3" s="44"/>
      <c r="F3" s="76" t="e">
        <f>CONCATENATE(E2,H2)</f>
        <v>#REF!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  <c r="U3" s="44"/>
      <c r="V3" s="44"/>
      <c r="W3" s="36"/>
      <c r="X3" s="43"/>
      <c r="Y3" s="44"/>
      <c r="Z3" s="44"/>
      <c r="AA3" s="37"/>
      <c r="AB3" s="77" t="str">
        <f>CONCATENATE(AA2,AD2)</f>
        <v>00</v>
      </c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/>
      <c r="AQ3" s="38"/>
      <c r="AR3" s="38"/>
    </row>
    <row r="4" spans="1:44" ht="15.75" thickBot="1">
      <c r="A4" s="36"/>
      <c r="B4" s="43"/>
      <c r="C4" s="751" t="s">
        <v>67</v>
      </c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752"/>
      <c r="Q4" s="752"/>
      <c r="R4" s="752"/>
      <c r="S4" s="753"/>
      <c r="T4" s="755"/>
      <c r="U4" s="46"/>
      <c r="V4" s="46"/>
      <c r="W4" s="36"/>
      <c r="X4" s="43"/>
      <c r="Y4" s="751" t="s">
        <v>67</v>
      </c>
      <c r="Z4" s="752"/>
      <c r="AA4" s="752"/>
      <c r="AB4" s="752"/>
      <c r="AC4" s="752"/>
      <c r="AD4" s="752"/>
      <c r="AE4" s="752"/>
      <c r="AF4" s="752"/>
      <c r="AG4" s="752"/>
      <c r="AH4" s="752"/>
      <c r="AI4" s="752"/>
      <c r="AJ4" s="752"/>
      <c r="AK4" s="752"/>
      <c r="AL4" s="752"/>
      <c r="AM4" s="752"/>
      <c r="AN4" s="752"/>
      <c r="AO4" s="753"/>
      <c r="AP4" s="755"/>
      <c r="AQ4" s="38"/>
      <c r="AR4" s="38"/>
    </row>
    <row r="5" spans="1:44">
      <c r="A5" s="36"/>
      <c r="B5" s="43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755"/>
      <c r="U5" s="46"/>
      <c r="V5" s="46"/>
      <c r="W5" s="36"/>
      <c r="X5" s="43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755"/>
      <c r="AQ5" s="38"/>
      <c r="AR5" s="38"/>
    </row>
    <row r="6" spans="1:44" ht="15.75" thickBot="1">
      <c r="A6" s="36"/>
      <c r="B6" s="43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  <c r="S6" s="44"/>
      <c r="T6" s="45"/>
      <c r="U6" s="44"/>
      <c r="V6" s="44"/>
      <c r="W6" s="36"/>
      <c r="X6" s="43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8"/>
      <c r="AO6" s="44"/>
      <c r="AP6" s="45"/>
      <c r="AQ6" s="38"/>
      <c r="AR6" s="38"/>
    </row>
    <row r="7" spans="1:44" ht="15.75" thickBot="1">
      <c r="A7" s="36"/>
      <c r="B7" s="49" t="s">
        <v>6</v>
      </c>
      <c r="C7" s="50" t="s">
        <v>14</v>
      </c>
      <c r="D7" s="37"/>
      <c r="E7" s="47"/>
      <c r="F7" s="47"/>
      <c r="G7" s="44" t="s">
        <v>5</v>
      </c>
      <c r="H7" s="44"/>
      <c r="I7" s="44" t="s">
        <v>6</v>
      </c>
      <c r="J7" s="50" t="e">
        <f>IF(E2=2,"","C")</f>
        <v>#REF!</v>
      </c>
      <c r="K7" s="37"/>
      <c r="L7" s="47"/>
      <c r="M7" s="47"/>
      <c r="N7" s="44" t="s">
        <v>5</v>
      </c>
      <c r="O7" s="44"/>
      <c r="P7" s="44"/>
      <c r="Q7" s="50" t="s">
        <v>45</v>
      </c>
      <c r="R7" s="47"/>
      <c r="S7" s="47" t="s">
        <v>62</v>
      </c>
      <c r="T7" s="51"/>
      <c r="U7" s="47"/>
      <c r="V7" s="47"/>
      <c r="W7" s="36"/>
      <c r="X7" s="49" t="s">
        <v>6</v>
      </c>
      <c r="Y7" s="50" t="s">
        <v>14</v>
      </c>
      <c r="Z7" s="37"/>
      <c r="AA7" s="47"/>
      <c r="AB7" s="47"/>
      <c r="AC7" s="44" t="s">
        <v>5</v>
      </c>
      <c r="AD7" s="44"/>
      <c r="AE7" s="44" t="s">
        <v>6</v>
      </c>
      <c r="AF7" s="50" t="str">
        <f>IF(AA2=2,"","C")</f>
        <v>C</v>
      </c>
      <c r="AG7" s="37"/>
      <c r="AH7" s="47"/>
      <c r="AI7" s="47"/>
      <c r="AJ7" s="44" t="s">
        <v>5</v>
      </c>
      <c r="AK7" s="44"/>
      <c r="AL7" s="44"/>
      <c r="AM7" s="50" t="s">
        <v>45</v>
      </c>
      <c r="AN7" s="47"/>
      <c r="AO7" s="47" t="s">
        <v>62</v>
      </c>
      <c r="AP7" s="51"/>
      <c r="AQ7" s="38"/>
      <c r="AR7" s="38"/>
    </row>
    <row r="8" spans="1:44" ht="15.75" thickBot="1">
      <c r="A8" s="52">
        <v>61</v>
      </c>
      <c r="B8" s="662"/>
      <c r="C8" s="664" t="str">
        <f>IF(ISNA(MATCH($A$8,Rens.!$Z$6:$Z$82,0)),"",INDEX(Rens.!$X$6:$X$82,MATCH($A$8,Rens.!$Z$6:$Z$82,0)))</f>
        <v/>
      </c>
      <c r="D8" s="692"/>
      <c r="E8" s="692"/>
      <c r="F8" s="693"/>
      <c r="G8" s="53">
        <v>1</v>
      </c>
      <c r="H8" s="54">
        <v>63</v>
      </c>
      <c r="I8" s="662"/>
      <c r="J8" s="756" t="str">
        <f>IF(ISNA(MATCH($H$8,Rens.!$Z$6:$Z$82,0)),"",INDEX(Rens.!$X$6:$X$82,MATCH($H$8,Rens.!$Z$6:$Z$82,0)))</f>
        <v/>
      </c>
      <c r="K8" s="757"/>
      <c r="L8" s="757"/>
      <c r="M8" s="758"/>
      <c r="N8" s="53">
        <v>1</v>
      </c>
      <c r="O8" s="44"/>
      <c r="P8" s="47">
        <v>65</v>
      </c>
      <c r="Q8" s="759" t="e">
        <f>IF(E2+E3=4,0,IF(E2+E3=3,0,IF(ISNA(MATCH($P$8,Rens.!$Z$6:$Z$82,0)),"",INDEX(Rens.!$X$6:$X$82,MATCH($P$8,Rens.!$Z$6:$Z$82,0)))))</f>
        <v>#REF!</v>
      </c>
      <c r="R8" s="760"/>
      <c r="S8" s="761"/>
      <c r="T8" s="55"/>
      <c r="U8" s="47"/>
      <c r="V8" s="47"/>
      <c r="W8" s="36">
        <v>66</v>
      </c>
      <c r="X8" s="662"/>
      <c r="Y8" s="664" t="str">
        <f>IF(ISNA(MATCH($W$8,Rens.!$Z$6:$Z$82,0)),"",INDEX(Rens.!$X$6:$X$82,MATCH($W$8,Rens.!$Z$6:$Z$82,0)))</f>
        <v/>
      </c>
      <c r="Z8" s="692"/>
      <c r="AA8" s="692"/>
      <c r="AB8" s="693"/>
      <c r="AC8" s="53">
        <v>1</v>
      </c>
      <c r="AD8" s="54">
        <v>68</v>
      </c>
      <c r="AE8" s="662"/>
      <c r="AF8" s="664" t="str">
        <f>IF(ISNA(MATCH($AD$8,Rens.!$Z$6:$Z$82,0)),"",INDEX(Rens.!$X$6:$X$82,MATCH($AD$8,Rens.!$Z$6:$Z$82,0)))</f>
        <v/>
      </c>
      <c r="AG8" s="692"/>
      <c r="AH8" s="692"/>
      <c r="AI8" s="693"/>
      <c r="AJ8" s="53">
        <v>1</v>
      </c>
      <c r="AK8" s="44"/>
      <c r="AL8" s="47">
        <v>70</v>
      </c>
      <c r="AM8" s="759" t="str">
        <f>IF($AA$2+$AA$3=4,0,IF($AA$2+$AA$3=3,0,IF(ISNA(MATCH($AL$8,Rens.!$Z$6:$Z$82,0)),"",INDEX(Rens.!$X$6:$X$82,MATCH($AL$8,Rens.!$Z$6:$Z$82,0)))))</f>
        <v/>
      </c>
      <c r="AN8" s="760"/>
      <c r="AO8" s="761"/>
      <c r="AP8" s="55"/>
      <c r="AQ8" s="38"/>
      <c r="AR8" s="38"/>
    </row>
    <row r="9" spans="1:44" ht="15.75" thickBot="1">
      <c r="A9" s="52">
        <v>62</v>
      </c>
      <c r="B9" s="663"/>
      <c r="C9" s="694" t="str">
        <f>IF(ISNA(MATCH($A$9,Rens.!$Z$6:$Z$82,0)),"",INDEX(Rens.!$X$6:$X$82,MATCH($A$9,Rens.!$Z$6:$Z$82,0)))</f>
        <v/>
      </c>
      <c r="D9" s="695"/>
      <c r="E9" s="695"/>
      <c r="F9" s="696"/>
      <c r="G9" s="81">
        <v>0</v>
      </c>
      <c r="H9" s="54">
        <v>64</v>
      </c>
      <c r="I9" s="663"/>
      <c r="J9" s="697" t="s">
        <v>73</v>
      </c>
      <c r="K9" s="695"/>
      <c r="L9" s="695"/>
      <c r="M9" s="696"/>
      <c r="N9" s="53">
        <v>0</v>
      </c>
      <c r="O9" s="44"/>
      <c r="P9" s="47"/>
      <c r="Q9" s="56" t="e">
        <f>IF(ISNA(MATCH($P$8,#REF!,0)),"",INDEX(#REF!,MATCH($P$8,#REF!,0)))</f>
        <v>#REF!</v>
      </c>
      <c r="R9" s="47"/>
      <c r="S9" s="47"/>
      <c r="T9" s="51"/>
      <c r="U9" s="47"/>
      <c r="V9" s="47"/>
      <c r="W9" s="36">
        <v>67</v>
      </c>
      <c r="X9" s="663"/>
      <c r="Y9" s="694" t="str">
        <f>IF(ISNA(MATCH($W$9,Rens.!$Z$6:$Z$82,0)),"",INDEX(Rens.!$X$6:$X$82,MATCH($W$9,Rens.!$Z$6:$Z$82,0)))</f>
        <v/>
      </c>
      <c r="Z9" s="695"/>
      <c r="AA9" s="695"/>
      <c r="AB9" s="696"/>
      <c r="AC9" s="81">
        <v>0</v>
      </c>
      <c r="AD9" s="54">
        <v>69</v>
      </c>
      <c r="AE9" s="663"/>
      <c r="AF9" s="697"/>
      <c r="AG9" s="695"/>
      <c r="AH9" s="695"/>
      <c r="AI9" s="696"/>
      <c r="AJ9" s="53">
        <v>0</v>
      </c>
      <c r="AK9" s="44"/>
      <c r="AL9" s="47"/>
      <c r="AM9" s="56" t="e">
        <f>IF(ISNA(MATCH($AL$8,#REF!,0)),"",INDEX(#REF!,MATCH($AL$8,#REF!,0)))</f>
        <v>#REF!</v>
      </c>
      <c r="AN9" s="47"/>
      <c r="AO9" s="47"/>
      <c r="AP9" s="51"/>
      <c r="AQ9" s="38"/>
      <c r="AR9" s="38"/>
    </row>
    <row r="10" spans="1:44" ht="15.75" thickBot="1">
      <c r="A10" s="36"/>
      <c r="B10" s="43"/>
      <c r="C10" s="93" t="s">
        <v>15</v>
      </c>
      <c r="D10" s="37"/>
      <c r="E10" s="47"/>
      <c r="F10" s="47"/>
      <c r="G10" s="47"/>
      <c r="H10" s="47"/>
      <c r="I10" s="47"/>
      <c r="J10" s="50" t="s">
        <v>44</v>
      </c>
      <c r="K10" s="37"/>
      <c r="L10" s="47"/>
      <c r="M10" s="47"/>
      <c r="N10" s="47"/>
      <c r="O10" s="47"/>
      <c r="P10" s="47"/>
      <c r="Q10" s="47"/>
      <c r="R10" s="47"/>
      <c r="S10" s="47"/>
      <c r="T10" s="51"/>
      <c r="U10" s="47"/>
      <c r="V10" s="47"/>
      <c r="W10" s="36"/>
      <c r="X10" s="43"/>
      <c r="Y10" s="93" t="s">
        <v>15</v>
      </c>
      <c r="Z10" s="37"/>
      <c r="AA10" s="47"/>
      <c r="AB10" s="47"/>
      <c r="AC10" s="47"/>
      <c r="AD10" s="47"/>
      <c r="AE10" s="47"/>
      <c r="AF10" s="50" t="s">
        <v>44</v>
      </c>
      <c r="AG10" s="37"/>
      <c r="AH10" s="47"/>
      <c r="AI10" s="47"/>
      <c r="AJ10" s="47"/>
      <c r="AK10" s="47"/>
      <c r="AL10" s="47"/>
      <c r="AM10" s="47"/>
      <c r="AN10" s="47"/>
      <c r="AO10" s="47"/>
      <c r="AP10" s="51"/>
      <c r="AQ10" s="38"/>
      <c r="AR10" s="38"/>
    </row>
    <row r="11" spans="1:44">
      <c r="A11" s="36"/>
      <c r="B11" s="43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1"/>
      <c r="U11" s="47"/>
      <c r="V11" s="47"/>
      <c r="W11" s="36"/>
      <c r="X11" s="43"/>
      <c r="Y11" s="48"/>
      <c r="Z11" s="48"/>
      <c r="AA11" s="48"/>
      <c r="AB11" s="48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51"/>
      <c r="AQ11" s="38"/>
      <c r="AR11" s="38"/>
    </row>
    <row r="12" spans="1:44">
      <c r="A12" s="36"/>
      <c r="B12" s="43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51"/>
      <c r="U12" s="47"/>
      <c r="V12" s="47"/>
      <c r="W12" s="36"/>
      <c r="X12" s="43"/>
      <c r="Y12" s="48"/>
      <c r="Z12" s="48"/>
      <c r="AA12" s="48"/>
      <c r="AB12" s="48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51"/>
      <c r="AQ12" s="38"/>
      <c r="AR12" s="38"/>
    </row>
    <row r="13" spans="1:44" ht="15.75" thickBot="1">
      <c r="A13" s="36"/>
      <c r="B13" s="49" t="s">
        <v>6</v>
      </c>
      <c r="C13" s="47"/>
      <c r="D13" s="78" t="s">
        <v>61</v>
      </c>
      <c r="E13" s="47"/>
      <c r="F13" s="47"/>
      <c r="G13" s="44" t="s">
        <v>5</v>
      </c>
      <c r="H13" s="44"/>
      <c r="I13" s="47"/>
      <c r="J13" s="47"/>
      <c r="K13" s="47"/>
      <c r="L13" s="47" t="s">
        <v>62</v>
      </c>
      <c r="M13" s="47"/>
      <c r="N13" s="47"/>
      <c r="O13" s="47"/>
      <c r="P13" s="44" t="s">
        <v>6</v>
      </c>
      <c r="Q13" s="47"/>
      <c r="R13" s="78" t="s">
        <v>60</v>
      </c>
      <c r="S13" s="47"/>
      <c r="T13" s="44" t="s">
        <v>5</v>
      </c>
      <c r="U13" s="57"/>
      <c r="V13" s="58"/>
      <c r="W13" s="36"/>
      <c r="X13" s="59" t="s">
        <v>6</v>
      </c>
      <c r="Y13" s="48"/>
      <c r="Z13" s="48" t="s">
        <v>61</v>
      </c>
      <c r="AA13" s="48"/>
      <c r="AB13" s="48"/>
      <c r="AC13" s="44" t="s">
        <v>5</v>
      </c>
      <c r="AD13" s="44"/>
      <c r="AE13" s="47"/>
      <c r="AF13" s="47"/>
      <c r="AG13" s="47"/>
      <c r="AH13" s="47" t="s">
        <v>62</v>
      </c>
      <c r="AI13" s="47"/>
      <c r="AJ13" s="47"/>
      <c r="AK13" s="47"/>
      <c r="AL13" s="44" t="s">
        <v>6</v>
      </c>
      <c r="AM13" s="47"/>
      <c r="AN13" s="47" t="s">
        <v>60</v>
      </c>
      <c r="AO13" s="47"/>
      <c r="AP13" s="45" t="s">
        <v>5</v>
      </c>
      <c r="AQ13" s="58"/>
      <c r="AR13" s="58"/>
    </row>
    <row r="14" spans="1:44" ht="15.75" thickBot="1">
      <c r="A14" s="36"/>
      <c r="B14" s="662"/>
      <c r="C14" s="664" t="str">
        <f>IF($G$8=$G$9,"résultat",IF($G$8&gt;$G$9,$C$9,$C$8))</f>
        <v/>
      </c>
      <c r="D14" s="665"/>
      <c r="E14" s="665"/>
      <c r="F14" s="666"/>
      <c r="G14" s="53">
        <v>1</v>
      </c>
      <c r="H14" s="44"/>
      <c r="I14" s="47"/>
      <c r="J14" s="762" t="b">
        <f>IF(ISTEXT($Q$8),IF(($G$9=$G$8),"résultat",IF(($N$9=$N$8),"résultat",IF(($U$14=2),$C$8,IF(($V$14=2),$C$9,IF(($U$15=2),$J$9,IF(($V$15=2),J8,0)))))))</f>
        <v>0</v>
      </c>
      <c r="K14" s="763"/>
      <c r="L14" s="763"/>
      <c r="M14" s="764"/>
      <c r="N14" s="55"/>
      <c r="O14" s="47"/>
      <c r="P14" s="662"/>
      <c r="Q14" s="765" t="e">
        <f>IF($E$2+$E$3=5,$Q$8,IF($N$8=$N$9,"résultat",IF($N$8&gt;$N$9,$J$8,$J$9)))</f>
        <v>#REF!</v>
      </c>
      <c r="R14" s="766"/>
      <c r="S14" s="767"/>
      <c r="T14" s="61">
        <v>1</v>
      </c>
      <c r="U14" s="62">
        <f>IF(G8&gt;G9,1)+IF(N8&gt;N9,1)</f>
        <v>2</v>
      </c>
      <c r="V14" s="63">
        <f>IF(G9&gt;G8,1)+IF(N9&gt;N8,1)</f>
        <v>0</v>
      </c>
      <c r="W14" s="36"/>
      <c r="X14" s="662"/>
      <c r="Y14" s="737" t="str">
        <f>IF($AC$8=$AC$9,"résultat",IF($AC$8&gt;$AC$9,$Y$9,$Y$8))</f>
        <v/>
      </c>
      <c r="Z14" s="665"/>
      <c r="AA14" s="665"/>
      <c r="AB14" s="666"/>
      <c r="AC14" s="53">
        <v>1</v>
      </c>
      <c r="AD14" s="44"/>
      <c r="AE14" s="47"/>
      <c r="AF14" s="768" t="str">
        <f>IF(ISTEXT($AM$8),IF(($AC$9=$AC$8),"résultat",IF(($AJ$9=$AJ$8),"résultat",IF(($AQ$14=2),$Y$8,IF(($AR$14=2),$Y$9,IF(($AQ$15=2),$AF$9,IF(($AR$15=2),$AF$8,0)))))))</f>
        <v/>
      </c>
      <c r="AG14" s="763"/>
      <c r="AH14" s="763"/>
      <c r="AI14" s="764"/>
      <c r="AJ14" s="60"/>
      <c r="AK14" s="47"/>
      <c r="AL14" s="662"/>
      <c r="AM14" s="765" t="str">
        <f>IF($AA$2+$AA$3=5,$AM$8,IF($AJ$8&gt;$AJ$9,$AF$8,$AF$9))</f>
        <v/>
      </c>
      <c r="AN14" s="766"/>
      <c r="AO14" s="767"/>
      <c r="AP14" s="53">
        <v>1</v>
      </c>
      <c r="AQ14" s="62">
        <f>IF(AC8&gt;AC9,1)+IF(AJ8&gt;AJ9,1)</f>
        <v>2</v>
      </c>
      <c r="AR14" s="63">
        <f>IF(AC9&gt;AC8,1)+IF(AJ9&gt;AJ8,1)</f>
        <v>0</v>
      </c>
    </row>
    <row r="15" spans="1:44" ht="15.75" thickBot="1">
      <c r="A15" s="36"/>
      <c r="B15" s="663"/>
      <c r="C15" s="656" t="str">
        <f>IF($N$8=$N$9,"résultat",IF($N$8&lt;$N$9,$J$8,$J$9))</f>
        <v>D13</v>
      </c>
      <c r="D15" s="657"/>
      <c r="E15" s="657"/>
      <c r="F15" s="658"/>
      <c r="G15" s="64">
        <v>0</v>
      </c>
      <c r="H15" s="44"/>
      <c r="I15" s="47"/>
      <c r="J15" s="65">
        <f>IF(ISTEXT(J14)," ",0)</f>
        <v>0</v>
      </c>
      <c r="K15" s="47"/>
      <c r="L15" s="47"/>
      <c r="M15" s="47"/>
      <c r="N15" s="47"/>
      <c r="O15" s="47"/>
      <c r="P15" s="663"/>
      <c r="Q15" s="656" t="b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>0</v>
      </c>
      <c r="R15" s="657"/>
      <c r="S15" s="658"/>
      <c r="T15" s="81">
        <v>0</v>
      </c>
      <c r="U15" s="66">
        <f>IF(G8&gt;G9,1)+IF(N9&gt;N8,1)</f>
        <v>1</v>
      </c>
      <c r="V15" s="67">
        <f>IF(G9&gt;G8,1)+IF(N8&gt;N9,1)</f>
        <v>1</v>
      </c>
      <c r="W15" s="36"/>
      <c r="X15" s="663"/>
      <c r="Y15" s="656">
        <f>IF($AJ$8=$AJ$9,"résultat",IF($AJ$8&lt;$AJ$9,$AF$8,$AF$9))</f>
        <v>0</v>
      </c>
      <c r="Z15" s="657"/>
      <c r="AA15" s="657"/>
      <c r="AB15" s="658"/>
      <c r="AC15" s="53">
        <v>0</v>
      </c>
      <c r="AD15" s="44"/>
      <c r="AE15" s="47"/>
      <c r="AF15" s="47"/>
      <c r="AG15" s="47"/>
      <c r="AH15" s="47"/>
      <c r="AI15" s="47"/>
      <c r="AJ15" s="47"/>
      <c r="AK15" s="47"/>
      <c r="AL15" s="663"/>
      <c r="AM15" s="656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657"/>
      <c r="AO15" s="658"/>
      <c r="AP15" s="80">
        <v>0</v>
      </c>
      <c r="AQ15" s="66">
        <f>IF(AC8&gt;AC9,1)+IF(AJ9&gt;AJ8,1)</f>
        <v>1</v>
      </c>
      <c r="AR15" s="67">
        <f>IF(AC9&gt;AC8,1)+IF(AJ8&gt;AJ9,1)</f>
        <v>1</v>
      </c>
    </row>
    <row r="16" spans="1:44">
      <c r="A16" s="36"/>
      <c r="B16" s="43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68"/>
      <c r="Q16" s="47"/>
      <c r="R16" s="47"/>
      <c r="S16" s="47"/>
      <c r="T16" s="51"/>
      <c r="U16" s="47"/>
      <c r="V16" s="47"/>
      <c r="W16" s="36"/>
      <c r="X16" s="43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51"/>
      <c r="AQ16" s="38"/>
      <c r="AR16" s="38"/>
    </row>
    <row r="17" spans="1:44">
      <c r="A17" s="36"/>
      <c r="B17" s="43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51"/>
      <c r="U17" s="47"/>
      <c r="V17" s="47"/>
      <c r="W17" s="36"/>
      <c r="X17" s="43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51"/>
      <c r="AQ17" s="38"/>
      <c r="AR17" s="38"/>
    </row>
    <row r="18" spans="1:44">
      <c r="A18" s="36"/>
      <c r="B18" s="43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0"/>
      <c r="T18" s="51"/>
      <c r="U18" s="47"/>
      <c r="V18" s="47"/>
      <c r="W18" s="36"/>
      <c r="X18" s="43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51"/>
      <c r="AQ18" s="38"/>
      <c r="AR18" s="38"/>
    </row>
    <row r="19" spans="1:44" ht="15.75" thickBot="1">
      <c r="A19" s="36"/>
      <c r="B19" s="43"/>
      <c r="C19" s="47"/>
      <c r="D19" s="47"/>
      <c r="E19" s="44" t="s">
        <v>6</v>
      </c>
      <c r="F19" s="47"/>
      <c r="G19" s="47"/>
      <c r="H19" s="47"/>
      <c r="I19" s="47"/>
      <c r="J19" s="44" t="s">
        <v>5</v>
      </c>
      <c r="K19" s="44"/>
      <c r="L19" s="44" t="s">
        <v>6</v>
      </c>
      <c r="M19" s="47"/>
      <c r="N19" s="47"/>
      <c r="O19" s="47"/>
      <c r="P19" s="47"/>
      <c r="Q19" s="44" t="s">
        <v>5</v>
      </c>
      <c r="R19" s="47"/>
      <c r="S19" s="47"/>
      <c r="T19" s="51"/>
      <c r="U19" s="69"/>
      <c r="V19" s="47"/>
      <c r="W19" s="36"/>
      <c r="X19" s="43"/>
      <c r="Y19" s="47"/>
      <c r="Z19" s="47"/>
      <c r="AA19" s="44" t="s">
        <v>6</v>
      </c>
      <c r="AB19" s="47"/>
      <c r="AC19" s="47"/>
      <c r="AD19" s="47"/>
      <c r="AE19" s="47"/>
      <c r="AF19" s="44" t="s">
        <v>5</v>
      </c>
      <c r="AG19" s="44"/>
      <c r="AH19" s="44" t="s">
        <v>6</v>
      </c>
      <c r="AI19" s="47"/>
      <c r="AJ19" s="47"/>
      <c r="AK19" s="47"/>
      <c r="AL19" s="47"/>
      <c r="AM19" s="44" t="s">
        <v>5</v>
      </c>
      <c r="AN19" s="47"/>
      <c r="AO19" s="47"/>
      <c r="AP19" s="51"/>
      <c r="AQ19" s="38"/>
      <c r="AR19" s="38"/>
    </row>
    <row r="20" spans="1:44" ht="15.75" thickBot="1">
      <c r="A20" s="36"/>
      <c r="B20" s="43"/>
      <c r="C20" s="47"/>
      <c r="D20" s="47"/>
      <c r="E20" s="662"/>
      <c r="F20" s="694" t="e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#REF!</v>
      </c>
      <c r="G20" s="698"/>
      <c r="H20" s="698"/>
      <c r="I20" s="699"/>
      <c r="J20" s="53">
        <v>1</v>
      </c>
      <c r="K20" s="44"/>
      <c r="L20" s="662" t="s">
        <v>16</v>
      </c>
      <c r="M20" s="748" t="e">
        <f>IF($E$2+$E$3=5,$J$14)</f>
        <v>#REF!</v>
      </c>
      <c r="N20" s="749"/>
      <c r="O20" s="749"/>
      <c r="P20" s="750"/>
      <c r="Q20" s="53">
        <v>1</v>
      </c>
      <c r="R20" s="47"/>
      <c r="S20" s="47"/>
      <c r="T20" s="51"/>
      <c r="U20" s="47"/>
      <c r="V20" s="47"/>
      <c r="W20" s="36"/>
      <c r="X20" s="43"/>
      <c r="Y20" s="47"/>
      <c r="Z20" s="47"/>
      <c r="AA20" s="662"/>
      <c r="AB20" s="694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698"/>
      <c r="AD20" s="698"/>
      <c r="AE20" s="699"/>
      <c r="AF20" s="53">
        <v>1</v>
      </c>
      <c r="AG20" s="44"/>
      <c r="AH20" s="662" t="s">
        <v>16</v>
      </c>
      <c r="AI20" s="748" t="b">
        <f>IF($AA$2+$AA$3=5,$AF$14)</f>
        <v>0</v>
      </c>
      <c r="AJ20" s="749"/>
      <c r="AK20" s="749"/>
      <c r="AL20" s="750"/>
      <c r="AM20" s="53">
        <v>1</v>
      </c>
      <c r="AN20" s="47"/>
      <c r="AO20" s="47"/>
      <c r="AP20" s="51"/>
      <c r="AQ20" s="38"/>
      <c r="AR20" s="38"/>
    </row>
    <row r="21" spans="1:44" ht="15.75" thickBot="1">
      <c r="A21" s="36"/>
      <c r="B21" s="43"/>
      <c r="C21" s="47"/>
      <c r="D21" s="47"/>
      <c r="E21" s="663"/>
      <c r="F21" s="694" t="e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#REF!</v>
      </c>
      <c r="G21" s="695"/>
      <c r="H21" s="695"/>
      <c r="I21" s="696"/>
      <c r="J21" s="53">
        <v>0</v>
      </c>
      <c r="K21" s="44"/>
      <c r="L21" s="663"/>
      <c r="M21" s="694" t="e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#REF!</v>
      </c>
      <c r="N21" s="695"/>
      <c r="O21" s="695"/>
      <c r="P21" s="696"/>
      <c r="Q21" s="53">
        <v>0</v>
      </c>
      <c r="R21" s="47"/>
      <c r="S21" s="69"/>
      <c r="T21" s="51"/>
      <c r="U21" s="47"/>
      <c r="V21" s="40"/>
      <c r="W21" s="36"/>
      <c r="X21" s="43"/>
      <c r="Y21" s="47"/>
      <c r="Z21" s="47"/>
      <c r="AA21" s="663"/>
      <c r="AB21" s="694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695"/>
      <c r="AD21" s="695"/>
      <c r="AE21" s="696"/>
      <c r="AF21" s="53">
        <v>0</v>
      </c>
      <c r="AG21" s="44"/>
      <c r="AH21" s="663"/>
      <c r="AI21" s="694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695"/>
      <c r="AK21" s="695"/>
      <c r="AL21" s="696"/>
      <c r="AM21" s="53">
        <v>0</v>
      </c>
      <c r="AN21" s="47"/>
      <c r="AO21" s="47"/>
      <c r="AP21" s="51"/>
      <c r="AQ21" s="38"/>
      <c r="AR21" s="38"/>
    </row>
    <row r="22" spans="1:44">
      <c r="A22" s="36"/>
      <c r="B22" s="43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51"/>
      <c r="U22" s="47"/>
      <c r="V22" s="47"/>
      <c r="W22" s="36"/>
      <c r="X22" s="43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51"/>
      <c r="AQ22" s="38"/>
      <c r="AR22" s="38"/>
    </row>
    <row r="23" spans="1:44">
      <c r="A23" s="36"/>
      <c r="B23" s="43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51"/>
      <c r="U23" s="47"/>
      <c r="V23" s="47"/>
      <c r="W23" s="36"/>
      <c r="X23" s="43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51"/>
      <c r="AQ23" s="38"/>
      <c r="AR23" s="38"/>
    </row>
    <row r="24" spans="1:44" ht="15.75" thickBot="1">
      <c r="A24" s="36"/>
      <c r="B24" s="43"/>
      <c r="C24" s="47"/>
      <c r="D24" s="47"/>
      <c r="E24" s="47"/>
      <c r="F24" s="47"/>
      <c r="G24" s="47"/>
      <c r="H24" s="47"/>
      <c r="I24" s="44" t="s">
        <v>6</v>
      </c>
      <c r="J24" s="47"/>
      <c r="K24" s="47"/>
      <c r="L24" s="47"/>
      <c r="M24" s="47"/>
      <c r="N24" s="44" t="s">
        <v>5</v>
      </c>
      <c r="O24" s="44"/>
      <c r="P24" s="70"/>
      <c r="Q24" s="47"/>
      <c r="R24" s="47"/>
      <c r="S24" s="47"/>
      <c r="T24" s="51"/>
      <c r="U24" s="47"/>
      <c r="V24" s="47"/>
      <c r="W24" s="36"/>
      <c r="X24" s="43"/>
      <c r="Y24" s="47"/>
      <c r="Z24" s="47"/>
      <c r="AA24" s="47"/>
      <c r="AB24" s="47"/>
      <c r="AC24" s="47"/>
      <c r="AD24" s="47"/>
      <c r="AE24" s="44" t="s">
        <v>6</v>
      </c>
      <c r="AF24" s="47"/>
      <c r="AG24" s="47"/>
      <c r="AH24" s="47"/>
      <c r="AI24" s="47"/>
      <c r="AJ24" s="44" t="s">
        <v>5</v>
      </c>
      <c r="AK24" s="44"/>
      <c r="AL24" s="70"/>
      <c r="AM24" s="47"/>
      <c r="AN24" s="47"/>
      <c r="AO24" s="47"/>
      <c r="AP24" s="51"/>
      <c r="AQ24" s="38"/>
      <c r="AR24" s="38"/>
    </row>
    <row r="25" spans="1:44" ht="15.75" thickBot="1">
      <c r="A25" s="36"/>
      <c r="B25" s="43"/>
      <c r="C25" s="47"/>
      <c r="D25" s="47"/>
      <c r="E25" s="47"/>
      <c r="F25" s="47"/>
      <c r="G25" s="47"/>
      <c r="H25" s="47"/>
      <c r="I25" s="662"/>
      <c r="J25" s="715" t="e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#REF!</v>
      </c>
      <c r="K25" s="716"/>
      <c r="L25" s="716"/>
      <c r="M25" s="717"/>
      <c r="N25" s="53">
        <v>1</v>
      </c>
      <c r="O25" s="44"/>
      <c r="P25" s="47"/>
      <c r="Q25" s="47"/>
      <c r="R25" s="47"/>
      <c r="S25" s="47"/>
      <c r="T25" s="51"/>
      <c r="U25" s="47"/>
      <c r="V25" s="47"/>
      <c r="W25" s="36"/>
      <c r="X25" s="43"/>
      <c r="Y25" s="47"/>
      <c r="Z25" s="47"/>
      <c r="AA25" s="47"/>
      <c r="AB25" s="47"/>
      <c r="AC25" s="47"/>
      <c r="AD25" s="47"/>
      <c r="AE25" s="662"/>
      <c r="AF25" s="715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716"/>
      <c r="AH25" s="716"/>
      <c r="AI25" s="717"/>
      <c r="AJ25" s="53">
        <v>1</v>
      </c>
      <c r="AK25" s="44"/>
      <c r="AL25" s="47"/>
      <c r="AM25" s="47"/>
      <c r="AN25" s="47"/>
      <c r="AO25" s="47"/>
      <c r="AP25" s="51"/>
      <c r="AQ25" s="38"/>
      <c r="AR25" s="38"/>
    </row>
    <row r="26" spans="1:44" ht="15.75" thickBot="1">
      <c r="A26" s="36"/>
      <c r="B26" s="43"/>
      <c r="C26" s="47"/>
      <c r="D26" s="47"/>
      <c r="E26" s="47"/>
      <c r="F26" s="47"/>
      <c r="G26" s="47"/>
      <c r="H26" s="47"/>
      <c r="I26" s="663"/>
      <c r="J26" s="712" t="e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#REF!</v>
      </c>
      <c r="K26" s="713"/>
      <c r="L26" s="713"/>
      <c r="M26" s="714"/>
      <c r="N26" s="53">
        <v>0</v>
      </c>
      <c r="O26" s="44"/>
      <c r="P26" s="47"/>
      <c r="Q26" s="47"/>
      <c r="R26" s="47"/>
      <c r="S26" s="47"/>
      <c r="T26" s="51"/>
      <c r="U26" s="47"/>
      <c r="V26" s="47"/>
      <c r="W26" s="36"/>
      <c r="X26" s="43"/>
      <c r="Y26" s="47"/>
      <c r="Z26" s="47"/>
      <c r="AA26" s="47"/>
      <c r="AB26" s="47"/>
      <c r="AC26" s="47"/>
      <c r="AD26" s="47"/>
      <c r="AE26" s="663"/>
      <c r="AF26" s="712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713"/>
      <c r="AH26" s="713"/>
      <c r="AI26" s="714"/>
      <c r="AJ26" s="53">
        <v>0</v>
      </c>
      <c r="AK26" s="44"/>
      <c r="AL26" s="47"/>
      <c r="AM26" s="47"/>
      <c r="AN26" s="47"/>
      <c r="AO26" s="47"/>
      <c r="AP26" s="51"/>
      <c r="AQ26" s="38"/>
      <c r="AR26" s="38"/>
    </row>
    <row r="27" spans="1:44" ht="15.75" thickBot="1">
      <c r="A27" s="36"/>
      <c r="B27" s="43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1"/>
      <c r="U27" s="47"/>
      <c r="V27" s="47"/>
      <c r="W27" s="36"/>
      <c r="X27" s="43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51"/>
      <c r="AQ27" s="38"/>
      <c r="AR27" s="38"/>
    </row>
    <row r="28" spans="1:44" ht="15.75" thickBot="1">
      <c r="A28" s="36"/>
      <c r="B28" s="43"/>
      <c r="D28" s="47"/>
      <c r="E28" s="47"/>
      <c r="F28" s="47"/>
      <c r="G28" s="47"/>
      <c r="H28" s="47"/>
      <c r="I28" s="47"/>
      <c r="J28" s="744" t="s">
        <v>59</v>
      </c>
      <c r="K28" s="745"/>
      <c r="L28" s="745"/>
      <c r="M28" s="746"/>
      <c r="N28" s="47"/>
      <c r="O28" s="47"/>
      <c r="P28" s="69"/>
      <c r="Q28" s="47"/>
      <c r="R28" s="47"/>
      <c r="S28" s="47"/>
      <c r="T28" s="51"/>
      <c r="W28" s="36"/>
      <c r="X28" s="43"/>
      <c r="Z28" s="47"/>
      <c r="AA28" s="47"/>
      <c r="AB28" s="47"/>
      <c r="AC28" s="47"/>
      <c r="AD28" s="47"/>
      <c r="AE28" s="47"/>
      <c r="AF28" s="744" t="s">
        <v>59</v>
      </c>
      <c r="AG28" s="745"/>
      <c r="AH28" s="745"/>
      <c r="AI28" s="746"/>
      <c r="AJ28" s="47"/>
      <c r="AK28" s="47"/>
      <c r="AL28" s="69"/>
      <c r="AM28" s="47"/>
      <c r="AN28" s="47"/>
      <c r="AO28" s="47"/>
      <c r="AP28" s="51"/>
    </row>
    <row r="29" spans="1:44" ht="15.75" thickBot="1">
      <c r="A29" s="36"/>
      <c r="B29" s="43"/>
      <c r="D29" s="653" t="s">
        <v>0</v>
      </c>
      <c r="E29" s="654"/>
      <c r="F29" s="655"/>
      <c r="G29" s="47"/>
      <c r="H29" s="667" t="e">
        <f>IF(F3+G3=0,"OFFICE",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)</f>
        <v>#REF!</v>
      </c>
      <c r="I29" s="772"/>
      <c r="J29" s="772"/>
      <c r="K29" s="772"/>
      <c r="L29" s="772"/>
      <c r="M29" s="772"/>
      <c r="N29" s="773"/>
      <c r="O29" s="47"/>
      <c r="P29" s="47"/>
      <c r="Q29" s="47"/>
      <c r="R29" s="47"/>
      <c r="S29" s="47"/>
      <c r="T29" s="51"/>
      <c r="W29" s="36"/>
      <c r="X29" s="43"/>
      <c r="Z29" s="653" t="s">
        <v>0</v>
      </c>
      <c r="AA29" s="654"/>
      <c r="AB29" s="655"/>
      <c r="AC29" s="47"/>
      <c r="AD29" s="667" t="str">
        <f>IF(AB3+AC3=0,"OFFICE",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)</f>
        <v>OFFICE</v>
      </c>
      <c r="AE29" s="772"/>
      <c r="AF29" s="772"/>
      <c r="AG29" s="772"/>
      <c r="AH29" s="772"/>
      <c r="AI29" s="772"/>
      <c r="AJ29" s="773"/>
      <c r="AK29" s="47"/>
      <c r="AL29" s="47"/>
      <c r="AM29" s="60" t="s">
        <v>75</v>
      </c>
      <c r="AN29" s="47"/>
      <c r="AO29" s="47"/>
      <c r="AP29" s="51"/>
    </row>
    <row r="30" spans="1:44">
      <c r="A30" s="36"/>
      <c r="B30" s="43"/>
      <c r="D30" s="650" t="s">
        <v>1</v>
      </c>
      <c r="E30" s="651"/>
      <c r="F30" s="652"/>
      <c r="G30" s="47"/>
      <c r="H30" s="670" t="e">
        <f>IF(F3+G3=0,"OFFICE",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)</f>
        <v>#REF!</v>
      </c>
      <c r="I30" s="671"/>
      <c r="J30" s="671"/>
      <c r="K30" s="671"/>
      <c r="L30" s="671"/>
      <c r="M30" s="671"/>
      <c r="N30" s="672"/>
      <c r="O30" s="47"/>
      <c r="P30" s="71"/>
      <c r="Q30" s="71"/>
      <c r="R30" s="71"/>
      <c r="S30" s="71"/>
      <c r="T30" s="51"/>
      <c r="W30" s="36"/>
      <c r="X30" s="43"/>
      <c r="Z30" s="650" t="s">
        <v>1</v>
      </c>
      <c r="AA30" s="651"/>
      <c r="AB30" s="652"/>
      <c r="AC30" s="47"/>
      <c r="AD30" s="670" t="str">
        <f>IF(AB3+AC3=0,"OFFICE",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)</f>
        <v>OFFICE</v>
      </c>
      <c r="AE30" s="671"/>
      <c r="AF30" s="671"/>
      <c r="AG30" s="671"/>
      <c r="AH30" s="671"/>
      <c r="AI30" s="671"/>
      <c r="AJ30" s="672"/>
      <c r="AK30" s="47"/>
      <c r="AL30" s="71"/>
      <c r="AM30" s="71"/>
      <c r="AN30" s="71"/>
      <c r="AO30" s="47"/>
      <c r="AP30" s="51"/>
    </row>
    <row r="31" spans="1:44">
      <c r="A31" s="36"/>
      <c r="B31" s="43"/>
      <c r="D31" s="650" t="s">
        <v>2</v>
      </c>
      <c r="E31" s="651"/>
      <c r="F31" s="652"/>
      <c r="G31" s="47"/>
      <c r="H31" s="774" t="e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#REF!</v>
      </c>
      <c r="I31" s="775"/>
      <c r="J31" s="775"/>
      <c r="K31" s="775"/>
      <c r="L31" s="775"/>
      <c r="M31" s="775"/>
      <c r="N31" s="776"/>
      <c r="O31" s="47"/>
      <c r="P31" s="47"/>
      <c r="Q31" s="47"/>
      <c r="R31" s="47"/>
      <c r="S31" s="47"/>
      <c r="T31" s="51"/>
      <c r="W31" s="36"/>
      <c r="X31" s="43"/>
      <c r="Z31" s="650" t="s">
        <v>2</v>
      </c>
      <c r="AA31" s="651"/>
      <c r="AB31" s="652"/>
      <c r="AC31" s="47"/>
      <c r="AD31" s="676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677"/>
      <c r="AF31" s="677"/>
      <c r="AG31" s="677"/>
      <c r="AH31" s="677"/>
      <c r="AI31" s="677"/>
      <c r="AJ31" s="678"/>
      <c r="AK31" s="47"/>
      <c r="AL31" s="47"/>
      <c r="AM31" s="47"/>
      <c r="AN31" s="47"/>
      <c r="AO31" s="47"/>
      <c r="AP31" s="51"/>
    </row>
    <row r="32" spans="1:44">
      <c r="A32" s="36"/>
      <c r="B32" s="43"/>
      <c r="D32" s="650" t="s">
        <v>3</v>
      </c>
      <c r="E32" s="651"/>
      <c r="F32" s="652"/>
      <c r="G32" s="47"/>
      <c r="H32" s="774" t="e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#REF!</v>
      </c>
      <c r="I32" s="775"/>
      <c r="J32" s="775"/>
      <c r="K32" s="775"/>
      <c r="L32" s="775"/>
      <c r="M32" s="775"/>
      <c r="N32" s="776"/>
      <c r="O32" s="47"/>
      <c r="P32" s="47"/>
      <c r="Q32" s="47"/>
      <c r="R32" s="47"/>
      <c r="S32" s="47"/>
      <c r="T32" s="51"/>
      <c r="W32" s="36"/>
      <c r="X32" s="43"/>
      <c r="Z32" s="650" t="s">
        <v>3</v>
      </c>
      <c r="AA32" s="651"/>
      <c r="AB32" s="652"/>
      <c r="AC32" s="47"/>
      <c r="AD32" s="774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775"/>
      <c r="AF32" s="775"/>
      <c r="AG32" s="775"/>
      <c r="AH32" s="775"/>
      <c r="AI32" s="775"/>
      <c r="AJ32" s="776"/>
      <c r="AK32" s="47"/>
      <c r="AL32" s="47"/>
      <c r="AM32" s="47"/>
      <c r="AN32" s="47"/>
      <c r="AO32" s="47"/>
      <c r="AP32" s="51"/>
    </row>
    <row r="33" spans="1:44" ht="15.75" thickBot="1">
      <c r="A33" s="36"/>
      <c r="B33" s="43"/>
      <c r="D33" s="682" t="s">
        <v>4</v>
      </c>
      <c r="E33" s="683"/>
      <c r="F33" s="684"/>
      <c r="G33" s="47"/>
      <c r="H33" s="685" t="e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#REF!</v>
      </c>
      <c r="I33" s="686"/>
      <c r="J33" s="686"/>
      <c r="K33" s="686"/>
      <c r="L33" s="686"/>
      <c r="M33" s="686"/>
      <c r="N33" s="687"/>
      <c r="O33" s="47"/>
      <c r="P33" s="47"/>
      <c r="Q33" s="47"/>
      <c r="R33" s="47"/>
      <c r="S33" s="47"/>
      <c r="T33" s="51"/>
      <c r="W33" s="36"/>
      <c r="X33" s="43"/>
      <c r="Z33" s="682" t="s">
        <v>4</v>
      </c>
      <c r="AA33" s="683"/>
      <c r="AB33" s="684"/>
      <c r="AC33" s="47"/>
      <c r="AD33" s="685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686"/>
      <c r="AF33" s="686"/>
      <c r="AG33" s="686"/>
      <c r="AH33" s="686"/>
      <c r="AI33" s="686"/>
      <c r="AJ33" s="687"/>
      <c r="AK33" s="47"/>
      <c r="AL33" s="47"/>
      <c r="AM33" s="47"/>
      <c r="AN33" s="47"/>
      <c r="AO33" s="47"/>
      <c r="AP33" s="51"/>
    </row>
    <row r="34" spans="1:44">
      <c r="A34" s="36"/>
      <c r="B34" s="43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47"/>
      <c r="O34" s="47"/>
      <c r="P34" s="47"/>
      <c r="Q34" s="47"/>
      <c r="R34" s="47"/>
      <c r="S34" s="47"/>
      <c r="T34" s="51"/>
      <c r="U34" s="47"/>
      <c r="V34" s="47"/>
      <c r="W34" s="36"/>
      <c r="X34" s="43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7"/>
      <c r="AK34" s="47"/>
      <c r="AL34" s="47"/>
      <c r="AM34" s="47"/>
      <c r="AN34" s="47"/>
      <c r="AO34" s="47"/>
      <c r="AP34" s="51"/>
      <c r="AQ34" s="38"/>
      <c r="AR34" s="38"/>
    </row>
    <row r="35" spans="1:44" ht="15.75" thickBot="1">
      <c r="A35" s="36"/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74"/>
      <c r="P35" s="74"/>
      <c r="Q35" s="74"/>
      <c r="R35" s="74"/>
      <c r="S35" s="74"/>
      <c r="T35" s="75"/>
      <c r="U35" s="36"/>
      <c r="V35" s="36"/>
      <c r="W35" s="36"/>
      <c r="X35" s="72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5"/>
      <c r="AQ35" s="38"/>
      <c r="AR35" s="38"/>
    </row>
  </sheetData>
  <sheetProtection formatColumns="0" formatRows="0" selectLockedCells="1"/>
  <mergeCells count="88">
    <mergeCell ref="H30:N30"/>
    <mergeCell ref="Z30:AB30"/>
    <mergeCell ref="AD30:AJ30"/>
    <mergeCell ref="D31:F31"/>
    <mergeCell ref="H31:N31"/>
    <mergeCell ref="Z31:AB31"/>
    <mergeCell ref="AD31:AJ31"/>
    <mergeCell ref="D30:F30"/>
    <mergeCell ref="I25:I26"/>
    <mergeCell ref="J25:M25"/>
    <mergeCell ref="AE25:AE26"/>
    <mergeCell ref="AF25:AI25"/>
    <mergeCell ref="J26:M26"/>
    <mergeCell ref="AF26:AI26"/>
    <mergeCell ref="AA20:AA21"/>
    <mergeCell ref="AB20:AE20"/>
    <mergeCell ref="AH20:AH21"/>
    <mergeCell ref="AI20:AL20"/>
    <mergeCell ref="F21:I21"/>
    <mergeCell ref="M21:P21"/>
    <mergeCell ref="AB21:AE21"/>
    <mergeCell ref="AI21:AL21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Y9:AB9"/>
    <mergeCell ref="AF9:AI9"/>
    <mergeCell ref="B8:B9"/>
    <mergeCell ref="C8:F8"/>
    <mergeCell ref="I8:I9"/>
    <mergeCell ref="J8:M8"/>
    <mergeCell ref="Q8:S8"/>
    <mergeCell ref="C9:F9"/>
    <mergeCell ref="J9:M9"/>
    <mergeCell ref="B14:B15"/>
    <mergeCell ref="C14:F14"/>
    <mergeCell ref="J14:M14"/>
    <mergeCell ref="P14:P15"/>
    <mergeCell ref="E20:E21"/>
    <mergeCell ref="F20:I20"/>
    <mergeCell ref="L20:L21"/>
    <mergeCell ref="M20:P20"/>
    <mergeCell ref="D32:F32"/>
    <mergeCell ref="H32:N32"/>
    <mergeCell ref="Z32:AB32"/>
    <mergeCell ref="AD32:AJ32"/>
    <mergeCell ref="D33:F33"/>
    <mergeCell ref="H33:N33"/>
    <mergeCell ref="Z33:AB33"/>
    <mergeCell ref="AD33:AJ33"/>
    <mergeCell ref="J28:M28"/>
    <mergeCell ref="AF28:AI28"/>
    <mergeCell ref="D29:F29"/>
    <mergeCell ref="H29:N29"/>
    <mergeCell ref="Z29:AB29"/>
    <mergeCell ref="AD29:AJ29"/>
    <mergeCell ref="T4:T5"/>
    <mergeCell ref="Y4:AO4"/>
    <mergeCell ref="X1:Z1"/>
    <mergeCell ref="AA1:AC1"/>
    <mergeCell ref="AJ1:AO1"/>
    <mergeCell ref="AB2:AC2"/>
    <mergeCell ref="AE2:AG2"/>
    <mergeCell ref="AH2:AP2"/>
    <mergeCell ref="AP4:AP5"/>
    <mergeCell ref="B2:D2"/>
    <mergeCell ref="F2:G2"/>
    <mergeCell ref="I2:K2"/>
    <mergeCell ref="L2:T2"/>
    <mergeCell ref="X2:Z2"/>
    <mergeCell ref="I1:L1"/>
    <mergeCell ref="N1:S1"/>
    <mergeCell ref="AE1:AH1"/>
    <mergeCell ref="B1:D1"/>
    <mergeCell ref="E1:G1"/>
  </mergeCells>
  <conditionalFormatting sqref="H32">
    <cfRule type="expression" dxfId="156" priority="279">
      <formula>$H$2=5</formula>
    </cfRule>
    <cfRule type="expression" dxfId="155" priority="280">
      <formula>$H$2=4</formula>
    </cfRule>
    <cfRule type="expression" dxfId="154" priority="281">
      <formula>$H$2=0</formula>
    </cfRule>
  </conditionalFormatting>
  <conditionalFormatting sqref="H29:N29">
    <cfRule type="expression" dxfId="153" priority="276">
      <formula>$H$2=0</formula>
    </cfRule>
    <cfRule type="expression" dxfId="152" priority="277" stopIfTrue="1">
      <formula>(OR(H2="1",H2="2",H2="3"))</formula>
    </cfRule>
  </conditionalFormatting>
  <conditionalFormatting sqref="H30:N30">
    <cfRule type="expression" dxfId="151" priority="275">
      <formula>(OR(H2="2",H2="3"))</formula>
    </cfRule>
  </conditionalFormatting>
  <conditionalFormatting sqref="H31:N31">
    <cfRule type="expression" dxfId="150" priority="274">
      <formula>(H2="3")</formula>
    </cfRule>
  </conditionalFormatting>
  <conditionalFormatting sqref="H32:N32">
    <cfRule type="cellIs" dxfId="149" priority="273" operator="equal">
      <formula>0</formula>
    </cfRule>
  </conditionalFormatting>
  <conditionalFormatting sqref="H33:N33">
    <cfRule type="cellIs" dxfId="148" priority="272" operator="equal">
      <formula>0</formula>
    </cfRule>
  </conditionalFormatting>
  <conditionalFormatting sqref="AD32">
    <cfRule type="expression" dxfId="147" priority="263">
      <formula>$H$2=5</formula>
    </cfRule>
    <cfRule type="expression" dxfId="146" priority="264">
      <formula>$H$2=4</formula>
    </cfRule>
  </conditionalFormatting>
  <conditionalFormatting sqref="AD32:AJ32">
    <cfRule type="cellIs" dxfId="145" priority="258" operator="equal">
      <formula>0</formula>
    </cfRule>
  </conditionalFormatting>
  <conditionalFormatting sqref="AD33:AJ33">
    <cfRule type="cellIs" dxfId="144" priority="257" operator="equal">
      <formula>0</formula>
    </cfRule>
  </conditionalFormatting>
  <conditionalFormatting sqref="H33 AD33">
    <cfRule type="expression" dxfId="143" priority="304">
      <formula>$AF$2=5</formula>
    </cfRule>
  </conditionalFormatting>
  <conditionalFormatting sqref="AD30">
    <cfRule type="expression" dxfId="142" priority="290">
      <formula>$AF$2=5</formula>
    </cfRule>
    <cfRule type="expression" dxfId="141" priority="291">
      <formula>$AF$2=4</formula>
    </cfRule>
    <cfRule type="expression" dxfId="140" priority="292">
      <formula>$AF$2=3</formula>
    </cfRule>
    <cfRule type="expression" dxfId="139" priority="293">
      <formula>$AF$2=2</formula>
    </cfRule>
  </conditionalFormatting>
  <conditionalFormatting sqref="AD31:AJ31">
    <cfRule type="expression" dxfId="138" priority="286">
      <formula>$AF$2=5</formula>
    </cfRule>
    <cfRule type="expression" dxfId="137" priority="287">
      <formula>$AF$2=4</formula>
    </cfRule>
    <cfRule type="expression" dxfId="136" priority="288">
      <formula>$AF$2=3</formula>
    </cfRule>
  </conditionalFormatting>
  <conditionalFormatting sqref="AD32:AJ32">
    <cfRule type="expression" dxfId="135" priority="282">
      <formula>$AF$2=5</formula>
    </cfRule>
    <cfRule type="expression" dxfId="134" priority="284">
      <formula>$AF$2=4</formula>
    </cfRule>
  </conditionalFormatting>
  <conditionalFormatting sqref="AD29:AJ29">
    <cfRule type="expression" dxfId="133" priority="278">
      <formula>$AF$2=1</formula>
    </cfRule>
  </conditionalFormatting>
  <conditionalFormatting sqref="AD29:AJ29">
    <cfRule type="expression" dxfId="132" priority="262" stopIfTrue="1">
      <formula>(OR(AF2="1",AF2="2",AF2="3"))</formula>
    </cfRule>
  </conditionalFormatting>
  <conditionalFormatting sqref="AD30:AJ30">
    <cfRule type="expression" dxfId="131" priority="260">
      <formula>(OR(AF2="2",AF2="3"))</formula>
    </cfRule>
  </conditionalFormatting>
  <conditionalFormatting sqref="AD31:AJ31">
    <cfRule type="expression" dxfId="130" priority="259">
      <formula>(AF2="3")</formula>
    </cfRule>
  </conditionalFormatting>
  <conditionalFormatting sqref="AD29">
    <cfRule type="expression" dxfId="129" priority="343">
      <formula>$AF$2=2</formula>
    </cfRule>
    <cfRule type="expression" dxfId="128" priority="344">
      <formula>$AF$2=5</formula>
    </cfRule>
    <cfRule type="expression" dxfId="127" priority="345">
      <formula>$AF$2=4</formula>
    </cfRule>
    <cfRule type="expression" dxfId="126" priority="346">
      <formula>$AF$2=3</formula>
    </cfRule>
  </conditionalFormatting>
  <conditionalFormatting sqref="H33 AD33">
    <cfRule type="expression" dxfId="125" priority="242">
      <formula>$AD$2=5</formula>
    </cfRule>
  </conditionalFormatting>
  <conditionalFormatting sqref="AD29">
    <cfRule type="expression" dxfId="124" priority="233">
      <formula>$AD$2=2</formula>
    </cfRule>
    <cfRule type="expression" dxfId="123" priority="234">
      <formula>$AD$2=5</formula>
    </cfRule>
    <cfRule type="expression" dxfId="122" priority="235">
      <formula>$AD$2=4</formula>
    </cfRule>
    <cfRule type="expression" dxfId="121" priority="236">
      <formula>$AD$2=3</formula>
    </cfRule>
  </conditionalFormatting>
  <conditionalFormatting sqref="AD30">
    <cfRule type="expression" dxfId="120" priority="229">
      <formula>$AD$2=5</formula>
    </cfRule>
    <cfRule type="expression" dxfId="119" priority="230">
      <formula>$AD$2=4</formula>
    </cfRule>
    <cfRule type="expression" dxfId="118" priority="231">
      <formula>$AD$2=3</formula>
    </cfRule>
    <cfRule type="expression" dxfId="117" priority="232">
      <formula>$AD$2=2</formula>
    </cfRule>
  </conditionalFormatting>
  <conditionalFormatting sqref="AD31">
    <cfRule type="expression" dxfId="116" priority="225">
      <formula>$AD$2=5</formula>
    </cfRule>
    <cfRule type="expression" dxfId="115" priority="226">
      <formula>$AD$2=4</formula>
    </cfRule>
    <cfRule type="expression" dxfId="114" priority="227">
      <formula>$AD$2=3</formula>
    </cfRule>
  </conditionalFormatting>
  <conditionalFormatting sqref="AD32:AJ32">
    <cfRule type="cellIs" dxfId="113" priority="220" operator="equal">
      <formula>0</formula>
    </cfRule>
    <cfRule type="expression" dxfId="112" priority="221">
      <formula>$AD$2=5</formula>
    </cfRule>
    <cfRule type="expression" dxfId="111" priority="223">
      <formula>$AD$2=4</formula>
    </cfRule>
  </conditionalFormatting>
  <conditionalFormatting sqref="AD29:AJ29">
    <cfRule type="expression" dxfId="110" priority="218">
      <formula>$AD$2=1</formula>
    </cfRule>
  </conditionalFormatting>
  <conditionalFormatting sqref="H29:N29">
    <cfRule type="expression" dxfId="109" priority="216">
      <formula>$H$2=0</formula>
    </cfRule>
    <cfRule type="expression" dxfId="108" priority="217" stopIfTrue="1">
      <formula>(OR(H2="1",H2="2",H2="3"))</formula>
    </cfRule>
  </conditionalFormatting>
  <conditionalFormatting sqref="H30:N30">
    <cfRule type="expression" dxfId="107" priority="215">
      <formula>(OR(H2="2",H2="3"))</formula>
    </cfRule>
  </conditionalFormatting>
  <conditionalFormatting sqref="H31:N31">
    <cfRule type="cellIs" dxfId="106" priority="213" operator="equal">
      <formula>0</formula>
    </cfRule>
    <cfRule type="expression" dxfId="105" priority="214">
      <formula>(H2="3")</formula>
    </cfRule>
  </conditionalFormatting>
  <conditionalFormatting sqref="AD29:AJ29">
    <cfRule type="expression" dxfId="104" priority="212" stopIfTrue="1">
      <formula>(OR(AD2="1",AD2="2",AD2="3"))</formula>
    </cfRule>
  </conditionalFormatting>
  <conditionalFormatting sqref="AD30:AJ30">
    <cfRule type="expression" dxfId="103" priority="210">
      <formula>(OR(AD2="2",AD2="3"))</formula>
    </cfRule>
  </conditionalFormatting>
  <conditionalFormatting sqref="AD31">
    <cfRule type="expression" dxfId="102" priority="209">
      <formula>(AD2="3")</formula>
    </cfRule>
  </conditionalFormatting>
  <conditionalFormatting sqref="H33:N33">
    <cfRule type="cellIs" dxfId="101" priority="188" operator="equal">
      <formula>0</formula>
    </cfRule>
  </conditionalFormatting>
  <conditionalFormatting sqref="H32:N32">
    <cfRule type="cellIs" dxfId="100" priority="187" operator="equal">
      <formula>0</formula>
    </cfRule>
  </conditionalFormatting>
  <conditionalFormatting sqref="AD33:AJ33">
    <cfRule type="cellIs" dxfId="99" priority="185" operator="equal">
      <formula>0</formula>
    </cfRule>
  </conditionalFormatting>
  <conditionalFormatting sqref="AD31:AJ31">
    <cfRule type="cellIs" dxfId="98" priority="184" operator="equal">
      <formula>0</formula>
    </cfRule>
  </conditionalFormatting>
  <conditionalFormatting sqref="AF25:AI25">
    <cfRule type="cellIs" dxfId="97" priority="179" operator="equal">
      <formula>0</formula>
    </cfRule>
  </conditionalFormatting>
  <conditionalFormatting sqref="C14:F15">
    <cfRule type="cellIs" dxfId="96" priority="106" operator="equal">
      <formula>0</formula>
    </cfRule>
  </conditionalFormatting>
  <conditionalFormatting sqref="C8:F9">
    <cfRule type="expression" dxfId="95" priority="96">
      <formula>(OR($E$2=3,$E$2=4,$E$2=5))</formula>
    </cfRule>
  </conditionalFormatting>
  <conditionalFormatting sqref="AF8:AI9">
    <cfRule type="expression" dxfId="94" priority="1">
      <formula>(OR($E$2=3,$E$2=4,$E$2=5))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Rens.</vt:lpstr>
      <vt:lpstr>Déroulement</vt:lpstr>
      <vt:lpstr>Poule 1 et 2</vt:lpstr>
      <vt:lpstr>Poule 3 et 4</vt:lpstr>
      <vt:lpstr>Poule 5 et 6</vt:lpstr>
      <vt:lpstr>Poule 7 et 8</vt:lpstr>
      <vt:lpstr>Poule 9 et 10</vt:lpstr>
      <vt:lpstr>Poule 11 et 12</vt:lpstr>
      <vt:lpstr>Poule 13 et 14</vt:lpstr>
      <vt:lpstr>Poule 15 et 16</vt:lpstr>
      <vt:lpstr>parties élimin. 1.16ème</vt:lpstr>
      <vt:lpstr>Feuil1</vt:lpstr>
      <vt:lpstr>Déroulement!Zone_d_impression</vt:lpstr>
      <vt:lpstr>'Poule 1 et 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2020-10-12T16:57:45Z</cp:lastPrinted>
  <dcterms:created xsi:type="dcterms:W3CDTF">2013-08-06T09:32:55Z</dcterms:created>
  <dcterms:modified xsi:type="dcterms:W3CDTF">2020-12-26T20:04:05Z</dcterms:modified>
</cp:coreProperties>
</file>