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420" yWindow="30" windowWidth="10515" windowHeight="11805" tabRatio="869" activeTab="1"/>
  </bookViews>
  <sheets>
    <sheet name="Données" sheetId="18" r:id="rId1"/>
    <sheet name="Tableau Général" sheetId="16" r:id="rId2"/>
    <sheet name="Poule 1 et 2" sheetId="1" state="hidden" r:id="rId3"/>
    <sheet name="Poule 3 et 4" sheetId="2" state="hidden" r:id="rId4"/>
    <sheet name="Poule 5 et 6" sheetId="3" state="hidden" r:id="rId5"/>
    <sheet name="Poule 7 et 8" sheetId="4" state="hidden" r:id="rId6"/>
    <sheet name="Poule 9 et 10" sheetId="5" state="hidden" r:id="rId7"/>
    <sheet name="Poule 11 et 12" sheetId="6" state="hidden" r:id="rId8"/>
    <sheet name="Poule 13 et 14" sheetId="7" state="hidden" r:id="rId9"/>
    <sheet name="Poule 15 et 16" sheetId="8" state="hidden" r:id="rId10"/>
    <sheet name="Manuel" sheetId="15" state="hidden" r:id="rId11"/>
    <sheet name="Feuil1" sheetId="17" r:id="rId12"/>
  </sheets>
  <definedNames>
    <definedName name="Catégorie">Données!$A$2:$A$4</definedName>
    <definedName name="féminine">Données!$C$2:$C$7</definedName>
    <definedName name="Jeunes">Données!$D$2:$D$8</definedName>
    <definedName name="Masculin">Données!$B$2:$B$6</definedName>
    <definedName name="Série">Données!$E$2:$E$5</definedName>
    <definedName name="_xlnm.Print_Area" localSheetId="10">Manuel!$A$1:$AT$27</definedName>
    <definedName name="_xlnm.Print_Area" localSheetId="2">'Poule 1 et 2'!$A$1:$AG$30</definedName>
    <definedName name="_xlnm.Print_Area" localSheetId="4">'Poule 5 et 6'!$A$1:$AF$26</definedName>
  </definedNames>
  <calcPr calcId="125725"/>
</workbook>
</file>

<file path=xl/calcChain.xml><?xml version="1.0" encoding="utf-8"?>
<calcChain xmlns="http://schemas.openxmlformats.org/spreadsheetml/2006/main">
  <c r="AK21" i="16"/>
  <c r="AK19"/>
  <c r="AK17"/>
  <c r="AK15"/>
  <c r="AK13"/>
  <c r="F18"/>
  <c r="E18"/>
  <c r="AS8"/>
  <c r="AC43"/>
  <c r="AG43" s="1"/>
  <c r="AE42"/>
  <c r="AK43" s="1"/>
  <c r="AC42"/>
  <c r="AG42" s="1"/>
  <c r="AL43" s="1"/>
  <c r="AC41"/>
  <c r="AG41" s="1"/>
  <c r="AL42" s="1"/>
  <c r="AE40"/>
  <c r="AK41" s="1"/>
  <c r="AC40"/>
  <c r="AG40" s="1"/>
  <c r="AL41" s="1"/>
  <c r="AC39"/>
  <c r="AG39" s="1"/>
  <c r="AE38"/>
  <c r="AK39" s="1"/>
  <c r="AC38"/>
  <c r="AG38" s="1"/>
  <c r="AL39" s="1"/>
  <c r="AC37"/>
  <c r="AG37" s="1"/>
  <c r="AL38" s="1"/>
  <c r="AE36"/>
  <c r="AK37" s="1"/>
  <c r="AC36"/>
  <c r="AG36" s="1"/>
  <c r="AL37" s="1"/>
  <c r="AC35"/>
  <c r="AG35" s="1"/>
  <c r="AE34"/>
  <c r="AK35" s="1"/>
  <c r="AC34"/>
  <c r="AG34" s="1"/>
  <c r="AL35" s="1"/>
  <c r="AC33"/>
  <c r="AG33" s="1"/>
  <c r="AL34" s="1"/>
  <c r="AE32"/>
  <c r="AK33" s="1"/>
  <c r="AC32"/>
  <c r="AG32" s="1"/>
  <c r="AL33" s="1"/>
  <c r="AC31"/>
  <c r="AG31" s="1"/>
  <c r="AE30"/>
  <c r="AK31" s="1"/>
  <c r="AC30"/>
  <c r="AG30" s="1"/>
  <c r="AL31" s="1"/>
  <c r="AC29"/>
  <c r="AG29" s="1"/>
  <c r="AL30" s="1"/>
  <c r="AE28"/>
  <c r="AK29" s="1"/>
  <c r="AC28"/>
  <c r="AG28" s="1"/>
  <c r="AL29" s="1"/>
  <c r="AC27"/>
  <c r="AG27" s="1"/>
  <c r="AE26"/>
  <c r="AK27" s="1"/>
  <c r="AC26"/>
  <c r="AG26" s="1"/>
  <c r="AL27" s="1"/>
  <c r="AC25"/>
  <c r="AG25" s="1"/>
  <c r="AL26" s="1"/>
  <c r="L18"/>
  <c r="K18"/>
  <c r="J18"/>
  <c r="I18"/>
  <c r="H18"/>
  <c r="G18"/>
  <c r="AE24"/>
  <c r="AK25" s="1"/>
  <c r="AC24"/>
  <c r="AG24" s="1"/>
  <c r="AL25" s="1"/>
  <c r="L17"/>
  <c r="AI42" s="1"/>
  <c r="K17"/>
  <c r="AI38" s="1"/>
  <c r="J17"/>
  <c r="I17"/>
  <c r="AI30" s="1"/>
  <c r="H17"/>
  <c r="AI26" s="1"/>
  <c r="G17"/>
  <c r="AI22" s="1"/>
  <c r="F17"/>
  <c r="E17"/>
  <c r="AC23"/>
  <c r="AG23" s="1"/>
  <c r="AG22"/>
  <c r="AL23" s="1"/>
  <c r="AE22"/>
  <c r="AK23" s="1"/>
  <c r="AG21"/>
  <c r="AL22" s="1"/>
  <c r="AG20"/>
  <c r="AL21" s="1"/>
  <c r="AG19"/>
  <c r="AL20" s="1"/>
  <c r="AG18"/>
  <c r="AL19" s="1"/>
  <c r="G11"/>
  <c r="CG11" s="1"/>
  <c r="AG17"/>
  <c r="AL18" s="1"/>
  <c r="G10"/>
  <c r="AM8" s="1"/>
  <c r="AG16"/>
  <c r="AL17" s="1"/>
  <c r="AG15"/>
  <c r="AL16" s="1"/>
  <c r="AG14"/>
  <c r="AL15" s="1"/>
  <c r="AG13"/>
  <c r="AL14" s="1"/>
  <c r="AG12"/>
  <c r="AL13" s="1"/>
  <c r="D3"/>
  <c r="C3"/>
  <c r="AI34" l="1"/>
  <c r="AI14"/>
  <c r="AI18"/>
  <c r="AU9"/>
  <c r="AU8"/>
  <c r="D17"/>
  <c r="P10" s="1"/>
  <c r="AY8" s="1"/>
  <c r="AF23"/>
  <c r="AL24"/>
  <c r="AF27"/>
  <c r="AL28"/>
  <c r="AF31"/>
  <c r="AL32"/>
  <c r="AF35"/>
  <c r="AL36"/>
  <c r="AF39"/>
  <c r="AL40"/>
  <c r="AF43"/>
  <c r="AL44"/>
  <c r="D18"/>
  <c r="AO8" s="1"/>
  <c r="BD5" s="1"/>
  <c r="AM3" l="1"/>
  <c r="AL3"/>
  <c r="CP8"/>
  <c r="CO8" l="1"/>
  <c r="BS8" s="1"/>
  <c r="B13" i="2"/>
  <c r="Z13" i="1"/>
  <c r="R13"/>
  <c r="J13"/>
  <c r="B13"/>
  <c r="B3" l="1"/>
  <c r="X2" i="5" l="1"/>
  <c r="R3" i="1" l="1"/>
  <c r="R3" i="2"/>
  <c r="B3" i="3"/>
  <c r="R3"/>
  <c r="R3" i="4"/>
  <c r="B3"/>
  <c r="R3" i="5"/>
  <c r="B3"/>
  <c r="R3" i="6"/>
  <c r="B3"/>
  <c r="R3" i="7"/>
  <c r="B3"/>
  <c r="B3" i="8"/>
  <c r="R3"/>
  <c r="B3" i="2"/>
  <c r="AB2" i="7" l="1"/>
  <c r="L2"/>
  <c r="AB2" i="1"/>
  <c r="L2"/>
  <c r="AB2" i="2"/>
  <c r="L2"/>
  <c r="AB2" i="3"/>
  <c r="L2"/>
  <c r="AB2" i="4"/>
  <c r="L2"/>
  <c r="AB2" i="5"/>
  <c r="L2"/>
  <c r="AB2" i="6"/>
  <c r="L2"/>
  <c r="AB2" i="8"/>
  <c r="L2"/>
  <c r="H2" i="1"/>
  <c r="AR25" i="16"/>
  <c r="AR24" l="1"/>
  <c r="AA9" i="5" l="1"/>
  <c r="K9" i="4"/>
  <c r="AF1" i="8"/>
  <c r="P1"/>
  <c r="AF1" i="7"/>
  <c r="P1"/>
  <c r="AF1" i="6"/>
  <c r="P1"/>
  <c r="AF1" i="5"/>
  <c r="P1"/>
  <c r="P1" i="4"/>
  <c r="AF1"/>
  <c r="AF1" i="3"/>
  <c r="P1"/>
  <c r="AF1" i="2"/>
  <c r="P1"/>
  <c r="P1" i="1"/>
  <c r="AF1"/>
  <c r="K9" i="2"/>
  <c r="AA9" i="1" l="1"/>
  <c r="E2" i="2"/>
  <c r="K9" i="3"/>
  <c r="K9" i="6"/>
  <c r="K9" i="7"/>
  <c r="K9" i="8"/>
  <c r="E2" i="1"/>
  <c r="AA9" i="2"/>
  <c r="AA9" i="3"/>
  <c r="S14" s="1"/>
  <c r="K9" i="5"/>
  <c r="AA9" i="6"/>
  <c r="AA9" i="7"/>
  <c r="AA9" i="8"/>
  <c r="AA9" i="4"/>
  <c r="Q14" i="7" l="1"/>
  <c r="Q13"/>
  <c r="S8" i="2"/>
  <c r="C9" l="1"/>
  <c r="C13" s="1"/>
  <c r="AR23" i="16"/>
  <c r="AX23" s="1"/>
  <c r="S9" i="1"/>
  <c r="S13" s="1"/>
  <c r="AR19" i="16"/>
  <c r="AX19" s="1"/>
  <c r="K9" i="1"/>
  <c r="K8" i="2"/>
  <c r="AR22" i="16"/>
  <c r="AX22" s="1"/>
  <c r="BC23" s="1"/>
  <c r="BG15" s="1"/>
  <c r="AA8" i="1"/>
  <c r="AA13" s="1"/>
  <c r="S8"/>
  <c r="AA14" s="1"/>
  <c r="AR17" i="16"/>
  <c r="BC18" s="1"/>
  <c r="BG18" s="1"/>
  <c r="AA8" i="8"/>
  <c r="AA13" s="1"/>
  <c r="S8"/>
  <c r="AA14" s="1"/>
  <c r="C9"/>
  <c r="C13" s="1"/>
  <c r="AA8" i="7"/>
  <c r="AA13" s="1"/>
  <c r="S8"/>
  <c r="AA14" s="1"/>
  <c r="C9"/>
  <c r="C13" s="1"/>
  <c r="AA8" i="6"/>
  <c r="AA13" s="1"/>
  <c r="S8"/>
  <c r="AA14" s="1"/>
  <c r="C9"/>
  <c r="C13" s="1"/>
  <c r="AA8" i="5"/>
  <c r="AA13" s="1"/>
  <c r="S8"/>
  <c r="AA14" s="1"/>
  <c r="C9"/>
  <c r="AA8" i="4"/>
  <c r="AA13" s="1"/>
  <c r="S8"/>
  <c r="AA14" s="1"/>
  <c r="C9"/>
  <c r="AR39" i="16"/>
  <c r="AA8" i="3"/>
  <c r="AA13" s="1"/>
  <c r="S8"/>
  <c r="AA14" s="1"/>
  <c r="AR33" i="16"/>
  <c r="C9" i="3"/>
  <c r="AR31" i="16"/>
  <c r="AA8" i="2"/>
  <c r="AA13" s="1"/>
  <c r="S9" i="8"/>
  <c r="S13" s="1"/>
  <c r="K8"/>
  <c r="K13" s="1"/>
  <c r="C8"/>
  <c r="K14" s="1"/>
  <c r="S9" i="7"/>
  <c r="S13" s="1"/>
  <c r="K8"/>
  <c r="K13" s="1"/>
  <c r="C8"/>
  <c r="K14" s="1"/>
  <c r="S9" i="6"/>
  <c r="S13" s="1"/>
  <c r="K8"/>
  <c r="K13" s="1"/>
  <c r="C8"/>
  <c r="K14" s="1"/>
  <c r="S9" i="5"/>
  <c r="S13" s="1"/>
  <c r="K8"/>
  <c r="K13" s="1"/>
  <c r="C8"/>
  <c r="K14" s="1"/>
  <c r="S9" i="4"/>
  <c r="S13" s="1"/>
  <c r="AR43" i="16"/>
  <c r="K8" i="4"/>
  <c r="K13" s="1"/>
  <c r="C8"/>
  <c r="K14" s="1"/>
  <c r="AR37" i="16"/>
  <c r="S9" i="3"/>
  <c r="AR35" i="16"/>
  <c r="K8" i="3"/>
  <c r="K13" s="1"/>
  <c r="C8"/>
  <c r="K14" s="1"/>
  <c r="AR29" i="16"/>
  <c r="S9" i="2"/>
  <c r="S13" s="1"/>
  <c r="AR27" i="16"/>
  <c r="K13" i="2"/>
  <c r="AA14"/>
  <c r="S14"/>
  <c r="C14" i="4"/>
  <c r="S14"/>
  <c r="C14" i="6"/>
  <c r="C14" i="7"/>
  <c r="C14" i="8"/>
  <c r="S14" i="1"/>
  <c r="C14" i="2"/>
  <c r="S14" i="5"/>
  <c r="S14" i="6"/>
  <c r="S14" i="7"/>
  <c r="S14" i="8"/>
  <c r="AF14" i="7"/>
  <c r="AF13"/>
  <c r="AR20" i="16" l="1"/>
  <c r="AR18"/>
  <c r="AX18" s="1"/>
  <c r="BC19" s="1"/>
  <c r="BG43" s="1"/>
  <c r="AR30"/>
  <c r="AR32"/>
  <c r="AR38"/>
  <c r="AR40"/>
  <c r="AR26"/>
  <c r="AR28"/>
  <c r="AR34"/>
  <c r="AR36"/>
  <c r="AR42"/>
  <c r="AR44"/>
  <c r="AR41"/>
  <c r="C13" i="4"/>
  <c r="C14" i="5"/>
  <c r="C13"/>
  <c r="C14" i="3"/>
  <c r="C13"/>
  <c r="S13"/>
  <c r="C8" i="1" l="1"/>
  <c r="K14" s="1"/>
  <c r="AR13" i="16"/>
  <c r="BC14" s="1"/>
  <c r="BG14" s="1"/>
  <c r="C9" i="1"/>
  <c r="C13" s="1"/>
  <c r="AR15" i="16"/>
  <c r="AX15" s="1"/>
  <c r="K8" i="1"/>
  <c r="K13" s="1"/>
  <c r="AC1" i="8"/>
  <c r="Y1"/>
  <c r="AR16" i="16" l="1"/>
  <c r="AR14"/>
  <c r="AX14" s="1"/>
  <c r="BC15" s="1"/>
  <c r="BG39" s="1"/>
  <c r="U1" i="8"/>
  <c r="M1"/>
  <c r="I1"/>
  <c r="E1"/>
  <c r="AC1" i="7" l="1"/>
  <c r="Y1"/>
  <c r="U1"/>
  <c r="M1"/>
  <c r="I1"/>
  <c r="E1"/>
  <c r="AC1" i="6"/>
  <c r="Y1"/>
  <c r="U1"/>
  <c r="M1"/>
  <c r="I1"/>
  <c r="E1"/>
  <c r="AC1" i="5" l="1"/>
  <c r="Y1"/>
  <c r="U1"/>
  <c r="M1"/>
  <c r="I1"/>
  <c r="E1"/>
  <c r="AC1" i="4" l="1"/>
  <c r="Y1"/>
  <c r="U1"/>
  <c r="M1"/>
  <c r="I1"/>
  <c r="E1"/>
  <c r="AC1" i="3" l="1"/>
  <c r="Y1"/>
  <c r="U1"/>
  <c r="M1"/>
  <c r="I1"/>
  <c r="E1"/>
  <c r="AC1" i="2" l="1"/>
  <c r="Y1"/>
  <c r="U1"/>
  <c r="M1"/>
  <c r="I1"/>
  <c r="E1"/>
  <c r="AF14" i="1" l="1"/>
  <c r="AF13" l="1"/>
  <c r="C14" l="1"/>
  <c r="AC1" l="1"/>
  <c r="Y1"/>
  <c r="U1"/>
  <c r="M1"/>
  <c r="I1"/>
  <c r="E1"/>
  <c r="X2" i="8" l="1"/>
  <c r="H2"/>
  <c r="X2" i="7"/>
  <c r="H2"/>
  <c r="X2" i="6"/>
  <c r="H2"/>
  <c r="H2" i="5"/>
  <c r="X2" i="4"/>
  <c r="H2"/>
  <c r="X2" i="3"/>
  <c r="H2"/>
  <c r="X2" i="2"/>
  <c r="H2"/>
  <c r="X2" i="1" l="1"/>
  <c r="U2" i="8"/>
  <c r="E2"/>
  <c r="E2" i="7"/>
  <c r="BM16" i="16" l="1"/>
  <c r="BS17" s="1"/>
  <c r="CN8"/>
  <c r="U2" i="4"/>
  <c r="AA7" s="1"/>
  <c r="U2" i="5"/>
  <c r="V3" s="1"/>
  <c r="V23" s="1"/>
  <c r="U2" i="6"/>
  <c r="AA7" s="1"/>
  <c r="U2" i="7"/>
  <c r="AA7" s="1"/>
  <c r="E2" i="5"/>
  <c r="F3" s="1"/>
  <c r="F23" s="1"/>
  <c r="E2" i="6"/>
  <c r="K7" s="1"/>
  <c r="AA7" i="8"/>
  <c r="K7" i="7"/>
  <c r="K7" i="8"/>
  <c r="V3"/>
  <c r="V23" s="1"/>
  <c r="F3"/>
  <c r="F23" s="1"/>
  <c r="F3" i="7"/>
  <c r="F23" s="1"/>
  <c r="BR8" i="16" l="1"/>
  <c r="BC42"/>
  <c r="AX42"/>
  <c r="AX43"/>
  <c r="K7" i="5"/>
  <c r="AA7"/>
  <c r="F3" i="6"/>
  <c r="F23" s="1"/>
  <c r="V3" i="7"/>
  <c r="V23" s="1"/>
  <c r="V3" i="6"/>
  <c r="V23" s="1"/>
  <c r="V3" i="4"/>
  <c r="V23" s="1"/>
  <c r="E2"/>
  <c r="F3" s="1"/>
  <c r="F23" s="1"/>
  <c r="U2" i="3"/>
  <c r="AA7" s="1"/>
  <c r="F21" i="5"/>
  <c r="G17"/>
  <c r="G18"/>
  <c r="F21" i="7"/>
  <c r="G17"/>
  <c r="G18"/>
  <c r="V21" i="5"/>
  <c r="W17"/>
  <c r="W18"/>
  <c r="G18" i="8"/>
  <c r="F21"/>
  <c r="G17"/>
  <c r="W18"/>
  <c r="W17"/>
  <c r="V21"/>
  <c r="BC43" i="16" l="1"/>
  <c r="AX31"/>
  <c r="BC30"/>
  <c r="BG30" s="1"/>
  <c r="AX30"/>
  <c r="BC31" s="1"/>
  <c r="BG23" s="1"/>
  <c r="BC38"/>
  <c r="BG38" s="1"/>
  <c r="AX38"/>
  <c r="BC39" s="1"/>
  <c r="BG31" s="1"/>
  <c r="AX39"/>
  <c r="F21" i="6"/>
  <c r="W18"/>
  <c r="G18"/>
  <c r="K7" i="4"/>
  <c r="V21" i="6"/>
  <c r="G17"/>
  <c r="F22" s="1"/>
  <c r="W18" i="7"/>
  <c r="V21"/>
  <c r="W17"/>
  <c r="W17" i="4"/>
  <c r="V22" s="1"/>
  <c r="W18"/>
  <c r="V21"/>
  <c r="W17" i="6"/>
  <c r="V22" s="1"/>
  <c r="V3" i="3"/>
  <c r="V23" s="1"/>
  <c r="E2"/>
  <c r="K7" s="1"/>
  <c r="V22" i="7"/>
  <c r="F22" i="8"/>
  <c r="F22" i="7"/>
  <c r="F22" i="5"/>
  <c r="V22"/>
  <c r="F21" i="4"/>
  <c r="G17"/>
  <c r="G18"/>
  <c r="V22" i="8"/>
  <c r="U2" i="1"/>
  <c r="V21" i="3" l="1"/>
  <c r="W17"/>
  <c r="V22" s="1"/>
  <c r="W18"/>
  <c r="F3"/>
  <c r="F23" s="1"/>
  <c r="U2" i="2"/>
  <c r="AA7" s="1"/>
  <c r="F22" i="4"/>
  <c r="AA7" i="1"/>
  <c r="K7" i="2"/>
  <c r="F3"/>
  <c r="F23" s="1"/>
  <c r="BM32" i="16" l="1"/>
  <c r="BC26"/>
  <c r="BG26" s="1"/>
  <c r="AX27"/>
  <c r="AX26"/>
  <c r="BC27" s="1"/>
  <c r="G17" i="3"/>
  <c r="F22" s="1"/>
  <c r="G18"/>
  <c r="F21"/>
  <c r="V3" i="2"/>
  <c r="V23" s="1"/>
  <c r="C28"/>
  <c r="G17"/>
  <c r="G18"/>
  <c r="F3" i="1"/>
  <c r="F23" s="1"/>
  <c r="V3"/>
  <c r="V23" s="1"/>
  <c r="K7"/>
  <c r="BG19" i="16" l="1"/>
  <c r="BM17" s="1"/>
  <c r="BG35"/>
  <c r="BS34"/>
  <c r="BW34" s="1"/>
  <c r="V21" i="2"/>
  <c r="F22"/>
  <c r="G17" i="1"/>
  <c r="F21"/>
  <c r="W17"/>
  <c r="W18"/>
  <c r="G18"/>
  <c r="V21"/>
  <c r="W18" i="2"/>
  <c r="W17"/>
  <c r="X1" i="8"/>
  <c r="H1"/>
  <c r="X1" i="7"/>
  <c r="H1" i="6"/>
  <c r="H1" i="7"/>
  <c r="X1" i="6"/>
  <c r="H1" i="5"/>
  <c r="X1"/>
  <c r="X1" i="4"/>
  <c r="H1"/>
  <c r="X1" i="3"/>
  <c r="H1"/>
  <c r="X1" i="2"/>
  <c r="H1"/>
  <c r="X1" i="1"/>
  <c r="H1"/>
  <c r="F22" l="1"/>
  <c r="V22" i="2"/>
  <c r="V22" i="1" l="1"/>
  <c r="C8" i="2" l="1"/>
  <c r="AR21" i="16"/>
  <c r="BC22" s="1"/>
  <c r="BG22" s="1"/>
  <c r="K14" i="2"/>
  <c r="F21" l="1"/>
  <c r="BM24" i="16" l="1"/>
  <c r="BS18" s="1"/>
  <c r="BY26" s="1"/>
  <c r="CC25" s="1"/>
  <c r="CF23" s="1"/>
  <c r="BY19"/>
  <c r="BY34" l="1"/>
  <c r="CC34" l="1"/>
  <c r="CF25" s="1"/>
  <c r="CC19"/>
  <c r="CF21" s="1"/>
  <c r="BC34" l="1"/>
  <c r="BG34" s="1"/>
  <c r="AX34"/>
  <c r="BC35" s="1"/>
  <c r="BG42" s="1"/>
  <c r="AX35"/>
  <c r="BM41" l="1"/>
  <c r="BG27"/>
  <c r="BM25" s="1"/>
  <c r="BS35" s="1"/>
  <c r="BW35" s="1"/>
  <c r="BY40" s="1"/>
  <c r="CC40" s="1"/>
  <c r="CF27" s="1"/>
  <c r="BM33"/>
  <c r="BM40"/>
  <c r="BS41" s="1"/>
  <c r="BS22" l="1"/>
  <c r="BY20" s="1"/>
  <c r="CC20" s="1"/>
  <c r="CF22" s="1"/>
  <c r="BS40"/>
  <c r="BW40" s="1"/>
  <c r="BY35" s="1"/>
  <c r="CC35" s="1"/>
  <c r="CF26" s="1"/>
  <c r="BS23"/>
  <c r="BY27" s="1"/>
  <c r="CC26" s="1"/>
  <c r="CF24" s="1"/>
  <c r="BW41"/>
  <c r="BY41" s="1"/>
  <c r="CC41" s="1"/>
  <c r="CF28" s="1"/>
</calcChain>
</file>

<file path=xl/sharedStrings.xml><?xml version="1.0" encoding="utf-8"?>
<sst xmlns="http://schemas.openxmlformats.org/spreadsheetml/2006/main" count="697" uniqueCount="182">
  <si>
    <t>Score</t>
  </si>
  <si>
    <t>Jeu</t>
  </si>
  <si>
    <t>1/8èmes de Finale</t>
  </si>
  <si>
    <t>1/4 de Finale</t>
  </si>
  <si>
    <t>1/2 Finale</t>
  </si>
  <si>
    <t>Repêchage</t>
  </si>
  <si>
    <t xml:space="preserve"> Finale</t>
  </si>
  <si>
    <t>1/16èmes de Finale</t>
  </si>
  <si>
    <t>A</t>
  </si>
  <si>
    <t>B</t>
  </si>
  <si>
    <t>Poule 3</t>
  </si>
  <si>
    <t>Poule 4</t>
  </si>
  <si>
    <t>Equipes</t>
  </si>
  <si>
    <t>Qualifiés</t>
  </si>
  <si>
    <t>Type</t>
  </si>
  <si>
    <t>Division(s)</t>
  </si>
  <si>
    <t>Nombre d'équipes participantes</t>
  </si>
  <si>
    <t>Année</t>
  </si>
  <si>
    <t>Poule 1</t>
  </si>
  <si>
    <t>Poule 2</t>
  </si>
  <si>
    <t>Poule 5</t>
  </si>
  <si>
    <t>Poule 6</t>
  </si>
  <si>
    <t>Poule 7</t>
  </si>
  <si>
    <t>Poule 8</t>
  </si>
  <si>
    <t>Poule 9</t>
  </si>
  <si>
    <t>Poule 10</t>
  </si>
  <si>
    <t>Poule 11</t>
  </si>
  <si>
    <t>Poule 12</t>
  </si>
  <si>
    <t>Poule 13</t>
  </si>
  <si>
    <t>Poule 14</t>
  </si>
  <si>
    <t>Poule 15</t>
  </si>
  <si>
    <t>Poule 16</t>
  </si>
  <si>
    <t>P1</t>
  </si>
  <si>
    <t>P2</t>
  </si>
  <si>
    <t>P3</t>
  </si>
  <si>
    <t>P4</t>
  </si>
  <si>
    <t>P5</t>
  </si>
  <si>
    <t>P6</t>
  </si>
  <si>
    <t>P7</t>
  </si>
  <si>
    <t>P8</t>
  </si>
  <si>
    <t>D</t>
  </si>
  <si>
    <t>E</t>
  </si>
  <si>
    <t>1ère PARTIE</t>
  </si>
  <si>
    <t>2ème PARTIE</t>
  </si>
  <si>
    <t>C</t>
  </si>
  <si>
    <t>F</t>
  </si>
  <si>
    <t>G</t>
  </si>
  <si>
    <t>H</t>
  </si>
  <si>
    <t>K</t>
  </si>
  <si>
    <t>L</t>
  </si>
  <si>
    <t>M</t>
  </si>
  <si>
    <t>N</t>
  </si>
  <si>
    <t>P</t>
  </si>
  <si>
    <t>R</t>
  </si>
  <si>
    <t>S</t>
  </si>
  <si>
    <t>T</t>
  </si>
  <si>
    <t>TIRAGE</t>
  </si>
  <si>
    <t>NOMS</t>
  </si>
  <si>
    <t>AS</t>
  </si>
  <si>
    <t xml:space="preserve">Nombre d'équipes qualifiées </t>
  </si>
  <si>
    <t>Classement</t>
  </si>
  <si>
    <t>Gagnants</t>
  </si>
  <si>
    <t>Perdants</t>
  </si>
  <si>
    <t>4 Div.</t>
  </si>
  <si>
    <t>Vérouillage: AB</t>
  </si>
  <si>
    <t>Nb équ. par poule</t>
  </si>
  <si>
    <t xml:space="preserve">FEDERAL  DE </t>
  </si>
  <si>
    <t>jeux</t>
  </si>
  <si>
    <t xml:space="preserve"> Quadrettes</t>
  </si>
  <si>
    <t>Poules</t>
  </si>
  <si>
    <t>.</t>
  </si>
  <si>
    <t>Nb de qualifiés Poules</t>
  </si>
  <si>
    <t>TIRAGE 32 EQ.</t>
  </si>
  <si>
    <t>Code verrouillage AB</t>
  </si>
  <si>
    <t>Enregistrer les résultats le déroulement de la poule se fait automatiquement et les équipes s'affichent</t>
  </si>
  <si>
    <t xml:space="preserve">Effectuer le tirage en notant les numéros colonne AA les noms des équipes s'affichent dans le tableau </t>
  </si>
  <si>
    <t>7 à 32 jeux</t>
  </si>
  <si>
    <t>Nbre équipes par poule'=SI(OU(ET($J$10&gt;0;$J$10&lt;0));0;SI(OU(ET($J$10&gt;0;$J$10&lt;0));0;SI(OU(ET($J$10&gt;0;$J$10&lt;0));0;0)))</t>
  </si>
  <si>
    <t>N° des jeux=SI(OU(ET($J$10&gt;170;$J$10&lt;180));6;SI(OU(ET($J$10&gt;180;$J$10&lt;650));7;SI(OU(SI($J$10&gt;270;$J$10&lt;650));0;0)))</t>
  </si>
  <si>
    <t xml:space="preserve">Nbre éq. </t>
  </si>
  <si>
    <t xml:space="preserve">1er </t>
  </si>
  <si>
    <t xml:space="preserve">2ème </t>
  </si>
  <si>
    <t xml:space="preserve">3ème </t>
  </si>
  <si>
    <t>Nbre éq.</t>
  </si>
  <si>
    <t xml:space="preserve">FEDERAL DE </t>
  </si>
  <si>
    <t>3ème et 4ème place</t>
  </si>
  <si>
    <t>5ème  et  6ème  place</t>
  </si>
  <si>
    <t>7ème et 8ème place</t>
  </si>
  <si>
    <t>Barrages</t>
  </si>
  <si>
    <t>poules</t>
  </si>
  <si>
    <t>NOM</t>
  </si>
  <si>
    <t>score</t>
  </si>
  <si>
    <t>Jeux</t>
  </si>
  <si>
    <t>1/4  de Finale</t>
  </si>
  <si>
    <t>1/2  Finale</t>
  </si>
  <si>
    <t>FINALE</t>
  </si>
  <si>
    <t>=SI(OU(ET(B3&gt;0;B3&lt;0));5;SI(OU(ET(B3&gt;0;R3&lt;0));0;0))</t>
  </si>
  <si>
    <t>=SI(OU(ET(R3&gt;0;R3&lt;0));6;SI(OU(ET(R3&gt;0;R3&lt;0));0;0))</t>
  </si>
  <si>
    <r>
      <t xml:space="preserve"> </t>
    </r>
    <r>
      <rPr>
        <u/>
        <sz val="14"/>
        <color theme="1"/>
        <rFont val="Times New Roman"/>
        <family val="1"/>
      </rPr>
      <t>Remarque</t>
    </r>
    <r>
      <rPr>
        <sz val="14"/>
        <color theme="1"/>
        <rFont val="Times New Roman"/>
        <family val="1"/>
      </rPr>
      <t>: Phase 2, les perdants de la Phase 1 sont sur la gauche de l'écran et les gagnants sur la droite</t>
    </r>
  </si>
  <si>
    <t>'=SI(OU(ET(R3&gt;170;R3&lt;176));9;SI(OU(ET(B3=173));" ";SI(ET(B3=176));" ";SI(OU(ET(R3&gt;0;R3&lt;0));0;0)))</t>
  </si>
  <si>
    <t>'=SI(OU(ET(B3&gt;170;B3&lt;176));7;SI(OU(ET(B3=173));" ";SI(ET((B3=176));" ";SI(OU(ET(B3&gt;0;B3&lt;0));0;0))))</t>
  </si>
  <si>
    <t>Barrage</t>
  </si>
  <si>
    <t>;ET(J10&gt;0;J10&lt;0);ET(J10&gt;0;J10&lt;0);ET(J10&gt;0;J10&lt;0);ET(J10&gt;0;J10&lt;0);ET(J10&gt;0;J10&lt;0);ET(J10&gt;0;J10&lt;0);ET(J10&gt;0;J10&lt;0)</t>
  </si>
  <si>
    <t>'=SI(F3+G3=0;" ";SI($F$3+$G$3=43;SI($G$13=$G$14;"résultat";SI($G$13&gt;$G$14;$C$13;$C$14));(SI($F$3+$G$3=42;"&amp;";(SI($F$3+$G$3=32;"&amp;"))))))</t>
  </si>
  <si>
    <t>A1-Bernard</t>
  </si>
  <si>
    <t>B1-Albert</t>
  </si>
  <si>
    <t>C1-Jean Claude</t>
  </si>
  <si>
    <t>D1-Alain</t>
  </si>
  <si>
    <t>A2-Josiane</t>
  </si>
  <si>
    <t>C2-Robert</t>
  </si>
  <si>
    <t>D2-Michel</t>
  </si>
  <si>
    <t>A3-Jean</t>
  </si>
  <si>
    <t>B3-Paulette</t>
  </si>
  <si>
    <t>C3-Rolland</t>
  </si>
  <si>
    <t>D3-Eliette</t>
  </si>
  <si>
    <t>A4-Camille</t>
  </si>
  <si>
    <t>B4-Gisèle</t>
  </si>
  <si>
    <t>C4-Jean Louis</t>
  </si>
  <si>
    <t>D4-Jeanine</t>
  </si>
  <si>
    <t>A5-Gilbert</t>
  </si>
  <si>
    <t>B5-Pierre</t>
  </si>
  <si>
    <t>C5-Manuel</t>
  </si>
  <si>
    <t>A6-Raymond</t>
  </si>
  <si>
    <t>B6-Claudette</t>
  </si>
  <si>
    <t>C6-Christian</t>
  </si>
  <si>
    <t>D6-André</t>
  </si>
  <si>
    <t>A7-Guy</t>
  </si>
  <si>
    <t>B7-Dominique</t>
  </si>
  <si>
    <t>C7-Edmond</t>
  </si>
  <si>
    <t>D7-Marc</t>
  </si>
  <si>
    <t>A8-Simone</t>
  </si>
  <si>
    <t>B8-Thierry</t>
  </si>
  <si>
    <t>D8-Francis</t>
  </si>
  <si>
    <t>B2-Gérard</t>
  </si>
  <si>
    <t>3ème place</t>
  </si>
  <si>
    <t>Repéchâge</t>
  </si>
  <si>
    <t>Equipes Qualifiées au CH. De FR.</t>
  </si>
  <si>
    <t>C8-Auguste</t>
  </si>
  <si>
    <t>1/8 ème de Finale</t>
  </si>
  <si>
    <t>Date</t>
  </si>
  <si>
    <t>M8</t>
  </si>
  <si>
    <t>K8</t>
  </si>
  <si>
    <t>G8</t>
  </si>
  <si>
    <t>'=SI(OU(G8&gt;32;G8&lt;8);"OFFICE";SI(ET(M9&gt;16;AW14=AW15);"Gagnant 1/16 A";SI(ET(G8&gt;16;AW14&gt;AW15);AT14;SI(ET(G8&gt;16;AW14&lt;AW15);AT15;SI(ET(K8&gt;170;K8&lt;300);AF13)))))</t>
  </si>
  <si>
    <t>D5-Mauice</t>
  </si>
  <si>
    <t>'=SI(OU(ET(BM8=18));14;SI(OU(ET(BM8=20));12;SI(OU(ET(BM8=22));10;SI(OU(ET(BM8=24));8;SI(OU(ET(BM8=26));6;SI(OU(ET(BM8=28));4;SI(OU(ET(BM8=30));2;0)))))))</t>
  </si>
  <si>
    <t>de 17 à 32 Equipes</t>
  </si>
  <si>
    <t>1 à 32</t>
  </si>
  <si>
    <t>FEDERAL</t>
  </si>
  <si>
    <t>Cellule Jaune et cellule bleue Avec le curseur afficher le nombre d'équipes engagées cellule G10</t>
  </si>
  <si>
    <t>et le nombre d'équipes qualifiées cellule G11</t>
  </si>
  <si>
    <t xml:space="preserve"> jusqu'à la finale et vous obtenez les qualifiés</t>
  </si>
  <si>
    <t>Les qualifiés aux concours qualificatifs entrent dans les 1/16èmes</t>
  </si>
  <si>
    <t>Nb équ. Engagées</t>
  </si>
  <si>
    <t xml:space="preserve"> colonne AG ainsi que dans la colonne AL  poule 1 à 8</t>
  </si>
  <si>
    <t>Catégorie</t>
  </si>
  <si>
    <t>Masculin</t>
  </si>
  <si>
    <t>Féminine</t>
  </si>
  <si>
    <t>Jeunes</t>
  </si>
  <si>
    <t>Série</t>
  </si>
  <si>
    <t>M1</t>
  </si>
  <si>
    <t>F1</t>
  </si>
  <si>
    <t>G-18</t>
  </si>
  <si>
    <t>Quadrette</t>
  </si>
  <si>
    <t>M2</t>
  </si>
  <si>
    <t>F2</t>
  </si>
  <si>
    <t>F-18</t>
  </si>
  <si>
    <t>Triple</t>
  </si>
  <si>
    <t>M3</t>
  </si>
  <si>
    <t>F3</t>
  </si>
  <si>
    <t>G-15</t>
  </si>
  <si>
    <t>Double</t>
  </si>
  <si>
    <t>M4</t>
  </si>
  <si>
    <t>F4</t>
  </si>
  <si>
    <t>F-15</t>
  </si>
  <si>
    <t>Simple</t>
  </si>
  <si>
    <t>F3/F4</t>
  </si>
  <si>
    <t>F1/F2</t>
  </si>
  <si>
    <t>M3/M4</t>
  </si>
  <si>
    <t>Lieu:</t>
  </si>
  <si>
    <t xml:space="preserve">Nbre EQ. Q. </t>
  </si>
  <si>
    <t>Nbre OFFICE</t>
  </si>
</sst>
</file>

<file path=xl/styles.xml><?xml version="1.0" encoding="utf-8"?>
<styleSheet xmlns="http://schemas.openxmlformats.org/spreadsheetml/2006/main">
  <numFmts count="1">
    <numFmt numFmtId="164" formatCode="[$-40C]d\-mmm;@"/>
  </numFmts>
  <fonts count="64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1"/>
      <name val="Times New Roman"/>
      <family val="1"/>
    </font>
    <font>
      <sz val="26"/>
      <color theme="1"/>
      <name val="Times New Roman"/>
      <family val="1"/>
    </font>
    <font>
      <sz val="26"/>
      <color rgb="FF0070C0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18"/>
      <color rgb="FFFF0000"/>
      <name val="Times New Roman"/>
      <family val="1"/>
    </font>
    <font>
      <b/>
      <sz val="16"/>
      <color rgb="FFFF0000"/>
      <name val="Times New Roman"/>
      <family val="1"/>
    </font>
    <font>
      <u/>
      <sz val="8.8000000000000007"/>
      <color theme="10"/>
      <name val="Calibri"/>
      <family val="2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00B0F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6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rgb="FFFF0000"/>
      <name val="Times New Roman"/>
      <family val="1"/>
    </font>
    <font>
      <sz val="18"/>
      <color theme="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sz val="20"/>
      <color theme="1"/>
      <name val="Times New Roman"/>
      <family val="1"/>
    </font>
    <font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rgb="FFFF0000"/>
      <name val="Times New Roman"/>
      <family val="1"/>
    </font>
    <font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sz val="26"/>
      <color theme="0"/>
      <name val="Times New Roman"/>
      <family val="1"/>
    </font>
    <font>
      <sz val="18"/>
      <color rgb="FFFF0000"/>
      <name val="Calibri"/>
      <family val="2"/>
      <scheme val="minor"/>
    </font>
    <font>
      <b/>
      <sz val="22"/>
      <color rgb="FFFF0000"/>
      <name val="Times New Roman"/>
      <family val="1"/>
    </font>
    <font>
      <sz val="20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A90ED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73F42C"/>
        <bgColor indexed="64"/>
      </patternFill>
    </fill>
    <fill>
      <patternFill patternType="solid">
        <fgColor rgb="FF9A9CFC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DBBF8"/>
        <bgColor indexed="64"/>
      </patternFill>
    </fill>
    <fill>
      <patternFill patternType="solid">
        <fgColor rgb="FFF9A967"/>
        <bgColor indexed="64"/>
      </patternFill>
    </fill>
    <fill>
      <patternFill patternType="solid">
        <fgColor rgb="FF29A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8EF4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/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medium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8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medium">
        <color indexed="64"/>
      </right>
      <top/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thin">
        <color indexed="8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rgb="FFFF0000"/>
      </top>
      <bottom style="thin">
        <color indexed="8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rgb="FFFF0000"/>
      </top>
      <bottom/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6" fillId="0" borderId="0"/>
  </cellStyleXfs>
  <cellXfs count="923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/>
    <xf numFmtId="0" fontId="9" fillId="0" borderId="0" xfId="0" applyFont="1" applyProtection="1"/>
    <xf numFmtId="0" fontId="9" fillId="0" borderId="0" xfId="0" applyFont="1" applyFill="1" applyBorder="1"/>
    <xf numFmtId="0" fontId="9" fillId="0" borderId="0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8" fillId="3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0" xfId="0" applyFont="1"/>
    <xf numFmtId="0" fontId="9" fillId="0" borderId="12" xfId="0" applyFont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protection locked="0"/>
    </xf>
    <xf numFmtId="0" fontId="9" fillId="3" borderId="11" xfId="0" applyFont="1" applyFill="1" applyBorder="1" applyAlignment="1" applyProtection="1">
      <alignment horizontal="center"/>
    </xf>
    <xf numFmtId="0" fontId="18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9" fillId="0" borderId="17" xfId="0" applyFont="1" applyBorder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/>
    <xf numFmtId="0" fontId="7" fillId="0" borderId="0" xfId="0" applyFont="1" applyAlignment="1" applyProtection="1">
      <alignment vertical="center"/>
      <protection locked="0"/>
    </xf>
    <xf numFmtId="0" fontId="9" fillId="0" borderId="14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/>
    </xf>
    <xf numFmtId="0" fontId="9" fillId="0" borderId="12" xfId="0" applyFont="1" applyBorder="1" applyProtection="1"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0" borderId="20" xfId="0" applyFont="1" applyBorder="1" applyProtection="1">
      <protection locked="0"/>
    </xf>
    <xf numFmtId="0" fontId="9" fillId="0" borderId="0" xfId="0" quotePrefix="1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16" xfId="0" applyFont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1" fillId="0" borderId="0" xfId="1" quotePrefix="1" applyAlignment="1" applyProtection="1">
      <alignment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>
      <protection locked="0"/>
    </xf>
    <xf numFmtId="0" fontId="6" fillId="0" borderId="0" xfId="0" applyFont="1" applyProtection="1"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8" fillId="8" borderId="19" xfId="0" applyFont="1" applyFill="1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13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/>
    <xf numFmtId="0" fontId="9" fillId="0" borderId="20" xfId="0" applyFont="1" applyBorder="1"/>
    <xf numFmtId="0" fontId="9" fillId="0" borderId="20" xfId="0" applyFont="1" applyFill="1" applyBorder="1" applyProtection="1">
      <protection locked="0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6" fillId="0" borderId="12" xfId="0" applyFont="1" applyBorder="1" applyProtection="1"/>
    <xf numFmtId="0" fontId="6" fillId="0" borderId="0" xfId="0" applyFont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Border="1" applyProtection="1">
      <protection locked="0"/>
    </xf>
    <xf numFmtId="0" fontId="5" fillId="0" borderId="20" xfId="0" applyFont="1" applyFill="1" applyBorder="1" applyAlignment="1" applyProtection="1">
      <alignment horizontal="center"/>
    </xf>
    <xf numFmtId="0" fontId="26" fillId="0" borderId="20" xfId="0" applyFont="1" applyBorder="1"/>
    <xf numFmtId="0" fontId="6" fillId="0" borderId="12" xfId="0" applyFont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24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right"/>
    </xf>
    <xf numFmtId="0" fontId="24" fillId="0" borderId="0" xfId="0" applyFont="1" applyProtection="1"/>
    <xf numFmtId="0" fontId="6" fillId="0" borderId="11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</xf>
    <xf numFmtId="0" fontId="6" fillId="0" borderId="20" xfId="0" applyFont="1" applyBorder="1" applyProtection="1"/>
    <xf numFmtId="0" fontId="6" fillId="0" borderId="0" xfId="0" applyFont="1" applyFill="1" applyBorder="1" applyProtection="1"/>
    <xf numFmtId="0" fontId="6" fillId="0" borderId="12" xfId="0" applyFont="1" applyBorder="1" applyAlignment="1" applyProtection="1">
      <alignment horizontal="center"/>
      <protection locked="0"/>
    </xf>
    <xf numFmtId="0" fontId="6" fillId="0" borderId="20" xfId="0" applyFont="1" applyBorder="1"/>
    <xf numFmtId="0" fontId="6" fillId="0" borderId="20" xfId="0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Border="1"/>
    <xf numFmtId="0" fontId="6" fillId="0" borderId="20" xfId="0" applyFont="1" applyFill="1" applyBorder="1" applyProtection="1">
      <protection locked="0"/>
    </xf>
    <xf numFmtId="0" fontId="6" fillId="0" borderId="0" xfId="0" quotePrefix="1" applyFont="1" applyBorder="1" applyProtection="1"/>
    <xf numFmtId="0" fontId="3" fillId="0" borderId="29" xfId="0" applyFont="1" applyBorder="1" applyAlignment="1" applyProtection="1">
      <alignment horizontal="center" vertical="center"/>
    </xf>
    <xf numFmtId="0" fontId="26" fillId="0" borderId="0" xfId="0" applyFont="1"/>
    <xf numFmtId="0" fontId="26" fillId="0" borderId="12" xfId="0" applyFont="1" applyBorder="1"/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6" fillId="0" borderId="0" xfId="0" applyFont="1" applyBorder="1"/>
    <xf numFmtId="0" fontId="6" fillId="0" borderId="16" xfId="0" applyFont="1" applyBorder="1" applyProtection="1"/>
    <xf numFmtId="0" fontId="6" fillId="0" borderId="17" xfId="0" applyFont="1" applyBorder="1"/>
    <xf numFmtId="0" fontId="26" fillId="0" borderId="17" xfId="0" applyFont="1" applyBorder="1"/>
    <xf numFmtId="0" fontId="6" fillId="0" borderId="17" xfId="0" applyFont="1" applyBorder="1" applyProtection="1"/>
    <xf numFmtId="0" fontId="6" fillId="0" borderId="18" xfId="0" applyFont="1" applyBorder="1" applyProtection="1"/>
    <xf numFmtId="0" fontId="6" fillId="0" borderId="17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12" xfId="0" applyFont="1" applyBorder="1" applyProtection="1"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0" borderId="20" xfId="0" applyFont="1" applyBorder="1" applyProtection="1"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4" fillId="0" borderId="0" xfId="0" quotePrefix="1" applyFont="1" applyBorder="1" applyProtection="1">
      <protection locked="0"/>
    </xf>
    <xf numFmtId="0" fontId="27" fillId="0" borderId="0" xfId="0" applyFont="1" applyBorder="1" applyProtection="1">
      <protection locked="0"/>
    </xf>
    <xf numFmtId="0" fontId="6" fillId="0" borderId="0" xfId="0" quotePrefix="1" applyFont="1" applyBorder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16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6" fillId="0" borderId="12" xfId="0" applyFont="1" applyBorder="1"/>
    <xf numFmtId="0" fontId="6" fillId="0" borderId="0" xfId="0" applyFont="1"/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Protection="1"/>
    <xf numFmtId="0" fontId="6" fillId="0" borderId="0" xfId="0" applyFont="1" applyBorder="1" applyAlignment="1" applyProtection="1">
      <alignment wrapText="1"/>
    </xf>
    <xf numFmtId="0" fontId="6" fillId="0" borderId="20" xfId="0" applyFont="1" applyBorder="1" applyAlignment="1">
      <alignment vertical="center"/>
    </xf>
    <xf numFmtId="0" fontId="6" fillId="0" borderId="13" xfId="0" applyFont="1" applyBorder="1" applyProtection="1"/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9" fillId="0" borderId="13" xfId="0" applyFont="1" applyBorder="1" applyProtection="1"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 vertical="center"/>
    </xf>
    <xf numFmtId="0" fontId="8" fillId="0" borderId="8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6" fillId="0" borderId="14" xfId="0" applyFont="1" applyBorder="1" applyProtection="1">
      <protection locked="0"/>
    </xf>
    <xf numFmtId="0" fontId="5" fillId="0" borderId="15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right"/>
    </xf>
    <xf numFmtId="0" fontId="24" fillId="0" borderId="0" xfId="0" applyFont="1" applyBorder="1" applyAlignment="1" applyProtection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/>
    </xf>
    <xf numFmtId="0" fontId="29" fillId="0" borderId="19" xfId="0" applyFont="1" applyFill="1" applyBorder="1" applyAlignment="1" applyProtection="1">
      <alignment horizontal="center"/>
      <protection locked="0"/>
    </xf>
    <xf numFmtId="0" fontId="29" fillId="0" borderId="1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36" xfId="0" quotePrefix="1" applyFont="1" applyBorder="1" applyAlignment="1" applyProtection="1">
      <alignment horizontal="center" vertical="center" wrapText="1"/>
    </xf>
    <xf numFmtId="0" fontId="31" fillId="0" borderId="50" xfId="0" applyFont="1" applyBorder="1" applyAlignment="1" applyProtection="1">
      <alignment horizontal="center" vertical="center" wrapText="1"/>
      <protection locked="0"/>
    </xf>
    <xf numFmtId="0" fontId="35" fillId="17" borderId="22" xfId="0" applyFont="1" applyFill="1" applyBorder="1" applyAlignment="1" applyProtection="1">
      <alignment horizontal="center" vertical="center" wrapText="1"/>
      <protection locked="0"/>
    </xf>
    <xf numFmtId="0" fontId="31" fillId="0" borderId="51" xfId="2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wrapText="1"/>
      <protection locked="0"/>
    </xf>
    <xf numFmtId="0" fontId="31" fillId="0" borderId="0" xfId="0" applyFont="1" applyProtection="1">
      <protection locked="0"/>
    </xf>
    <xf numFmtId="0" fontId="31" fillId="0" borderId="38" xfId="0" applyFont="1" applyBorder="1" applyAlignment="1" applyProtection="1">
      <alignment horizontal="center" vertical="center" wrapText="1"/>
    </xf>
    <xf numFmtId="0" fontId="35" fillId="17" borderId="24" xfId="0" applyFont="1" applyFill="1" applyBorder="1" applyAlignment="1" applyProtection="1">
      <alignment horizontal="center" vertical="center" wrapText="1"/>
      <protection locked="0"/>
    </xf>
    <xf numFmtId="0" fontId="31" fillId="0" borderId="52" xfId="2" applyFont="1" applyBorder="1" applyAlignment="1" applyProtection="1">
      <alignment horizontal="center" vertical="center" wrapText="1"/>
    </xf>
    <xf numFmtId="0" fontId="2" fillId="15" borderId="13" xfId="0" applyFont="1" applyFill="1" applyBorder="1" applyAlignment="1" applyProtection="1">
      <alignment horizontal="center" vertical="center" wrapText="1"/>
      <protection locked="0"/>
    </xf>
    <xf numFmtId="0" fontId="35" fillId="9" borderId="22" xfId="0" applyFont="1" applyFill="1" applyBorder="1" applyAlignment="1" applyProtection="1">
      <alignment horizontal="center" vertical="center" wrapText="1"/>
      <protection locked="0"/>
    </xf>
    <xf numFmtId="0" fontId="31" fillId="0" borderId="51" xfId="2" applyFont="1" applyBorder="1" applyAlignment="1" applyProtection="1">
      <alignment horizontal="center" vertical="center" wrapText="1"/>
    </xf>
    <xf numFmtId="0" fontId="2" fillId="15" borderId="16" xfId="0" applyFont="1" applyFill="1" applyBorder="1" applyAlignment="1" applyProtection="1">
      <alignment horizontal="center" vertical="center" wrapText="1"/>
      <protection locked="0"/>
    </xf>
    <xf numFmtId="0" fontId="31" fillId="0" borderId="53" xfId="0" applyFont="1" applyBorder="1" applyAlignment="1" applyProtection="1">
      <alignment horizontal="center" vertical="center" wrapText="1"/>
      <protection locked="0"/>
    </xf>
    <xf numFmtId="0" fontId="31" fillId="0" borderId="55" xfId="0" applyFont="1" applyBorder="1" applyAlignment="1" applyProtection="1">
      <alignment horizontal="center" vertical="center" wrapText="1"/>
    </xf>
    <xf numFmtId="0" fontId="35" fillId="9" borderId="55" xfId="0" applyFont="1" applyFill="1" applyBorder="1" applyAlignment="1" applyProtection="1">
      <alignment horizontal="center" vertical="center" wrapText="1"/>
      <protection locked="0"/>
    </xf>
    <xf numFmtId="0" fontId="31" fillId="0" borderId="57" xfId="2" applyFont="1" applyBorder="1" applyAlignment="1" applyProtection="1">
      <alignment horizontal="center" vertical="center" wrapText="1"/>
    </xf>
    <xf numFmtId="0" fontId="37" fillId="0" borderId="56" xfId="0" applyFont="1" applyFill="1" applyBorder="1" applyAlignment="1" applyProtection="1">
      <alignment horizontal="center" vertical="center" wrapText="1"/>
      <protection locked="0"/>
    </xf>
    <xf numFmtId="0" fontId="35" fillId="17" borderId="60" xfId="0" applyFont="1" applyFill="1" applyBorder="1" applyAlignment="1" applyProtection="1">
      <alignment horizontal="center" vertical="center" wrapText="1"/>
      <protection locked="0"/>
    </xf>
    <xf numFmtId="0" fontId="38" fillId="0" borderId="59" xfId="0" applyFont="1" applyFill="1" applyBorder="1" applyAlignment="1" applyProtection="1">
      <alignment horizontal="center" wrapText="1"/>
      <protection locked="0"/>
    </xf>
    <xf numFmtId="0" fontId="31" fillId="19" borderId="59" xfId="2" applyFont="1" applyFill="1" applyBorder="1" applyAlignment="1" applyProtection="1">
      <alignment horizontal="center" wrapText="1"/>
    </xf>
    <xf numFmtId="0" fontId="37" fillId="0" borderId="56" xfId="0" applyFont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wrapText="1"/>
    </xf>
    <xf numFmtId="0" fontId="35" fillId="17" borderId="61" xfId="0" applyFont="1" applyFill="1" applyBorder="1" applyAlignment="1" applyProtection="1">
      <alignment horizontal="center" vertical="center" wrapText="1"/>
      <protection locked="0"/>
    </xf>
    <xf numFmtId="0" fontId="35" fillId="17" borderId="5" xfId="0" applyFont="1" applyFill="1" applyBorder="1" applyAlignment="1" applyProtection="1">
      <alignment horizontal="center" vertical="center" wrapText="1"/>
      <protection locked="0"/>
    </xf>
    <xf numFmtId="0" fontId="31" fillId="0" borderId="59" xfId="0" applyFont="1" applyBorder="1" applyAlignment="1" applyProtection="1">
      <alignment horizontal="center" vertical="center" wrapText="1"/>
      <protection locked="0"/>
    </xf>
    <xf numFmtId="0" fontId="31" fillId="0" borderId="59" xfId="0" applyFont="1" applyFill="1" applyBorder="1" applyAlignment="1" applyProtection="1">
      <alignment horizontal="center" wrapText="1"/>
      <protection locked="0"/>
    </xf>
    <xf numFmtId="0" fontId="34" fillId="0" borderId="0" xfId="0" applyFont="1" applyFill="1" applyBorder="1" applyAlignment="1" applyProtection="1">
      <alignment horizontal="center" wrapText="1"/>
      <protection locked="0"/>
    </xf>
    <xf numFmtId="0" fontId="31" fillId="0" borderId="56" xfId="0" applyFont="1" applyFill="1" applyBorder="1" applyAlignment="1" applyProtection="1">
      <alignment horizontal="center" vertical="center" wrapText="1"/>
      <protection locked="0"/>
    </xf>
    <xf numFmtId="0" fontId="31" fillId="20" borderId="0" xfId="0" applyFont="1" applyFill="1" applyBorder="1" applyAlignment="1" applyProtection="1">
      <alignment horizontal="center" vertical="center" wrapText="1"/>
      <protection locked="0"/>
    </xf>
    <xf numFmtId="0" fontId="34" fillId="20" borderId="0" xfId="0" applyFont="1" applyFill="1" applyBorder="1" applyAlignment="1" applyProtection="1">
      <alignment horizontal="center" wrapText="1"/>
      <protection locked="0"/>
    </xf>
    <xf numFmtId="0" fontId="35" fillId="21" borderId="22" xfId="0" applyFont="1" applyFill="1" applyBorder="1" applyAlignment="1" applyProtection="1">
      <alignment horizontal="center" vertical="center" wrapText="1"/>
      <protection locked="0"/>
    </xf>
    <xf numFmtId="0" fontId="35" fillId="21" borderId="55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3" xfId="0" quotePrefix="1" applyFont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quotePrefix="1" applyFont="1" applyBorder="1" applyAlignment="1" applyProtection="1">
      <alignment horizontal="center" vertical="center"/>
      <protection locked="0"/>
    </xf>
    <xf numFmtId="0" fontId="0" fillId="0" borderId="0" xfId="0" quotePrefix="1"/>
    <xf numFmtId="0" fontId="6" fillId="0" borderId="0" xfId="0" applyFont="1" applyBorder="1" applyAlignment="1" applyProtection="1">
      <alignment horizontal="center" vertical="center"/>
    </xf>
    <xf numFmtId="0" fontId="2" fillId="7" borderId="29" xfId="0" quotePrefix="1" applyNumberFormat="1" applyFont="1" applyFill="1" applyBorder="1" applyAlignment="1" applyProtection="1">
      <alignment horizontal="center" vertical="center"/>
    </xf>
    <xf numFmtId="0" fontId="2" fillId="0" borderId="31" xfId="0" quotePrefix="1" applyNumberFormat="1" applyFont="1" applyFill="1" applyBorder="1" applyAlignment="1" applyProtection="1">
      <alignment horizontal="center" vertical="center"/>
    </xf>
    <xf numFmtId="0" fontId="2" fillId="0" borderId="32" xfId="0" quotePrefix="1" applyNumberFormat="1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quotePrefix="1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30" fillId="0" borderId="0" xfId="0" quotePrefix="1" applyFont="1" applyAlignment="1" applyProtection="1">
      <alignment vertical="center"/>
      <protection locked="0"/>
    </xf>
    <xf numFmtId="0" fontId="6" fillId="0" borderId="0" xfId="0" quotePrefix="1" applyFont="1" applyFill="1" applyBorder="1" applyAlignment="1" applyProtection="1">
      <alignment horizontal="left" vertical="center"/>
      <protection locked="0"/>
    </xf>
    <xf numFmtId="0" fontId="8" fillId="0" borderId="0" xfId="0" quotePrefix="1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quotePrefix="1" applyFont="1" applyFill="1" applyBorder="1" applyAlignment="1" applyProtection="1">
      <alignment vertical="center"/>
    </xf>
    <xf numFmtId="0" fontId="6" fillId="0" borderId="6" xfId="0" quotePrefix="1" applyFont="1" applyFill="1" applyBorder="1" applyAlignment="1" applyProtection="1">
      <alignment vertical="center"/>
    </xf>
    <xf numFmtId="0" fontId="6" fillId="0" borderId="7" xfId="0" quotePrefix="1" applyFont="1" applyFill="1" applyBorder="1" applyAlignment="1" applyProtection="1">
      <alignment vertical="center"/>
    </xf>
    <xf numFmtId="0" fontId="6" fillId="0" borderId="2" xfId="0" quotePrefix="1" applyFont="1" applyFill="1" applyBorder="1" applyAlignment="1" applyProtection="1"/>
    <xf numFmtId="0" fontId="6" fillId="0" borderId="3" xfId="0" quotePrefix="1" applyFont="1" applyFill="1" applyBorder="1" applyAlignment="1" applyProtection="1"/>
    <xf numFmtId="0" fontId="6" fillId="0" borderId="4" xfId="0" quotePrefix="1" applyFont="1" applyFill="1" applyBorder="1" applyAlignment="1" applyProtection="1"/>
    <xf numFmtId="0" fontId="6" fillId="0" borderId="0" xfId="0" applyFont="1" applyFill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4" fillId="0" borderId="0" xfId="0" quotePrefix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42" fillId="0" borderId="0" xfId="0" applyFont="1" applyProtection="1">
      <protection locked="0"/>
    </xf>
    <xf numFmtId="0" fontId="6" fillId="0" borderId="29" xfId="0" applyFont="1" applyBorder="1" applyAlignment="1" applyProtection="1">
      <alignment horizontal="center"/>
    </xf>
    <xf numFmtId="0" fontId="6" fillId="0" borderId="31" xfId="0" applyFont="1" applyFill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/>
    </xf>
    <xf numFmtId="0" fontId="6" fillId="0" borderId="32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43" fillId="0" borderId="0" xfId="0" applyFont="1" applyFill="1" applyProtection="1">
      <protection locked="0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39" xfId="0" quotePrefix="1" applyFont="1" applyFill="1" applyBorder="1" applyAlignment="1" applyProtection="1"/>
    <xf numFmtId="0" fontId="6" fillId="0" borderId="40" xfId="0" quotePrefix="1" applyFont="1" applyFill="1" applyBorder="1" applyAlignment="1" applyProtection="1"/>
    <xf numFmtId="0" fontId="6" fillId="0" borderId="41" xfId="0" quotePrefix="1" applyFont="1" applyFill="1" applyBorder="1" applyAlignment="1" applyProtection="1"/>
    <xf numFmtId="0" fontId="31" fillId="0" borderId="63" xfId="0" applyFont="1" applyFill="1" applyBorder="1" applyAlignment="1" applyProtection="1">
      <alignment horizontal="center" vertical="center" wrapText="1"/>
      <protection locked="0"/>
    </xf>
    <xf numFmtId="0" fontId="34" fillId="0" borderId="63" xfId="0" applyFont="1" applyFill="1" applyBorder="1" applyAlignment="1" applyProtection="1">
      <alignment horizontal="center" vertical="center" wrapText="1"/>
      <protection locked="0"/>
    </xf>
    <xf numFmtId="0" fontId="31" fillId="0" borderId="65" xfId="0" quotePrefix="1" applyFont="1" applyBorder="1" applyAlignment="1" applyProtection="1">
      <alignment horizontal="center" vertical="center" wrapText="1"/>
    </xf>
    <xf numFmtId="0" fontId="31" fillId="0" borderId="66" xfId="0" applyFont="1" applyBorder="1" applyAlignment="1" applyProtection="1">
      <alignment horizontal="center" vertical="center" wrapText="1"/>
      <protection locked="0"/>
    </xf>
    <xf numFmtId="0" fontId="31" fillId="0" borderId="68" xfId="0" applyFont="1" applyBorder="1" applyAlignment="1" applyProtection="1">
      <alignment horizontal="center" vertical="center" wrapText="1"/>
      <protection locked="0"/>
    </xf>
    <xf numFmtId="0" fontId="31" fillId="0" borderId="69" xfId="0" applyFont="1" applyBorder="1" applyAlignment="1" applyProtection="1">
      <alignment horizontal="center" vertical="center" wrapText="1"/>
      <protection locked="0"/>
    </xf>
    <xf numFmtId="0" fontId="31" fillId="0" borderId="71" xfId="0" applyFont="1" applyBorder="1" applyAlignment="1" applyProtection="1">
      <alignment horizontal="center" vertical="center" wrapText="1"/>
      <protection locked="0"/>
    </xf>
    <xf numFmtId="0" fontId="31" fillId="0" borderId="72" xfId="0" applyFont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1" fillId="19" borderId="56" xfId="2" applyFont="1" applyFill="1" applyBorder="1" applyAlignment="1" applyProtection="1">
      <alignment horizontal="center" vertical="center" wrapText="1"/>
    </xf>
    <xf numFmtId="0" fontId="34" fillId="2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73" xfId="2" applyFont="1" applyFill="1" applyBorder="1" applyAlignment="1" applyProtection="1">
      <alignment horizontal="center" vertical="center" wrapText="1"/>
    </xf>
    <xf numFmtId="0" fontId="31" fillId="0" borderId="75" xfId="2" applyFont="1" applyFill="1" applyBorder="1" applyAlignment="1" applyProtection="1">
      <alignment horizontal="center" vertical="center" wrapText="1"/>
    </xf>
    <xf numFmtId="0" fontId="34" fillId="0" borderId="56" xfId="0" applyFont="1" applyFill="1" applyBorder="1" applyAlignment="1" applyProtection="1">
      <alignment horizontal="center" vertical="center" wrapText="1"/>
      <protection locked="0"/>
    </xf>
    <xf numFmtId="0" fontId="31" fillId="0" borderId="52" xfId="2" applyFont="1" applyFill="1" applyBorder="1" applyAlignment="1" applyProtection="1">
      <alignment horizontal="center" vertical="center" wrapText="1"/>
    </xf>
    <xf numFmtId="0" fontId="31" fillId="19" borderId="0" xfId="2" applyFont="1" applyFill="1" applyBorder="1" applyAlignment="1" applyProtection="1">
      <alignment horizontal="center" wrapText="1"/>
    </xf>
    <xf numFmtId="0" fontId="37" fillId="0" borderId="59" xfId="0" applyFont="1" applyFill="1" applyBorder="1" applyAlignment="1" applyProtection="1">
      <alignment horizontal="center" wrapText="1"/>
      <protection locked="0"/>
    </xf>
    <xf numFmtId="0" fontId="39" fillId="0" borderId="59" xfId="0" applyFont="1" applyFill="1" applyBorder="1" applyAlignment="1" applyProtection="1">
      <alignment horizontal="center" wrapText="1"/>
      <protection locked="0"/>
    </xf>
    <xf numFmtId="0" fontId="31" fillId="0" borderId="80" xfId="2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  <protection locked="0"/>
    </xf>
    <xf numFmtId="0" fontId="31" fillId="0" borderId="79" xfId="2" quotePrefix="1" applyFont="1" applyFill="1" applyBorder="1" applyAlignment="1" applyProtection="1">
      <alignment horizontal="center" vertical="center" wrapText="1"/>
    </xf>
    <xf numFmtId="0" fontId="31" fillId="0" borderId="74" xfId="2" quotePrefix="1" applyFont="1" applyFill="1" applyBorder="1" applyAlignment="1" applyProtection="1">
      <alignment horizontal="center" vertical="center" wrapText="1"/>
    </xf>
    <xf numFmtId="0" fontId="31" fillId="0" borderId="73" xfId="2" quotePrefix="1" applyFont="1" applyFill="1" applyBorder="1" applyAlignment="1" applyProtection="1">
      <alignment horizontal="center" vertical="center" wrapText="1"/>
    </xf>
    <xf numFmtId="0" fontId="31" fillId="0" borderId="75" xfId="2" quotePrefix="1" applyFont="1" applyFill="1" applyBorder="1" applyAlignment="1" applyProtection="1">
      <alignment horizontal="center" vertical="center" wrapText="1"/>
    </xf>
    <xf numFmtId="0" fontId="31" fillId="0" borderId="75" xfId="2" applyNumberFormat="1" applyFont="1" applyFill="1" applyBorder="1" applyAlignment="1" applyProtection="1">
      <alignment horizontal="center" vertical="center" wrapText="1"/>
    </xf>
    <xf numFmtId="0" fontId="31" fillId="0" borderId="73" xfId="2" quotePrefix="1" applyNumberFormat="1" applyFont="1" applyFill="1" applyBorder="1" applyAlignment="1" applyProtection="1">
      <alignment horizontal="center" vertical="center" wrapText="1"/>
    </xf>
    <xf numFmtId="0" fontId="31" fillId="0" borderId="65" xfId="0" quotePrefix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 wrapText="1"/>
    </xf>
    <xf numFmtId="0" fontId="31" fillId="0" borderId="36" xfId="0" quotePrefix="1" applyFont="1" applyFill="1" applyBorder="1" applyAlignment="1" applyProtection="1">
      <alignment horizontal="center" vertical="center" wrapText="1"/>
    </xf>
    <xf numFmtId="0" fontId="31" fillId="0" borderId="55" xfId="0" applyFont="1" applyFill="1" applyBorder="1" applyAlignment="1" applyProtection="1">
      <alignment horizontal="center" vertical="center" wrapText="1"/>
    </xf>
    <xf numFmtId="0" fontId="31" fillId="0" borderId="77" xfId="2" applyFont="1" applyFill="1" applyBorder="1" applyAlignment="1" applyProtection="1">
      <alignment horizontal="center" vertical="center" wrapText="1"/>
    </xf>
    <xf numFmtId="0" fontId="31" fillId="0" borderId="57" xfId="2" applyFont="1" applyFill="1" applyBorder="1" applyAlignment="1" applyProtection="1">
      <alignment horizontal="center" vertical="center" wrapText="1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48" fillId="0" borderId="3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42" xfId="0" quotePrefix="1" applyFont="1" applyFill="1" applyBorder="1" applyAlignment="1" applyProtection="1">
      <alignment horizontal="center" vertical="center"/>
    </xf>
    <xf numFmtId="0" fontId="45" fillId="0" borderId="0" xfId="0" applyFont="1" applyProtection="1">
      <protection locked="0"/>
    </xf>
    <xf numFmtId="0" fontId="8" fillId="10" borderId="19" xfId="0" applyFont="1" applyFill="1" applyBorder="1" applyAlignment="1" applyProtection="1">
      <alignment horizontal="center" vertical="center"/>
      <protection locked="0"/>
    </xf>
    <xf numFmtId="0" fontId="8" fillId="10" borderId="14" xfId="0" applyFont="1" applyFill="1" applyBorder="1" applyAlignment="1" applyProtection="1">
      <alignment horizontal="center" vertical="center"/>
      <protection locked="0"/>
    </xf>
    <xf numFmtId="0" fontId="8" fillId="10" borderId="15" xfId="0" applyFont="1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8" fillId="10" borderId="1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9" xfId="0" quotePrefix="1" applyFont="1" applyFill="1" applyBorder="1" applyAlignment="1" applyProtection="1">
      <alignment horizontal="center" vertical="center"/>
    </xf>
    <xf numFmtId="0" fontId="8" fillId="0" borderId="25" xfId="0" applyFont="1" applyBorder="1" applyProtection="1">
      <protection locked="0"/>
    </xf>
    <xf numFmtId="0" fontId="8" fillId="0" borderId="26" xfId="0" applyFont="1" applyBorder="1" applyProtection="1">
      <protection locked="0"/>
    </xf>
    <xf numFmtId="0" fontId="8" fillId="0" borderId="27" xfId="0" applyFont="1" applyBorder="1" applyProtection="1">
      <protection locked="0"/>
    </xf>
    <xf numFmtId="0" fontId="30" fillId="0" borderId="0" xfId="0" applyFont="1" applyFill="1" applyBorder="1" applyProtection="1">
      <protection locked="0"/>
    </xf>
    <xf numFmtId="0" fontId="10" fillId="0" borderId="11" xfId="0" quotePrefix="1" applyFont="1" applyFill="1" applyBorder="1" applyAlignment="1" applyProtection="1">
      <alignment horizontal="center"/>
    </xf>
    <xf numFmtId="0" fontId="8" fillId="0" borderId="32" xfId="0" quotePrefix="1" applyFont="1" applyFill="1" applyBorder="1" applyAlignment="1" applyProtection="1">
      <alignment horizontal="center" vertical="center"/>
    </xf>
    <xf numFmtId="0" fontId="8" fillId="12" borderId="1" xfId="0" applyFont="1" applyFill="1" applyBorder="1" applyAlignment="1" applyProtection="1">
      <alignment horizontal="center" vertical="center"/>
    </xf>
    <xf numFmtId="0" fontId="8" fillId="0" borderId="11" xfId="0" quotePrefix="1" applyNumberFormat="1" applyFont="1" applyFill="1" applyBorder="1" applyAlignment="1" applyProtection="1">
      <alignment horizontal="center" vertical="center" wrapText="1"/>
    </xf>
    <xf numFmtId="0" fontId="8" fillId="0" borderId="9" xfId="0" quotePrefix="1" applyNumberFormat="1" applyFont="1" applyBorder="1" applyAlignment="1" applyProtection="1">
      <alignment horizontal="center" vertical="center"/>
    </xf>
    <xf numFmtId="0" fontId="8" fillId="0" borderId="1" xfId="0" quotePrefix="1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10" fillId="0" borderId="19" xfId="0" quotePrefix="1" applyFont="1" applyFill="1" applyBorder="1" applyAlignment="1" applyProtection="1">
      <alignment horizontal="center" vertical="center"/>
    </xf>
    <xf numFmtId="0" fontId="8" fillId="0" borderId="31" xfId="0" quotePrefix="1" applyFont="1" applyFill="1" applyBorder="1" applyAlignment="1" applyProtection="1">
      <alignment horizontal="center" vertical="center"/>
    </xf>
    <xf numFmtId="0" fontId="8" fillId="11" borderId="1" xfId="0" applyFont="1" applyFill="1" applyBorder="1" applyAlignment="1" applyProtection="1">
      <alignment horizontal="center" vertical="center"/>
    </xf>
    <xf numFmtId="0" fontId="8" fillId="0" borderId="1" xfId="0" quotePrefix="1" applyNumberFormat="1" applyFont="1" applyFill="1" applyBorder="1" applyAlignment="1" applyProtection="1">
      <alignment horizontal="center" vertical="center"/>
    </xf>
    <xf numFmtId="0" fontId="8" fillId="0" borderId="9" xfId="0" quotePrefix="1" applyFont="1" applyFill="1" applyBorder="1" applyAlignment="1" applyProtection="1">
      <alignment horizontal="center" vertical="center"/>
    </xf>
    <xf numFmtId="0" fontId="8" fillId="0" borderId="9" xfId="0" quotePrefix="1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0" fillId="0" borderId="21" xfId="0" quotePrefix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quotePrefix="1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Protection="1">
      <protection locked="0"/>
    </xf>
    <xf numFmtId="0" fontId="30" fillId="0" borderId="0" xfId="0" quotePrefix="1" applyFont="1" applyFill="1" applyBorder="1" applyAlignment="1" applyProtection="1">
      <alignment horizontal="center"/>
      <protection locked="0"/>
    </xf>
    <xf numFmtId="0" fontId="48" fillId="0" borderId="33" xfId="0" applyFont="1" applyFill="1" applyBorder="1" applyAlignment="1" applyProtection="1">
      <alignment horizontal="center" vertical="center"/>
      <protection locked="0"/>
    </xf>
    <xf numFmtId="0" fontId="10" fillId="0" borderId="11" xfId="0" quotePrefix="1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41" fillId="0" borderId="0" xfId="0" quotePrefix="1" applyFont="1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8" fillId="0" borderId="35" xfId="0" quotePrefix="1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48" fillId="0" borderId="24" xfId="0" applyFont="1" applyFill="1" applyBorder="1" applyAlignment="1" applyProtection="1">
      <alignment horizontal="center" vertical="center"/>
      <protection locked="0"/>
    </xf>
    <xf numFmtId="0" fontId="10" fillId="0" borderId="0" xfId="0" quotePrefix="1" applyFont="1" applyProtection="1">
      <protection locked="0"/>
    </xf>
    <xf numFmtId="0" fontId="8" fillId="0" borderId="0" xfId="0" quotePrefix="1" applyFont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48" fillId="0" borderId="22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0" fillId="10" borderId="19" xfId="0" quotePrefix="1" applyFont="1" applyFill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  <protection locked="0"/>
    </xf>
    <xf numFmtId="0" fontId="10" fillId="10" borderId="21" xfId="0" quotePrefix="1" applyFont="1" applyFill="1" applyBorder="1" applyAlignment="1" applyProtection="1">
      <alignment horizontal="center" vertical="center"/>
    </xf>
    <xf numFmtId="0" fontId="1" fillId="0" borderId="11" xfId="0" quotePrefix="1" applyFont="1" applyBorder="1" applyAlignment="1" applyProtection="1">
      <alignment horizontal="center" vertical="center"/>
    </xf>
    <xf numFmtId="0" fontId="10" fillId="10" borderId="21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/>
    </xf>
    <xf numFmtId="0" fontId="6" fillId="1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Protection="1"/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1" fillId="0" borderId="50" xfId="0" applyFont="1" applyFill="1" applyBorder="1" applyAlignment="1" applyProtection="1">
      <alignment horizontal="center" vertical="center" wrapText="1"/>
      <protection locked="0"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3" borderId="29" xfId="0" quotePrefix="1" applyFont="1" applyFill="1" applyBorder="1" applyAlignment="1" applyProtection="1">
      <alignment horizontal="center" vertical="center"/>
    </xf>
    <xf numFmtId="0" fontId="6" fillId="7" borderId="31" xfId="0" quotePrefix="1" applyFont="1" applyFill="1" applyBorder="1" applyAlignment="1" applyProtection="1">
      <alignment horizontal="center" vertical="center"/>
    </xf>
    <xf numFmtId="0" fontId="9" fillId="0" borderId="5" xfId="0" quotePrefix="1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Protection="1">
      <protection locked="0"/>
    </xf>
    <xf numFmtId="0" fontId="9" fillId="0" borderId="0" xfId="0" applyFont="1" applyFill="1" applyProtection="1"/>
    <xf numFmtId="0" fontId="28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Protection="1">
      <protection locked="0"/>
    </xf>
    <xf numFmtId="0" fontId="3" fillId="0" borderId="0" xfId="0" applyFont="1" applyProtection="1"/>
    <xf numFmtId="0" fontId="3" fillId="0" borderId="0" xfId="0" applyFont="1"/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/>
    <xf numFmtId="0" fontId="9" fillId="0" borderId="45" xfId="0" applyFont="1" applyBorder="1"/>
    <xf numFmtId="0" fontId="9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37" xfId="0" applyFont="1" applyBorder="1"/>
    <xf numFmtId="0" fontId="9" fillId="0" borderId="46" xfId="0" applyFont="1" applyBorder="1"/>
    <xf numFmtId="0" fontId="9" fillId="0" borderId="2" xfId="0" quotePrefix="1" applyFont="1" applyFill="1" applyBorder="1" applyAlignment="1" applyProtection="1"/>
    <xf numFmtId="0" fontId="9" fillId="0" borderId="3" xfId="0" applyFont="1" applyFill="1" applyBorder="1" applyAlignment="1" applyProtection="1"/>
    <xf numFmtId="0" fontId="9" fillId="0" borderId="4" xfId="0" applyFont="1" applyFill="1" applyBorder="1" applyAlignment="1" applyProtection="1"/>
    <xf numFmtId="0" fontId="9" fillId="0" borderId="0" xfId="0" applyFont="1" applyFill="1"/>
    <xf numFmtId="0" fontId="9" fillId="0" borderId="6" xfId="0" applyFont="1" applyFill="1" applyBorder="1" applyAlignment="1" applyProtection="1"/>
    <xf numFmtId="0" fontId="9" fillId="0" borderId="7" xfId="0" applyFont="1" applyFill="1" applyBorder="1" applyAlignment="1" applyProtection="1"/>
    <xf numFmtId="0" fontId="9" fillId="0" borderId="0" xfId="0" quotePrefix="1" applyNumberFormat="1" applyFont="1" applyFill="1" applyProtection="1"/>
    <xf numFmtId="0" fontId="9" fillId="0" borderId="0" xfId="0" applyFont="1" applyAlignment="1">
      <alignment horizontal="left" vertical="center"/>
    </xf>
    <xf numFmtId="0" fontId="9" fillId="0" borderId="47" xfId="0" applyFont="1" applyBorder="1"/>
    <xf numFmtId="0" fontId="9" fillId="0" borderId="43" xfId="0" applyFont="1" applyBorder="1"/>
    <xf numFmtId="0" fontId="9" fillId="0" borderId="45" xfId="0" applyFont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46" xfId="0" applyFont="1" applyBorder="1" applyAlignment="1">
      <alignment horizontal="center" vertical="center"/>
    </xf>
    <xf numFmtId="0" fontId="9" fillId="0" borderId="5" xfId="0" quotePrefix="1" applyFont="1" applyFill="1" applyBorder="1" applyAlignment="1" applyProtection="1"/>
    <xf numFmtId="0" fontId="9" fillId="0" borderId="0" xfId="0" quotePrefix="1" applyFont="1" applyFill="1" applyProtection="1"/>
    <xf numFmtId="0" fontId="9" fillId="0" borderId="48" xfId="0" applyFont="1" applyBorder="1" applyAlignment="1">
      <alignment horizontal="center" vertical="center"/>
    </xf>
    <xf numFmtId="0" fontId="9" fillId="0" borderId="34" xfId="0" applyFont="1" applyBorder="1"/>
    <xf numFmtId="0" fontId="9" fillId="0" borderId="49" xfId="0" applyFont="1" applyBorder="1"/>
    <xf numFmtId="0" fontId="9" fillId="0" borderId="44" xfId="0" applyFont="1" applyBorder="1"/>
    <xf numFmtId="0" fontId="9" fillId="0" borderId="0" xfId="0" applyFont="1" applyFill="1" applyAlignment="1">
      <alignment horizontal="center"/>
    </xf>
    <xf numFmtId="0" fontId="3" fillId="0" borderId="0" xfId="0" applyFont="1" applyFill="1"/>
    <xf numFmtId="0" fontId="9" fillId="0" borderId="24" xfId="0" applyFont="1" applyBorder="1" applyAlignment="1">
      <alignment horizontal="center" vertical="center"/>
    </xf>
    <xf numFmtId="0" fontId="9" fillId="0" borderId="48" xfId="0" applyFont="1" applyBorder="1"/>
    <xf numFmtId="0" fontId="41" fillId="0" borderId="30" xfId="0" applyFont="1" applyFill="1" applyBorder="1" applyAlignment="1" applyProtection="1">
      <alignment horizontal="center" vertical="center"/>
      <protection locked="0"/>
    </xf>
    <xf numFmtId="0" fontId="41" fillId="0" borderId="33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16" xfId="0" quotePrefix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wrapText="1"/>
      <protection locked="0"/>
    </xf>
    <xf numFmtId="0" fontId="0" fillId="0" borderId="0" xfId="0" applyBorder="1"/>
    <xf numFmtId="0" fontId="31" fillId="0" borderId="0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50" xfId="0" applyFont="1" applyBorder="1" applyAlignment="1" applyProtection="1">
      <alignment horizontal="center" vertical="center" wrapText="1"/>
      <protection locked="0"/>
    </xf>
    <xf numFmtId="0" fontId="53" fillId="0" borderId="53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44" fillId="0" borderId="0" xfId="0" applyFont="1" applyProtection="1">
      <protection locked="0"/>
    </xf>
    <xf numFmtId="0" fontId="53" fillId="0" borderId="0" xfId="0" applyFont="1" applyProtection="1">
      <protection locked="0"/>
    </xf>
    <xf numFmtId="0" fontId="1" fillId="0" borderId="88" xfId="0" applyFont="1" applyBorder="1" applyAlignment="1" applyProtection="1">
      <alignment horizontal="center" vertical="center"/>
      <protection locked="0"/>
    </xf>
    <xf numFmtId="0" fontId="48" fillId="0" borderId="23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41" fillId="0" borderId="3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Protection="1"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48" fillId="0" borderId="37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Protection="1">
      <protection locked="0"/>
    </xf>
    <xf numFmtId="0" fontId="6" fillId="7" borderId="32" xfId="0" quotePrefix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41" fillId="0" borderId="24" xfId="0" applyFont="1" applyFill="1" applyBorder="1" applyAlignment="1" applyProtection="1">
      <alignment horizontal="center" vertical="center"/>
      <protection locked="0"/>
    </xf>
    <xf numFmtId="0" fontId="6" fillId="10" borderId="1" xfId="0" applyFont="1" applyFill="1" applyBorder="1" applyAlignment="1" applyProtection="1">
      <alignment horizontal="center" vertical="center"/>
      <protection locked="0"/>
    </xf>
    <xf numFmtId="0" fontId="18" fillId="12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4" fillId="0" borderId="0" xfId="0" applyFont="1" applyFill="1" applyProtection="1">
      <protection locked="0"/>
    </xf>
    <xf numFmtId="0" fontId="51" fillId="0" borderId="0" xfId="0" applyFont="1" applyProtection="1">
      <protection locked="0"/>
    </xf>
    <xf numFmtId="0" fontId="56" fillId="0" borderId="0" xfId="0" applyFont="1" applyProtection="1"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Protection="1"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18" fillId="0" borderId="0" xfId="0" quotePrefix="1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52" fillId="7" borderId="1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Protection="1">
      <protection locked="0"/>
    </xf>
    <xf numFmtId="0" fontId="6" fillId="0" borderId="56" xfId="0" applyFont="1" applyBorder="1" applyProtection="1">
      <protection locked="0"/>
    </xf>
    <xf numFmtId="0" fontId="0" fillId="24" borderId="0" xfId="0" applyFill="1" applyProtection="1">
      <protection locked="0"/>
    </xf>
    <xf numFmtId="0" fontId="0" fillId="24" borderId="85" xfId="0" applyFill="1" applyBorder="1" applyProtection="1">
      <protection locked="0"/>
    </xf>
    <xf numFmtId="0" fontId="0" fillId="24" borderId="86" xfId="0" applyFill="1" applyBorder="1" applyProtection="1"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0" fillId="24" borderId="78" xfId="0" applyFill="1" applyBorder="1" applyProtection="1">
      <protection locked="0"/>
    </xf>
    <xf numFmtId="0" fontId="0" fillId="24" borderId="87" xfId="0" applyFill="1" applyBorder="1" applyProtection="1">
      <protection locked="0"/>
    </xf>
    <xf numFmtId="0" fontId="31" fillId="19" borderId="56" xfId="2" applyFon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Protection="1">
      <protection locked="0"/>
    </xf>
    <xf numFmtId="0" fontId="24" fillId="0" borderId="0" xfId="0" quotePrefix="1" applyFont="1" applyFill="1" applyAlignment="1" applyProtection="1">
      <alignment horizontal="center" vertical="center"/>
      <protection locked="0"/>
    </xf>
    <xf numFmtId="0" fontId="31" fillId="19" borderId="0" xfId="2" applyFont="1" applyFill="1" applyBorder="1" applyAlignment="1" applyProtection="1">
      <alignment horizontal="center" wrapText="1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Fill="1" applyProtection="1">
      <protection locked="0"/>
    </xf>
    <xf numFmtId="0" fontId="28" fillId="0" borderId="0" xfId="0" quotePrefix="1" applyFont="1" applyFill="1" applyProtection="1"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quotePrefix="1" applyFont="1" applyFill="1" applyProtection="1"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0" fillId="0" borderId="0" xfId="0" applyProtection="1"/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56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 wrapText="1"/>
    </xf>
    <xf numFmtId="0" fontId="31" fillId="0" borderId="0" xfId="0" applyFont="1" applyProtection="1"/>
    <xf numFmtId="0" fontId="6" fillId="10" borderId="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42" fillId="0" borderId="0" xfId="0" applyFont="1" applyFill="1" applyAlignment="1" applyProtection="1"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0" fontId="53" fillId="20" borderId="0" xfId="0" applyFont="1" applyFill="1" applyBorder="1" applyAlignment="1" applyProtection="1">
      <alignment horizontal="center" vertical="center" wrapText="1"/>
      <protection locked="0"/>
    </xf>
    <xf numFmtId="0" fontId="53" fillId="20" borderId="0" xfId="0" applyFont="1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center" wrapText="1"/>
      <protection locked="0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8" fillId="0" borderId="0" xfId="0" applyFont="1" applyAlignment="1" applyProtection="1">
      <protection locked="0"/>
    </xf>
    <xf numFmtId="0" fontId="58" fillId="0" borderId="0" xfId="0" applyFont="1" applyProtection="1">
      <protection locked="0"/>
    </xf>
    <xf numFmtId="164" fontId="58" fillId="0" borderId="1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protection locked="0"/>
    </xf>
    <xf numFmtId="0" fontId="59" fillId="0" borderId="0" xfId="0" applyFont="1"/>
    <xf numFmtId="0" fontId="58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quotePrefix="1" applyFont="1" applyAlignment="1" applyProtection="1">
      <alignment horizontal="center" vertical="center"/>
      <protection locked="0"/>
    </xf>
    <xf numFmtId="0" fontId="44" fillId="0" borderId="0" xfId="0" quotePrefix="1" applyFont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83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4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2" xfId="0" quotePrefix="1" applyNumberFormat="1" applyFont="1" applyFill="1" applyBorder="1" applyAlignment="1" applyProtection="1">
      <alignment horizontal="center" vertical="center"/>
    </xf>
    <xf numFmtId="0" fontId="2" fillId="0" borderId="36" xfId="0" quotePrefix="1" applyNumberFormat="1" applyFont="1" applyFill="1" applyBorder="1" applyAlignment="1" applyProtection="1">
      <alignment horizontal="center" vertical="center"/>
    </xf>
    <xf numFmtId="0" fontId="2" fillId="0" borderId="23" xfId="0" quotePrefix="1" applyNumberFormat="1" applyFont="1" applyFill="1" applyBorder="1" applyAlignment="1" applyProtection="1">
      <alignment horizontal="center" vertical="center"/>
    </xf>
    <xf numFmtId="0" fontId="2" fillId="0" borderId="30" xfId="0" quotePrefix="1" applyNumberFormat="1" applyFont="1" applyFill="1" applyBorder="1" applyAlignment="1" applyProtection="1">
      <alignment horizontal="center" vertical="center"/>
    </xf>
    <xf numFmtId="0" fontId="2" fillId="0" borderId="62" xfId="0" quotePrefix="1" applyNumberFormat="1" applyFont="1" applyFill="1" applyBorder="1" applyAlignment="1" applyProtection="1">
      <alignment horizontal="center" vertical="center"/>
    </xf>
    <xf numFmtId="0" fontId="2" fillId="0" borderId="37" xfId="0" quotePrefix="1" applyNumberFormat="1" applyFont="1" applyFill="1" applyBorder="1" applyAlignment="1" applyProtection="1">
      <alignment horizontal="center" vertical="center"/>
    </xf>
    <xf numFmtId="0" fontId="2" fillId="0" borderId="24" xfId="0" quotePrefix="1" applyNumberFormat="1" applyFont="1" applyFill="1" applyBorder="1" applyAlignment="1" applyProtection="1">
      <alignment horizontal="center" vertical="center"/>
    </xf>
    <xf numFmtId="0" fontId="2" fillId="0" borderId="38" xfId="0" quotePrefix="1" applyNumberFormat="1" applyFont="1" applyFill="1" applyBorder="1" applyAlignment="1" applyProtection="1">
      <alignment horizontal="center" vertical="center"/>
    </xf>
    <xf numFmtId="0" fontId="2" fillId="0" borderId="34" xfId="0" quotePrefix="1" applyNumberFormat="1" applyFont="1" applyFill="1" applyBorder="1" applyAlignment="1" applyProtection="1">
      <alignment horizontal="center" vertical="center"/>
    </xf>
    <xf numFmtId="0" fontId="22" fillId="25" borderId="2" xfId="0" quotePrefix="1" applyFont="1" applyFill="1" applyBorder="1" applyAlignment="1" applyProtection="1">
      <alignment horizontal="center" vertical="center"/>
    </xf>
    <xf numFmtId="0" fontId="22" fillId="25" borderId="3" xfId="0" quotePrefix="1" applyFont="1" applyFill="1" applyBorder="1" applyAlignment="1" applyProtection="1">
      <alignment horizontal="center" vertical="center"/>
    </xf>
    <xf numFmtId="0" fontId="22" fillId="25" borderId="82" xfId="0" quotePrefix="1" applyFont="1" applyFill="1" applyBorder="1" applyAlignment="1" applyProtection="1">
      <alignment horizontal="center" vertical="center"/>
    </xf>
    <xf numFmtId="0" fontId="46" fillId="23" borderId="2" xfId="0" applyFont="1" applyFill="1" applyBorder="1" applyAlignment="1" applyProtection="1">
      <alignment horizontal="center" vertical="center"/>
    </xf>
    <xf numFmtId="0" fontId="46" fillId="23" borderId="3" xfId="0" applyFont="1" applyFill="1" applyBorder="1" applyAlignment="1" applyProtection="1">
      <alignment horizontal="center" vertical="center"/>
    </xf>
    <xf numFmtId="0" fontId="46" fillId="23" borderId="82" xfId="0" applyFont="1" applyFill="1" applyBorder="1" applyAlignment="1" applyProtection="1">
      <alignment horizontal="center" vertical="center"/>
    </xf>
    <xf numFmtId="0" fontId="22" fillId="0" borderId="2" xfId="0" quotePrefix="1" applyFont="1" applyBorder="1" applyAlignment="1" applyProtection="1">
      <alignment horizontal="center" vertical="center"/>
    </xf>
    <xf numFmtId="0" fontId="22" fillId="0" borderId="3" xfId="0" quotePrefix="1" applyFont="1" applyBorder="1" applyAlignment="1" applyProtection="1">
      <alignment horizontal="center" vertical="center"/>
    </xf>
    <xf numFmtId="0" fontId="22" fillId="0" borderId="82" xfId="0" quotePrefix="1" applyFont="1" applyBorder="1" applyAlignment="1" applyProtection="1">
      <alignment horizontal="center" vertical="center"/>
    </xf>
    <xf numFmtId="0" fontId="22" fillId="0" borderId="5" xfId="0" quotePrefix="1" applyFont="1" applyBorder="1" applyAlignment="1" applyProtection="1">
      <alignment horizontal="center" vertical="center"/>
    </xf>
    <xf numFmtId="0" fontId="22" fillId="0" borderId="6" xfId="0" quotePrefix="1" applyFont="1" applyBorder="1" applyAlignment="1" applyProtection="1">
      <alignment horizontal="center" vertical="center"/>
    </xf>
    <xf numFmtId="0" fontId="22" fillId="0" borderId="48" xfId="0" quotePrefix="1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9" fillId="8" borderId="2" xfId="0" quotePrefix="1" applyFont="1" applyFill="1" applyBorder="1" applyAlignment="1" applyProtection="1">
      <alignment horizontal="center" vertical="center"/>
    </xf>
    <xf numFmtId="0" fontId="9" fillId="8" borderId="3" xfId="0" quotePrefix="1" applyFont="1" applyFill="1" applyBorder="1" applyAlignment="1" applyProtection="1">
      <alignment horizontal="center" vertical="center"/>
    </xf>
    <xf numFmtId="0" fontId="9" fillId="8" borderId="4" xfId="0" quotePrefix="1" applyFont="1" applyFill="1" applyBorder="1" applyAlignment="1" applyProtection="1">
      <alignment horizontal="center" vertical="center"/>
    </xf>
    <xf numFmtId="0" fontId="9" fillId="10" borderId="5" xfId="0" quotePrefix="1" applyFont="1" applyFill="1" applyBorder="1" applyAlignment="1" applyProtection="1">
      <alignment horizontal="center" vertical="center"/>
    </xf>
    <xf numFmtId="0" fontId="9" fillId="10" borderId="6" xfId="0" quotePrefix="1" applyFont="1" applyFill="1" applyBorder="1" applyAlignment="1" applyProtection="1">
      <alignment horizontal="center" vertical="center"/>
    </xf>
    <xf numFmtId="0" fontId="9" fillId="10" borderId="7" xfId="0" quotePrefix="1" applyFont="1" applyFill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2" fillId="0" borderId="70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2" fillId="3" borderId="2" xfId="0" quotePrefix="1" applyFont="1" applyFill="1" applyBorder="1" applyAlignment="1" applyProtection="1">
      <alignment horizontal="center" vertical="center"/>
    </xf>
    <xf numFmtId="0" fontId="22" fillId="3" borderId="3" xfId="0" quotePrefix="1" applyFont="1" applyFill="1" applyBorder="1" applyAlignment="1" applyProtection="1">
      <alignment horizontal="center" vertical="center"/>
    </xf>
    <xf numFmtId="0" fontId="22" fillId="3" borderId="82" xfId="0" quotePrefix="1" applyFont="1" applyFill="1" applyBorder="1" applyAlignment="1" applyProtection="1">
      <alignment horizontal="center" vertical="center"/>
    </xf>
    <xf numFmtId="0" fontId="22" fillId="15" borderId="16" xfId="0" quotePrefix="1" applyFont="1" applyFill="1" applyBorder="1" applyAlignment="1" applyProtection="1">
      <alignment horizontal="center" vertical="center"/>
    </xf>
    <xf numFmtId="0" fontId="22" fillId="15" borderId="17" xfId="0" applyFont="1" applyFill="1" applyBorder="1" applyAlignment="1" applyProtection="1">
      <alignment horizontal="center" vertical="center"/>
    </xf>
    <xf numFmtId="0" fontId="22" fillId="15" borderId="81" xfId="0" applyFont="1" applyFill="1" applyBorder="1" applyAlignment="1" applyProtection="1">
      <alignment horizontal="center" vertical="center"/>
    </xf>
    <xf numFmtId="0" fontId="22" fillId="7" borderId="16" xfId="0" quotePrefix="1" applyFont="1" applyFill="1" applyBorder="1" applyAlignment="1" applyProtection="1">
      <alignment horizontal="center" vertical="center"/>
    </xf>
    <xf numFmtId="0" fontId="22" fillId="7" borderId="17" xfId="0" applyFont="1" applyFill="1" applyBorder="1" applyAlignment="1" applyProtection="1">
      <alignment horizontal="center" vertical="center"/>
    </xf>
    <xf numFmtId="0" fontId="22" fillId="7" borderId="81" xfId="0" applyFont="1" applyFill="1" applyBorder="1" applyAlignment="1" applyProtection="1">
      <alignment horizontal="center" vertical="center"/>
    </xf>
    <xf numFmtId="0" fontId="54" fillId="0" borderId="8" xfId="0" applyFont="1" applyBorder="1" applyAlignment="1" applyProtection="1">
      <alignment horizontal="center" vertical="center"/>
      <protection locked="0"/>
    </xf>
    <xf numFmtId="0" fontId="54" fillId="0" borderId="9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62" fillId="0" borderId="0" xfId="0" quotePrefix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47" fillId="7" borderId="0" xfId="0" quotePrefix="1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right" vertical="center"/>
      <protection locked="0"/>
    </xf>
    <xf numFmtId="0" fontId="33" fillId="3" borderId="8" xfId="0" applyFont="1" applyFill="1" applyBorder="1" applyAlignment="1" applyProtection="1">
      <alignment horizontal="center" vertical="center"/>
      <protection locked="0"/>
    </xf>
    <xf numFmtId="0" fontId="33" fillId="3" borderId="9" xfId="0" applyFont="1" applyFill="1" applyBorder="1" applyAlignment="1" applyProtection="1">
      <alignment horizontal="center" vertical="center"/>
      <protection locked="0"/>
    </xf>
    <xf numFmtId="0" fontId="33" fillId="3" borderId="10" xfId="0" applyFont="1" applyFill="1" applyBorder="1" applyAlignment="1" applyProtection="1">
      <alignment horizontal="center" vertical="center"/>
      <protection locked="0"/>
    </xf>
    <xf numFmtId="0" fontId="33" fillId="10" borderId="8" xfId="0" applyFont="1" applyFill="1" applyBorder="1" applyAlignment="1" applyProtection="1">
      <alignment horizontal="center" vertical="center"/>
      <protection locked="0"/>
    </xf>
    <xf numFmtId="0" fontId="33" fillId="10" borderId="9" xfId="0" applyFont="1" applyFill="1" applyBorder="1" applyAlignment="1" applyProtection="1">
      <alignment horizontal="center" vertical="center"/>
      <protection locked="0"/>
    </xf>
    <xf numFmtId="0" fontId="33" fillId="10" borderId="10" xfId="0" applyFont="1" applyFill="1" applyBorder="1" applyAlignment="1" applyProtection="1">
      <alignment horizontal="center" vertical="center"/>
      <protection locked="0"/>
    </xf>
    <xf numFmtId="0" fontId="33" fillId="7" borderId="8" xfId="0" applyFont="1" applyFill="1" applyBorder="1" applyAlignment="1" applyProtection="1">
      <alignment horizontal="center" vertical="center"/>
      <protection locked="0"/>
    </xf>
    <xf numFmtId="0" fontId="33" fillId="7" borderId="9" xfId="0" applyFont="1" applyFill="1" applyBorder="1" applyAlignment="1" applyProtection="1">
      <alignment horizontal="center" vertical="center"/>
      <protection locked="0"/>
    </xf>
    <xf numFmtId="0" fontId="33" fillId="7" borderId="10" xfId="0" applyFont="1" applyFill="1" applyBorder="1" applyAlignment="1" applyProtection="1">
      <alignment horizontal="center" vertical="center"/>
      <protection locked="0"/>
    </xf>
    <xf numFmtId="0" fontId="32" fillId="18" borderId="13" xfId="0" applyFont="1" applyFill="1" applyBorder="1" applyAlignment="1" applyProtection="1">
      <alignment horizontal="center" vertical="center" wrapText="1"/>
      <protection locked="0"/>
    </xf>
    <xf numFmtId="0" fontId="32" fillId="18" borderId="14" xfId="0" applyFont="1" applyFill="1" applyBorder="1" applyAlignment="1" applyProtection="1">
      <alignment horizontal="center" vertical="center" wrapText="1"/>
      <protection locked="0"/>
    </xf>
    <xf numFmtId="0" fontId="32" fillId="18" borderId="15" xfId="0" applyFont="1" applyFill="1" applyBorder="1" applyAlignment="1" applyProtection="1">
      <alignment horizontal="center" vertical="center" wrapText="1"/>
      <protection locked="0"/>
    </xf>
    <xf numFmtId="0" fontId="32" fillId="9" borderId="8" xfId="0" applyFont="1" applyFill="1" applyBorder="1" applyAlignment="1" applyProtection="1">
      <alignment horizontal="center" vertical="center" wrapText="1"/>
      <protection locked="0"/>
    </xf>
    <xf numFmtId="0" fontId="32" fillId="9" borderId="9" xfId="0" applyFont="1" applyFill="1" applyBorder="1" applyAlignment="1" applyProtection="1">
      <alignment horizontal="center" vertical="center" wrapText="1"/>
      <protection locked="0"/>
    </xf>
    <xf numFmtId="0" fontId="32" fillId="9" borderId="10" xfId="0" applyFont="1" applyFill="1" applyBorder="1" applyAlignment="1" applyProtection="1">
      <alignment horizontal="center" vertical="center" wrapText="1"/>
      <protection locked="0"/>
    </xf>
    <xf numFmtId="0" fontId="32" fillId="3" borderId="8" xfId="0" applyFont="1" applyFill="1" applyBorder="1" applyAlignment="1" applyProtection="1">
      <alignment horizontal="center" vertical="center" wrapText="1"/>
      <protection locked="0"/>
    </xf>
    <xf numFmtId="0" fontId="32" fillId="3" borderId="9" xfId="0" applyFont="1" applyFill="1" applyBorder="1" applyAlignment="1" applyProtection="1">
      <alignment horizontal="center" vertical="center" wrapText="1"/>
      <protection locked="0"/>
    </xf>
    <xf numFmtId="0" fontId="32" fillId="3" borderId="10" xfId="0" applyFont="1" applyFill="1" applyBorder="1" applyAlignment="1" applyProtection="1">
      <alignment horizontal="center" vertical="center" wrapText="1"/>
      <protection locked="0"/>
    </xf>
    <xf numFmtId="0" fontId="19" fillId="3" borderId="17" xfId="0" applyFont="1" applyFill="1" applyBorder="1" applyAlignment="1" applyProtection="1">
      <alignment horizontal="center" vertical="center"/>
      <protection locked="0"/>
    </xf>
    <xf numFmtId="0" fontId="15" fillId="12" borderId="19" xfId="0" quotePrefix="1" applyNumberFormat="1" applyFont="1" applyFill="1" applyBorder="1" applyAlignment="1" applyProtection="1">
      <alignment horizontal="center" vertical="center"/>
    </xf>
    <xf numFmtId="0" fontId="15" fillId="12" borderId="11" xfId="0" quotePrefix="1" applyNumberFormat="1" applyFont="1" applyFill="1" applyBorder="1" applyAlignment="1" applyProtection="1">
      <alignment horizontal="center" vertical="center"/>
    </xf>
    <xf numFmtId="0" fontId="23" fillId="16" borderId="0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82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48" xfId="0" applyFont="1" applyBorder="1" applyAlignment="1" applyProtection="1">
      <alignment horizontal="center" vertical="center"/>
    </xf>
    <xf numFmtId="0" fontId="46" fillId="23" borderId="5" xfId="0" applyFont="1" applyFill="1" applyBorder="1" applyAlignment="1" applyProtection="1">
      <alignment horizontal="center" vertical="center"/>
    </xf>
    <xf numFmtId="0" fontId="46" fillId="23" borderId="6" xfId="0" applyFont="1" applyFill="1" applyBorder="1" applyAlignment="1" applyProtection="1">
      <alignment horizontal="center" vertical="center"/>
    </xf>
    <xf numFmtId="0" fontId="46" fillId="23" borderId="48" xfId="0" applyFont="1" applyFill="1" applyBorder="1" applyAlignment="1" applyProtection="1">
      <alignment horizontal="center" vertical="center"/>
    </xf>
    <xf numFmtId="0" fontId="22" fillId="3" borderId="2" xfId="0" applyFont="1" applyFill="1" applyBorder="1" applyAlignment="1" applyProtection="1">
      <alignment horizontal="center" vertical="center"/>
    </xf>
    <xf numFmtId="0" fontId="17" fillId="10" borderId="8" xfId="0" applyFont="1" applyFill="1" applyBorder="1" applyAlignment="1" applyProtection="1">
      <alignment horizontal="left" vertical="center"/>
      <protection locked="0"/>
    </xf>
    <xf numFmtId="0" fontId="17" fillId="10" borderId="9" xfId="0" applyFont="1" applyFill="1" applyBorder="1" applyAlignment="1" applyProtection="1">
      <alignment horizontal="left" vertical="center"/>
      <protection locked="0"/>
    </xf>
    <xf numFmtId="0" fontId="17" fillId="10" borderId="10" xfId="0" applyFont="1" applyFill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8" xfId="0" quotePrefix="1" applyFont="1" applyBorder="1" applyAlignment="1" applyProtection="1">
      <alignment horizontal="center" vertical="center"/>
      <protection locked="0"/>
    </xf>
    <xf numFmtId="0" fontId="7" fillId="0" borderId="10" xfId="0" quotePrefix="1" applyFont="1" applyBorder="1" applyAlignment="1" applyProtection="1">
      <alignment horizontal="center" vertical="center"/>
      <protection locked="0"/>
    </xf>
    <xf numFmtId="0" fontId="17" fillId="7" borderId="8" xfId="0" applyFont="1" applyFill="1" applyBorder="1" applyAlignment="1" applyProtection="1">
      <alignment horizontal="center" vertical="center"/>
      <protection locked="0"/>
    </xf>
    <xf numFmtId="0" fontId="17" fillId="7" borderId="9" xfId="0" applyFont="1" applyFill="1" applyBorder="1" applyAlignment="1" applyProtection="1">
      <alignment horizontal="center" vertical="center"/>
      <protection locked="0"/>
    </xf>
    <xf numFmtId="0" fontId="17" fillId="7" borderId="10" xfId="0" applyFont="1" applyFill="1" applyBorder="1" applyAlignment="1" applyProtection="1">
      <alignment horizontal="center" vertical="center"/>
      <protection locked="0"/>
    </xf>
    <xf numFmtId="0" fontId="9" fillId="3" borderId="5" xfId="0" quotePrefix="1" applyFont="1" applyFill="1" applyBorder="1" applyAlignment="1" applyProtection="1">
      <alignment horizontal="center" vertical="center"/>
    </xf>
    <xf numFmtId="0" fontId="9" fillId="3" borderId="6" xfId="0" quotePrefix="1" applyFont="1" applyFill="1" applyBorder="1" applyAlignment="1" applyProtection="1">
      <alignment horizontal="center" vertical="center"/>
    </xf>
    <xf numFmtId="0" fontId="9" fillId="3" borderId="7" xfId="0" quotePrefix="1" applyFont="1" applyFill="1" applyBorder="1" applyAlignment="1" applyProtection="1">
      <alignment horizontal="center" vertical="center"/>
    </xf>
    <xf numFmtId="0" fontId="9" fillId="8" borderId="5" xfId="0" quotePrefix="1" applyFont="1" applyFill="1" applyBorder="1" applyAlignment="1" applyProtection="1">
      <alignment horizontal="center" vertical="center"/>
    </xf>
    <xf numFmtId="0" fontId="9" fillId="8" borderId="6" xfId="0" quotePrefix="1" applyFont="1" applyFill="1" applyBorder="1" applyAlignment="1" applyProtection="1">
      <alignment horizontal="center" vertical="center"/>
    </xf>
    <xf numFmtId="0" fontId="9" fillId="8" borderId="7" xfId="0" quotePrefix="1" applyFont="1" applyFill="1" applyBorder="1" applyAlignment="1" applyProtection="1">
      <alignment horizontal="center" vertical="center"/>
    </xf>
    <xf numFmtId="0" fontId="0" fillId="25" borderId="8" xfId="0" applyFill="1" applyBorder="1" applyAlignment="1" applyProtection="1">
      <alignment horizontal="center" vertical="center"/>
      <protection locked="0"/>
    </xf>
    <xf numFmtId="0" fontId="0" fillId="25" borderId="9" xfId="0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14" fillId="10" borderId="8" xfId="0" applyFont="1" applyFill="1" applyBorder="1" applyAlignment="1" applyProtection="1">
      <alignment horizontal="center" vertical="center"/>
      <protection locked="0"/>
    </xf>
    <xf numFmtId="0" fontId="14" fillId="10" borderId="9" xfId="0" applyFont="1" applyFill="1" applyBorder="1" applyAlignment="1" applyProtection="1">
      <alignment horizontal="center" vertical="center"/>
      <protection locked="0"/>
    </xf>
    <xf numFmtId="0" fontId="14" fillId="10" borderId="10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9" fillId="10" borderId="2" xfId="0" quotePrefix="1" applyFont="1" applyFill="1" applyBorder="1" applyAlignment="1" applyProtection="1">
      <alignment horizontal="center" vertical="center"/>
    </xf>
    <xf numFmtId="0" fontId="9" fillId="10" borderId="3" xfId="0" quotePrefix="1" applyFont="1" applyFill="1" applyBorder="1" applyAlignment="1" applyProtection="1">
      <alignment horizontal="center" vertical="center"/>
    </xf>
    <xf numFmtId="0" fontId="9" fillId="10" borderId="4" xfId="0" quotePrefix="1" applyFont="1" applyFill="1" applyBorder="1" applyAlignment="1" applyProtection="1">
      <alignment horizontal="center" vertical="center"/>
    </xf>
    <xf numFmtId="0" fontId="9" fillId="3" borderId="2" xfId="0" quotePrefix="1" applyFont="1" applyFill="1" applyBorder="1" applyAlignment="1" applyProtection="1">
      <alignment horizontal="center" vertical="center"/>
    </xf>
    <xf numFmtId="0" fontId="9" fillId="3" borderId="3" xfId="0" quotePrefix="1" applyFont="1" applyFill="1" applyBorder="1" applyAlignment="1" applyProtection="1">
      <alignment horizontal="center" vertical="center"/>
    </xf>
    <xf numFmtId="0" fontId="9" fillId="3" borderId="4" xfId="0" quotePrefix="1" applyFont="1" applyFill="1" applyBorder="1" applyAlignment="1" applyProtection="1">
      <alignment horizontal="center" vertical="center"/>
    </xf>
    <xf numFmtId="0" fontId="31" fillId="10" borderId="0" xfId="0" applyFont="1" applyFill="1" applyAlignment="1" applyProtection="1">
      <alignment horizontal="center" vertical="center"/>
      <protection locked="0"/>
    </xf>
    <xf numFmtId="0" fontId="22" fillId="25" borderId="89" xfId="0" quotePrefix="1" applyFont="1" applyFill="1" applyBorder="1" applyAlignment="1" applyProtection="1">
      <alignment horizontal="center" vertical="center"/>
    </xf>
    <xf numFmtId="0" fontId="22" fillId="25" borderId="90" xfId="0" quotePrefix="1" applyFont="1" applyFill="1" applyBorder="1" applyAlignment="1" applyProtection="1">
      <alignment horizontal="center" vertical="center"/>
    </xf>
    <xf numFmtId="0" fontId="22" fillId="25" borderId="91" xfId="0" quotePrefix="1" applyFont="1" applyFill="1" applyBorder="1" applyAlignment="1" applyProtection="1">
      <alignment horizontal="center" vertical="center"/>
    </xf>
    <xf numFmtId="0" fontId="9" fillId="8" borderId="8" xfId="0" applyFont="1" applyFill="1" applyBorder="1" applyAlignment="1" applyProtection="1">
      <alignment horizontal="center" vertical="center"/>
      <protection locked="0"/>
    </xf>
    <xf numFmtId="0" fontId="9" fillId="8" borderId="9" xfId="0" applyFont="1" applyFill="1" applyBorder="1" applyAlignment="1" applyProtection="1">
      <alignment horizontal="center" vertical="center"/>
      <protection locked="0"/>
    </xf>
    <xf numFmtId="0" fontId="9" fillId="8" borderId="10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9" xfId="0" quotePrefix="1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1" xfId="0" quotePrefix="1" applyFont="1" applyBorder="1" applyAlignment="1" applyProtection="1">
      <alignment horizontal="center" vertical="center"/>
    </xf>
    <xf numFmtId="0" fontId="8" fillId="14" borderId="0" xfId="0" applyFont="1" applyFill="1" applyAlignment="1" applyProtection="1">
      <alignment horizontal="center" vertical="center"/>
      <protection locked="0"/>
    </xf>
    <xf numFmtId="0" fontId="58" fillId="0" borderId="8" xfId="0" quotePrefix="1" applyFont="1" applyBorder="1" applyAlignment="1" applyProtection="1">
      <alignment horizontal="center" vertical="center"/>
      <protection locked="0"/>
    </xf>
    <xf numFmtId="0" fontId="58" fillId="0" borderId="10" xfId="0" quotePrefix="1" applyFont="1" applyBorder="1" applyAlignment="1" applyProtection="1">
      <alignment horizontal="center" vertical="center"/>
      <protection locked="0"/>
    </xf>
    <xf numFmtId="0" fontId="58" fillId="0" borderId="8" xfId="0" applyFont="1" applyBorder="1" applyAlignment="1" applyProtection="1">
      <alignment horizontal="center" vertical="center"/>
      <protection locked="0"/>
    </xf>
    <xf numFmtId="0" fontId="58" fillId="0" borderId="9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15" fillId="12" borderId="13" xfId="0" quotePrefix="1" applyNumberFormat="1" applyFont="1" applyFill="1" applyBorder="1" applyAlignment="1" applyProtection="1">
      <alignment horizontal="center" vertical="center"/>
    </xf>
    <xf numFmtId="0" fontId="15" fillId="12" borderId="15" xfId="0" applyNumberFormat="1" applyFont="1" applyFill="1" applyBorder="1" applyAlignment="1" applyProtection="1">
      <alignment horizontal="center" vertical="center"/>
    </xf>
    <xf numFmtId="0" fontId="15" fillId="12" borderId="16" xfId="0" applyNumberFormat="1" applyFont="1" applyFill="1" applyBorder="1" applyAlignment="1" applyProtection="1">
      <alignment horizontal="center" vertical="center"/>
    </xf>
    <xf numFmtId="0" fontId="15" fillId="12" borderId="18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right" vertical="center"/>
      <protection locked="0"/>
    </xf>
    <xf numFmtId="0" fontId="58" fillId="0" borderId="20" xfId="0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 applyProtection="1">
      <alignment horizontal="center" vertical="center"/>
    </xf>
    <xf numFmtId="0" fontId="6" fillId="10" borderId="17" xfId="0" applyFont="1" applyFill="1" applyBorder="1" applyAlignment="1" applyProtection="1">
      <alignment horizontal="center"/>
    </xf>
    <xf numFmtId="0" fontId="6" fillId="21" borderId="17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6" fillId="0" borderId="8" xfId="0" quotePrefix="1" applyFont="1" applyFill="1" applyBorder="1" applyAlignment="1" applyProtection="1">
      <alignment horizontal="center"/>
    </xf>
    <xf numFmtId="0" fontId="6" fillId="0" borderId="9" xfId="0" quotePrefix="1" applyFont="1" applyFill="1" applyBorder="1" applyAlignment="1" applyProtection="1">
      <alignment horizontal="center"/>
    </xf>
    <xf numFmtId="0" fontId="6" fillId="0" borderId="10" xfId="0" quotePrefix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4" fontId="8" fillId="0" borderId="9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6" fillId="0" borderId="2" xfId="0" quotePrefix="1" applyFont="1" applyFill="1" applyBorder="1" applyAlignment="1" applyProtection="1">
      <alignment horizontal="center"/>
    </xf>
    <xf numFmtId="0" fontId="6" fillId="0" borderId="3" xfId="0" quotePrefix="1" applyFont="1" applyFill="1" applyBorder="1" applyAlignment="1" applyProtection="1">
      <alignment horizontal="center"/>
    </xf>
    <xf numFmtId="0" fontId="6" fillId="0" borderId="4" xfId="0" quotePrefix="1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9" borderId="8" xfId="0" applyFont="1" applyFill="1" applyBorder="1" applyAlignment="1" applyProtection="1">
      <alignment horizontal="center"/>
    </xf>
    <xf numFmtId="0" fontId="5" fillId="9" borderId="9" xfId="0" applyFont="1" applyFill="1" applyBorder="1" applyAlignment="1" applyProtection="1">
      <alignment horizontal="center"/>
    </xf>
    <xf numFmtId="0" fontId="5" fillId="9" borderId="10" xfId="0" applyFont="1" applyFill="1" applyBorder="1" applyAlignment="1" applyProtection="1">
      <alignment horizontal="center"/>
    </xf>
    <xf numFmtId="0" fontId="6" fillId="0" borderId="16" xfId="0" quotePrefix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" xfId="0" quotePrefix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3" fillId="0" borderId="19" xfId="0" quotePrefix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5" xfId="0" quotePrefix="1" applyFont="1" applyFill="1" applyBorder="1" applyAlignment="1" applyProtection="1">
      <alignment horizontal="center"/>
    </xf>
    <xf numFmtId="0" fontId="6" fillId="0" borderId="6" xfId="0" quotePrefix="1" applyFont="1" applyFill="1" applyBorder="1" applyAlignment="1" applyProtection="1">
      <alignment horizontal="center"/>
    </xf>
    <xf numFmtId="0" fontId="6" fillId="0" borderId="7" xfId="0" quotePrefix="1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" xfId="0" quotePrefix="1" applyNumberFormat="1" applyFont="1" applyFill="1" applyBorder="1" applyAlignment="1" applyProtection="1">
      <alignment horizontal="center" vertical="center"/>
    </xf>
    <xf numFmtId="0" fontId="6" fillId="0" borderId="6" xfId="0" quotePrefix="1" applyNumberFormat="1" applyFont="1" applyFill="1" applyBorder="1" applyAlignment="1" applyProtection="1">
      <alignment horizontal="center" vertical="center"/>
    </xf>
    <xf numFmtId="0" fontId="6" fillId="0" borderId="7" xfId="0" quotePrefix="1" applyNumberFormat="1" applyFont="1" applyFill="1" applyBorder="1" applyAlignment="1" applyProtection="1">
      <alignment horizontal="center" vertical="center"/>
    </xf>
    <xf numFmtId="0" fontId="0" fillId="0" borderId="11" xfId="0" applyBorder="1"/>
    <xf numFmtId="0" fontId="6" fillId="0" borderId="0" xfId="0" applyFont="1" applyBorder="1" applyAlignment="1" applyProtection="1">
      <alignment horizontal="center" vertical="center"/>
    </xf>
    <xf numFmtId="0" fontId="6" fillId="22" borderId="0" xfId="0" applyFont="1" applyFill="1" applyBorder="1" applyAlignment="1" applyProtection="1">
      <alignment horizontal="center" vertical="center"/>
    </xf>
    <xf numFmtId="0" fontId="6" fillId="10" borderId="2" xfId="0" quotePrefix="1" applyFont="1" applyFill="1" applyBorder="1" applyAlignment="1" applyProtection="1">
      <alignment horizontal="center"/>
    </xf>
    <xf numFmtId="0" fontId="6" fillId="10" borderId="3" xfId="0" quotePrefix="1" applyFont="1" applyFill="1" applyBorder="1" applyAlignment="1" applyProtection="1">
      <alignment horizontal="center"/>
    </xf>
    <xf numFmtId="0" fontId="6" fillId="10" borderId="4" xfId="0" quotePrefix="1" applyFont="1" applyFill="1" applyBorder="1" applyAlignment="1" applyProtection="1">
      <alignment horizontal="center"/>
    </xf>
    <xf numFmtId="0" fontId="6" fillId="10" borderId="39" xfId="0" quotePrefix="1" applyFont="1" applyFill="1" applyBorder="1" applyAlignment="1" applyProtection="1">
      <alignment horizontal="center"/>
    </xf>
    <xf numFmtId="0" fontId="6" fillId="10" borderId="40" xfId="0" quotePrefix="1" applyFont="1" applyFill="1" applyBorder="1" applyAlignment="1" applyProtection="1">
      <alignment horizontal="center"/>
    </xf>
    <xf numFmtId="0" fontId="6" fillId="10" borderId="41" xfId="0" quotePrefix="1" applyFont="1" applyFill="1" applyBorder="1" applyAlignment="1" applyProtection="1">
      <alignment horizontal="center"/>
    </xf>
    <xf numFmtId="0" fontId="3" fillId="0" borderId="11" xfId="0" quotePrefix="1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6" fillId="21" borderId="1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9" xfId="0" quotePrefix="1" applyFont="1" applyFill="1" applyBorder="1" applyAlignment="1" applyProtection="1">
      <alignment horizontal="center"/>
    </xf>
    <xf numFmtId="0" fontId="6" fillId="0" borderId="40" xfId="0" quotePrefix="1" applyFont="1" applyFill="1" applyBorder="1" applyAlignment="1" applyProtection="1">
      <alignment horizontal="center"/>
    </xf>
    <xf numFmtId="0" fontId="6" fillId="0" borderId="41" xfId="0" quotePrefix="1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9" borderId="8" xfId="0" applyFont="1" applyFill="1" applyBorder="1" applyAlignment="1" applyProtection="1">
      <alignment horizontal="center"/>
      <protection locked="0"/>
    </xf>
    <xf numFmtId="0" fontId="5" fillId="9" borderId="9" xfId="0" applyFont="1" applyFill="1" applyBorder="1" applyAlignment="1" applyProtection="1">
      <alignment horizontal="center"/>
      <protection locked="0"/>
    </xf>
    <xf numFmtId="0" fontId="5" fillId="9" borderId="10" xfId="0" applyFont="1" applyFill="1" applyBorder="1" applyAlignment="1" applyProtection="1">
      <alignment horizontal="center"/>
      <protection locked="0"/>
    </xf>
    <xf numFmtId="0" fontId="6" fillId="0" borderId="5" xfId="0" quotePrefix="1" applyFont="1" applyFill="1" applyBorder="1" applyAlignment="1" applyProtection="1">
      <alignment horizontal="center" vertical="center"/>
    </xf>
    <xf numFmtId="0" fontId="6" fillId="0" borderId="6" xfId="0" quotePrefix="1" applyFont="1" applyFill="1" applyBorder="1" applyAlignment="1" applyProtection="1">
      <alignment horizontal="center"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8" xfId="0" quotePrefix="1" applyFont="1" applyFill="1" applyBorder="1" applyAlignment="1" applyProtection="1">
      <alignment horizontal="center" vertical="center"/>
    </xf>
    <xf numFmtId="0" fontId="6" fillId="0" borderId="9" xfId="0" quotePrefix="1" applyFont="1" applyFill="1" applyBorder="1" applyAlignment="1" applyProtection="1">
      <alignment horizontal="center" vertical="center"/>
    </xf>
    <xf numFmtId="0" fontId="6" fillId="0" borderId="10" xfId="0" quotePrefix="1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9" xfId="0" quotePrefix="1" applyFont="1" applyBorder="1" applyAlignment="1" applyProtection="1">
      <alignment horizontal="center" vertical="center"/>
      <protection locked="0"/>
    </xf>
    <xf numFmtId="0" fontId="6" fillId="0" borderId="11" xfId="0" quotePrefix="1" applyFont="1" applyBorder="1" applyAlignment="1" applyProtection="1">
      <alignment horizontal="center" vertical="center"/>
      <protection locked="0"/>
    </xf>
    <xf numFmtId="0" fontId="6" fillId="0" borderId="3" xfId="0" quotePrefix="1" applyFont="1" applyFill="1" applyBorder="1" applyAlignment="1" applyProtection="1">
      <alignment horizontal="center" vertical="center"/>
    </xf>
    <xf numFmtId="0" fontId="6" fillId="0" borderId="4" xfId="0" quotePrefix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21" borderId="0" xfId="0" applyFont="1" applyFill="1" applyBorder="1" applyAlignment="1" applyProtection="1">
      <alignment horizontal="center" vertical="center"/>
    </xf>
    <xf numFmtId="0" fontId="6" fillId="10" borderId="17" xfId="0" applyFont="1" applyFill="1" applyBorder="1" applyAlignment="1" applyProtection="1">
      <alignment horizontal="center" vertical="center"/>
    </xf>
    <xf numFmtId="0" fontId="6" fillId="21" borderId="17" xfId="0" applyFont="1" applyFill="1" applyBorder="1" applyAlignment="1" applyProtection="1">
      <alignment horizontal="center" vertical="center"/>
    </xf>
    <xf numFmtId="0" fontId="9" fillId="0" borderId="2" xfId="0" quotePrefix="1" applyFont="1" applyFill="1" applyBorder="1" applyAlignment="1" applyProtection="1">
      <alignment horizontal="center"/>
    </xf>
    <xf numFmtId="0" fontId="9" fillId="0" borderId="3" xfId="0" quotePrefix="1" applyFont="1" applyFill="1" applyBorder="1" applyAlignment="1" applyProtection="1">
      <alignment horizontal="center"/>
    </xf>
    <xf numFmtId="0" fontId="9" fillId="0" borderId="4" xfId="0" quotePrefix="1" applyFont="1" applyFill="1" applyBorder="1" applyAlignment="1" applyProtection="1">
      <alignment horizontal="center"/>
    </xf>
    <xf numFmtId="0" fontId="9" fillId="0" borderId="5" xfId="0" quotePrefix="1" applyFont="1" applyFill="1" applyBorder="1" applyAlignment="1" applyProtection="1">
      <alignment horizontal="center"/>
    </xf>
    <xf numFmtId="0" fontId="9" fillId="0" borderId="6" xfId="0" quotePrefix="1" applyFont="1" applyFill="1" applyBorder="1" applyAlignment="1" applyProtection="1">
      <alignment horizontal="center"/>
    </xf>
    <xf numFmtId="0" fontId="9" fillId="0" borderId="7" xfId="0" quotePrefix="1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9" xfId="0" quotePrefix="1" applyFont="1" applyBorder="1" applyAlignment="1" applyProtection="1">
      <alignment horizontal="center" vertical="center"/>
      <protection locked="0"/>
    </xf>
    <xf numFmtId="0" fontId="9" fillId="0" borderId="11" xfId="0" quotePrefix="1" applyFont="1" applyBorder="1" applyAlignment="1" applyProtection="1">
      <alignment horizontal="center" vertical="center"/>
      <protection locked="0"/>
    </xf>
    <xf numFmtId="0" fontId="11" fillId="9" borderId="8" xfId="0" applyFont="1" applyFill="1" applyBorder="1" applyAlignment="1" applyProtection="1">
      <alignment horizontal="center"/>
    </xf>
    <xf numFmtId="0" fontId="11" fillId="9" borderId="9" xfId="0" applyFont="1" applyFill="1" applyBorder="1" applyAlignment="1" applyProtection="1">
      <alignment horizontal="center"/>
    </xf>
    <xf numFmtId="0" fontId="11" fillId="9" borderId="10" xfId="0" applyFont="1" applyFill="1" applyBorder="1" applyAlignment="1" applyProtection="1">
      <alignment horizontal="center"/>
    </xf>
    <xf numFmtId="0" fontId="9" fillId="0" borderId="2" xfId="0" quotePrefix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6" xfId="0" quotePrefix="1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5" xfId="0" quotePrefix="1" applyFont="1" applyFill="1" applyBorder="1" applyAlignment="1" applyProtection="1">
      <alignment horizontal="center" vertical="center"/>
    </xf>
    <xf numFmtId="0" fontId="9" fillId="0" borderId="6" xfId="0" quotePrefix="1" applyFont="1" applyFill="1" applyBorder="1" applyAlignment="1" applyProtection="1">
      <alignment horizontal="center" vertical="center"/>
    </xf>
    <xf numFmtId="0" fontId="9" fillId="0" borderId="7" xfId="0" quotePrefix="1" applyFont="1" applyFill="1" applyBorder="1" applyAlignment="1" applyProtection="1">
      <alignment horizontal="center" vertical="center"/>
    </xf>
    <xf numFmtId="0" fontId="9" fillId="0" borderId="3" xfId="0" quotePrefix="1" applyFont="1" applyFill="1" applyBorder="1" applyAlignment="1" applyProtection="1">
      <alignment horizontal="center" vertical="center"/>
    </xf>
    <xf numFmtId="0" fontId="9" fillId="0" borderId="4" xfId="0" quotePrefix="1" applyFont="1" applyFill="1" applyBorder="1" applyAlignment="1" applyProtection="1">
      <alignment horizontal="center" vertical="center"/>
    </xf>
    <xf numFmtId="0" fontId="9" fillId="0" borderId="39" xfId="0" quotePrefix="1" applyFont="1" applyFill="1" applyBorder="1" applyAlignment="1" applyProtection="1">
      <alignment horizontal="center"/>
    </xf>
    <xf numFmtId="0" fontId="9" fillId="0" borderId="40" xfId="0" quotePrefix="1" applyFont="1" applyFill="1" applyBorder="1" applyAlignment="1" applyProtection="1">
      <alignment horizontal="center"/>
    </xf>
    <xf numFmtId="0" fontId="9" fillId="0" borderId="41" xfId="0" quotePrefix="1" applyFont="1" applyFill="1" applyBorder="1" applyAlignment="1" applyProtection="1">
      <alignment horizontal="center"/>
    </xf>
    <xf numFmtId="0" fontId="9" fillId="0" borderId="5" xfId="0" quotePrefix="1" applyNumberFormat="1" applyFont="1" applyFill="1" applyBorder="1" applyAlignment="1" applyProtection="1">
      <alignment horizontal="center" vertical="center"/>
    </xf>
    <xf numFmtId="0" fontId="9" fillId="0" borderId="6" xfId="0" quotePrefix="1" applyNumberFormat="1" applyFont="1" applyFill="1" applyBorder="1" applyAlignment="1" applyProtection="1">
      <alignment horizontal="center" vertical="center"/>
    </xf>
    <xf numFmtId="0" fontId="9" fillId="0" borderId="7" xfId="0" quotePrefix="1" applyNumberFormat="1" applyFont="1" applyFill="1" applyBorder="1" applyAlignment="1" applyProtection="1">
      <alignment horizontal="center" vertical="center"/>
    </xf>
    <xf numFmtId="0" fontId="9" fillId="0" borderId="8" xfId="0" quotePrefix="1" applyFont="1" applyFill="1" applyBorder="1" applyAlignment="1" applyProtection="1">
      <alignment horizontal="center" vertical="center"/>
    </xf>
    <xf numFmtId="0" fontId="9" fillId="0" borderId="9" xfId="0" quotePrefix="1" applyFont="1" applyFill="1" applyBorder="1" applyAlignment="1" applyProtection="1">
      <alignment horizontal="center" vertical="center"/>
    </xf>
    <xf numFmtId="0" fontId="9" fillId="0" borderId="10" xfId="0" quotePrefix="1" applyFont="1" applyFill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9" fillId="0" borderId="8" xfId="0" quotePrefix="1" applyFont="1" applyFill="1" applyBorder="1" applyAlignment="1" applyProtection="1">
      <alignment horizontal="center"/>
    </xf>
    <xf numFmtId="0" fontId="9" fillId="0" borderId="9" xfId="0" quotePrefix="1" applyFont="1" applyFill="1" applyBorder="1" applyAlignment="1" applyProtection="1">
      <alignment horizontal="center"/>
    </xf>
    <xf numFmtId="0" fontId="9" fillId="0" borderId="10" xfId="0" quotePrefix="1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6" xfId="0" quotePrefix="1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1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17" xfId="0" quotePrefix="1" applyFont="1" applyFill="1" applyBorder="1" applyAlignment="1" applyProtection="1">
      <alignment horizontal="center"/>
    </xf>
    <xf numFmtId="0" fontId="14" fillId="10" borderId="8" xfId="0" applyFont="1" applyFill="1" applyBorder="1" applyAlignment="1" applyProtection="1">
      <alignment horizontal="center"/>
      <protection locked="0"/>
    </xf>
    <xf numFmtId="0" fontId="14" fillId="10" borderId="9" xfId="0" applyFont="1" applyFill="1" applyBorder="1" applyAlignment="1" applyProtection="1">
      <alignment horizontal="center"/>
      <protection locked="0"/>
    </xf>
    <xf numFmtId="0" fontId="14" fillId="10" borderId="10" xfId="0" applyFont="1" applyFill="1" applyBorder="1" applyAlignment="1" applyProtection="1">
      <alignment horizontal="center"/>
      <protection locked="0"/>
    </xf>
    <xf numFmtId="0" fontId="9" fillId="8" borderId="16" xfId="0" applyFont="1" applyFill="1" applyBorder="1" applyAlignment="1" applyProtection="1">
      <alignment horizontal="center"/>
      <protection locked="0"/>
    </xf>
    <xf numFmtId="0" fontId="9" fillId="8" borderId="17" xfId="0" applyFont="1" applyFill="1" applyBorder="1" applyAlignment="1" applyProtection="1">
      <alignment horizontal="center"/>
      <protection locked="0"/>
    </xf>
    <xf numFmtId="0" fontId="9" fillId="8" borderId="18" xfId="0" applyFont="1" applyFill="1" applyBorder="1" applyAlignment="1" applyProtection="1">
      <alignment horizontal="center"/>
      <protection locked="0"/>
    </xf>
    <xf numFmtId="0" fontId="14" fillId="9" borderId="8" xfId="0" applyFont="1" applyFill="1" applyBorder="1" applyAlignment="1" applyProtection="1">
      <alignment horizontal="center" vertical="center"/>
      <protection locked="0"/>
    </xf>
    <xf numFmtId="0" fontId="14" fillId="9" borderId="9" xfId="0" applyFont="1" applyFill="1" applyBorder="1" applyAlignment="1" applyProtection="1">
      <alignment horizontal="center" vertical="center"/>
      <protection locked="0"/>
    </xf>
    <xf numFmtId="0" fontId="14" fillId="9" borderId="10" xfId="0" applyFont="1" applyFill="1" applyBorder="1" applyAlignment="1" applyProtection="1">
      <alignment horizontal="center" vertical="center"/>
      <protection locked="0"/>
    </xf>
    <xf numFmtId="0" fontId="9" fillId="0" borderId="18" xfId="0" quotePrefix="1" applyFont="1" applyFill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0" fontId="3" fillId="5" borderId="8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/>
    </xf>
    <xf numFmtId="0" fontId="3" fillId="10" borderId="8" xfId="0" applyFont="1" applyFill="1" applyBorder="1" applyAlignment="1" applyProtection="1">
      <alignment horizontal="center"/>
    </xf>
    <xf numFmtId="0" fontId="3" fillId="10" borderId="9" xfId="0" applyFont="1" applyFill="1" applyBorder="1" applyAlignment="1" applyProtection="1">
      <alignment horizontal="center"/>
    </xf>
    <xf numFmtId="0" fontId="3" fillId="10" borderId="10" xfId="0" applyFont="1" applyFill="1" applyBorder="1" applyAlignment="1" applyProtection="1">
      <alignment horizontal="center"/>
    </xf>
    <xf numFmtId="0" fontId="3" fillId="7" borderId="8" xfId="0" applyFont="1" applyFill="1" applyBorder="1" applyAlignment="1" applyProtection="1">
      <alignment horizontal="center"/>
    </xf>
    <xf numFmtId="0" fontId="3" fillId="7" borderId="9" xfId="0" applyFont="1" applyFill="1" applyBorder="1" applyAlignment="1" applyProtection="1">
      <alignment horizontal="center"/>
    </xf>
    <xf numFmtId="0" fontId="3" fillId="7" borderId="10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horizontal="center"/>
    </xf>
    <xf numFmtId="0" fontId="3" fillId="4" borderId="17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9" fillId="0" borderId="14" xfId="0" quotePrefix="1" applyFont="1" applyFill="1" applyBorder="1" applyAlignment="1" applyProtection="1">
      <alignment horizontal="center"/>
    </xf>
  </cellXfs>
  <cellStyles count="3">
    <cellStyle name="Lien hypertexte" xfId="1" builtinId="8"/>
    <cellStyle name="Normal" xfId="0" builtinId="0"/>
    <cellStyle name="Normal 2" xfId="2"/>
  </cellStyles>
  <dxfs count="585"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lightUp"/>
      </fill>
    </dxf>
    <dxf>
      <fill>
        <patternFill>
          <bgColor rgb="FFFA90ED"/>
        </patternFill>
      </fill>
    </dxf>
    <dxf>
      <fill>
        <patternFill>
          <bgColor rgb="FFF7B3EA"/>
        </patternFill>
      </fill>
    </dxf>
    <dxf>
      <fill>
        <patternFill>
          <bgColor rgb="FFFFCC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 patternType="lightHorizontal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 patternType="lightUp"/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auto="1"/>
      </font>
      <fill>
        <patternFill>
          <bgColor rgb="FF4CF71D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0006"/>
      </font>
      <fill>
        <patternFill>
          <bgColor rgb="FF10FC59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66FF33"/>
      <color rgb="FF99FF33"/>
      <color rgb="FFFFCC99"/>
      <color rgb="FFFF66CC"/>
      <color rgb="FFCC3300"/>
      <color rgb="FFCC6600"/>
      <color rgb="FFBFBFBF"/>
      <color rgb="FF0033CC"/>
      <color rgb="FFFCD5B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0</xdr:colOff>
      <xdr:row>13</xdr:row>
      <xdr:rowOff>238125</xdr:rowOff>
    </xdr:from>
    <xdr:to>
      <xdr:col>63</xdr:col>
      <xdr:colOff>0</xdr:colOff>
      <xdr:row>15</xdr:row>
      <xdr:rowOff>174625</xdr:rowOff>
    </xdr:to>
    <xdr:cxnSp macro="">
      <xdr:nvCxnSpPr>
        <xdr:cNvPr id="3" name="Connecteur droit avec flèche 2"/>
        <xdr:cNvCxnSpPr/>
      </xdr:nvCxnSpPr>
      <xdr:spPr>
        <a:xfrm>
          <a:off x="44783375" y="5349875"/>
          <a:ext cx="1111250" cy="5556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793750</xdr:colOff>
      <xdr:row>21</xdr:row>
      <xdr:rowOff>238125</xdr:rowOff>
    </xdr:from>
    <xdr:to>
      <xdr:col>63</xdr:col>
      <xdr:colOff>6350</xdr:colOff>
      <xdr:row>23</xdr:row>
      <xdr:rowOff>158750</xdr:rowOff>
    </xdr:to>
    <xdr:cxnSp macro="">
      <xdr:nvCxnSpPr>
        <xdr:cNvPr id="4" name="Connecteur droit avec flèche 3"/>
        <xdr:cNvCxnSpPr/>
      </xdr:nvCxnSpPr>
      <xdr:spPr>
        <a:xfrm>
          <a:off x="44767500" y="7762875"/>
          <a:ext cx="1133475" cy="4921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793750</xdr:colOff>
      <xdr:row>29</xdr:row>
      <xdr:rowOff>254000</xdr:rowOff>
    </xdr:from>
    <xdr:to>
      <xdr:col>63</xdr:col>
      <xdr:colOff>0</xdr:colOff>
      <xdr:row>31</xdr:row>
      <xdr:rowOff>174625</xdr:rowOff>
    </xdr:to>
    <xdr:cxnSp macro="">
      <xdr:nvCxnSpPr>
        <xdr:cNvPr id="5" name="Connecteur droit avec flèche 4"/>
        <xdr:cNvCxnSpPr/>
      </xdr:nvCxnSpPr>
      <xdr:spPr>
        <a:xfrm>
          <a:off x="44767500" y="10096500"/>
          <a:ext cx="1127125" cy="4921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38</xdr:row>
      <xdr:rowOff>0</xdr:rowOff>
    </xdr:from>
    <xdr:to>
      <xdr:col>63</xdr:col>
      <xdr:colOff>6350</xdr:colOff>
      <xdr:row>39</xdr:row>
      <xdr:rowOff>206375</xdr:rowOff>
    </xdr:to>
    <xdr:cxnSp macro="">
      <xdr:nvCxnSpPr>
        <xdr:cNvPr id="6" name="Connecteur droit avec flèche 5"/>
        <xdr:cNvCxnSpPr/>
      </xdr:nvCxnSpPr>
      <xdr:spPr>
        <a:xfrm>
          <a:off x="44783375" y="12477750"/>
          <a:ext cx="1117600" cy="4921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16</xdr:row>
      <xdr:rowOff>79375</xdr:rowOff>
    </xdr:from>
    <xdr:to>
      <xdr:col>63</xdr:col>
      <xdr:colOff>0</xdr:colOff>
      <xdr:row>18</xdr:row>
      <xdr:rowOff>0</xdr:rowOff>
    </xdr:to>
    <xdr:cxnSp macro="">
      <xdr:nvCxnSpPr>
        <xdr:cNvPr id="7" name="Connecteur droit avec flèche 6"/>
        <xdr:cNvCxnSpPr/>
      </xdr:nvCxnSpPr>
      <xdr:spPr>
        <a:xfrm flipV="1">
          <a:off x="44783375" y="6096000"/>
          <a:ext cx="1111250" cy="4921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24</xdr:row>
      <xdr:rowOff>142875</xdr:rowOff>
    </xdr:from>
    <xdr:to>
      <xdr:col>63</xdr:col>
      <xdr:colOff>0</xdr:colOff>
      <xdr:row>26</xdr:row>
      <xdr:rowOff>63500</xdr:rowOff>
    </xdr:to>
    <xdr:cxnSp macro="">
      <xdr:nvCxnSpPr>
        <xdr:cNvPr id="10" name="Connecteur droit avec flèche 9"/>
        <xdr:cNvCxnSpPr/>
      </xdr:nvCxnSpPr>
      <xdr:spPr>
        <a:xfrm flipV="1">
          <a:off x="44783375" y="8556625"/>
          <a:ext cx="1111250" cy="4921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32</xdr:row>
      <xdr:rowOff>127000</xdr:rowOff>
    </xdr:from>
    <xdr:to>
      <xdr:col>63</xdr:col>
      <xdr:colOff>31750</xdr:colOff>
      <xdr:row>34</xdr:row>
      <xdr:rowOff>0</xdr:rowOff>
    </xdr:to>
    <xdr:cxnSp macro="">
      <xdr:nvCxnSpPr>
        <xdr:cNvPr id="11" name="Connecteur droit avec flèche 10"/>
        <xdr:cNvCxnSpPr/>
      </xdr:nvCxnSpPr>
      <xdr:spPr>
        <a:xfrm flipV="1">
          <a:off x="44783375" y="10826750"/>
          <a:ext cx="1143000" cy="476250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40</xdr:row>
      <xdr:rowOff>95250</xdr:rowOff>
    </xdr:from>
    <xdr:to>
      <xdr:col>63</xdr:col>
      <xdr:colOff>0</xdr:colOff>
      <xdr:row>42</xdr:row>
      <xdr:rowOff>79375</xdr:rowOff>
    </xdr:to>
    <xdr:cxnSp macro="">
      <xdr:nvCxnSpPr>
        <xdr:cNvPr id="12" name="Connecteur droit avec flèche 11"/>
        <xdr:cNvCxnSpPr/>
      </xdr:nvCxnSpPr>
      <xdr:spPr>
        <a:xfrm flipV="1">
          <a:off x="44783375" y="13144500"/>
          <a:ext cx="1111250" cy="5556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E1" sqref="E1:E5"/>
    </sheetView>
  </sheetViews>
  <sheetFormatPr baseColWidth="10" defaultRowHeight="15"/>
  <cols>
    <col min="1" max="1" width="15.42578125" customWidth="1"/>
    <col min="2" max="2" width="13.140625" customWidth="1"/>
    <col min="3" max="3" width="15.28515625" customWidth="1"/>
    <col min="4" max="4" width="14" customWidth="1"/>
    <col min="5" max="5" width="15.140625" customWidth="1"/>
  </cols>
  <sheetData>
    <row r="1" spans="1:5" ht="18.75">
      <c r="A1" s="401" t="s">
        <v>155</v>
      </c>
      <c r="B1" s="537" t="s">
        <v>156</v>
      </c>
      <c r="C1" s="538" t="s">
        <v>157</v>
      </c>
      <c r="D1" s="538" t="s">
        <v>158</v>
      </c>
      <c r="E1" s="538" t="s">
        <v>159</v>
      </c>
    </row>
    <row r="2" spans="1:5" ht="18.75">
      <c r="A2" s="539" t="s">
        <v>156</v>
      </c>
      <c r="B2" s="540" t="s">
        <v>160</v>
      </c>
      <c r="C2" s="540" t="s">
        <v>161</v>
      </c>
      <c r="D2" s="540" t="s">
        <v>162</v>
      </c>
      <c r="E2" s="540" t="s">
        <v>163</v>
      </c>
    </row>
    <row r="3" spans="1:5" ht="18.75">
      <c r="A3" s="540" t="s">
        <v>157</v>
      </c>
      <c r="B3" s="540" t="s">
        <v>164</v>
      </c>
      <c r="C3" s="540" t="s">
        <v>165</v>
      </c>
      <c r="D3" s="540" t="s">
        <v>166</v>
      </c>
      <c r="E3" s="540" t="s">
        <v>167</v>
      </c>
    </row>
    <row r="4" spans="1:5" ht="18.75">
      <c r="A4" s="540" t="s">
        <v>158</v>
      </c>
      <c r="B4" s="540" t="s">
        <v>168</v>
      </c>
      <c r="C4" s="540" t="s">
        <v>169</v>
      </c>
      <c r="D4" s="540" t="s">
        <v>170</v>
      </c>
      <c r="E4" s="540" t="s">
        <v>171</v>
      </c>
    </row>
    <row r="5" spans="1:5" ht="18.75">
      <c r="A5" s="130"/>
      <c r="B5" s="540" t="s">
        <v>172</v>
      </c>
      <c r="C5" s="540" t="s">
        <v>173</v>
      </c>
      <c r="D5" s="540" t="s">
        <v>174</v>
      </c>
      <c r="E5" s="540" t="s">
        <v>175</v>
      </c>
    </row>
    <row r="6" spans="1:5" ht="18.75">
      <c r="A6" s="130"/>
      <c r="B6" s="540" t="s">
        <v>178</v>
      </c>
      <c r="C6" s="540" t="s">
        <v>176</v>
      </c>
      <c r="D6" s="540">
        <v>-13</v>
      </c>
      <c r="E6" s="130"/>
    </row>
    <row r="7" spans="1:5" ht="18.75">
      <c r="A7" s="130"/>
      <c r="B7" s="539"/>
      <c r="C7" s="540" t="s">
        <v>177</v>
      </c>
      <c r="D7" s="540">
        <v>-11</v>
      </c>
      <c r="E7" s="130"/>
    </row>
    <row r="8" spans="1:5" ht="18.75">
      <c r="A8" s="130"/>
      <c r="B8" s="539"/>
      <c r="C8" s="540"/>
      <c r="D8" s="540">
        <v>-9</v>
      </c>
      <c r="E8" s="13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tabColor rgb="FFFFFF00"/>
    <pageSetUpPr fitToPage="1"/>
  </sheetPr>
  <dimension ref="A1:AM28"/>
  <sheetViews>
    <sheetView zoomScale="80" zoomScaleNormal="80" workbookViewId="0">
      <selection activeCell="Q28" sqref="Q28"/>
    </sheetView>
  </sheetViews>
  <sheetFormatPr baseColWidth="10" defaultRowHeight="15"/>
  <cols>
    <col min="1" max="1" width="4" style="15" customWidth="1"/>
    <col min="2" max="2" width="6.42578125" style="15" customWidth="1"/>
    <col min="3" max="3" width="6.7109375" style="15" customWidth="1"/>
    <col min="4" max="5" width="8.7109375" style="15" customWidth="1"/>
    <col min="6" max="6" width="6.42578125" style="15" customWidth="1"/>
    <col min="7" max="7" width="6.7109375" style="15" customWidth="1"/>
    <col min="8" max="9" width="8.7109375" style="15" customWidth="1"/>
    <col min="10" max="11" width="6.7109375" style="15" customWidth="1"/>
    <col min="12" max="14" width="8.7109375" style="15" customWidth="1"/>
    <col min="15" max="16" width="6.7109375" style="15" customWidth="1"/>
    <col min="17" max="17" width="4.42578125" style="15" customWidth="1"/>
    <col min="18" max="19" width="6.7109375" style="15" customWidth="1"/>
    <col min="20" max="20" width="8.85546875" style="15" customWidth="1"/>
    <col min="21" max="21" width="8.7109375" style="15" customWidth="1"/>
    <col min="22" max="23" width="6.85546875" style="15" customWidth="1"/>
    <col min="24" max="25" width="8.7109375" style="15" customWidth="1"/>
    <col min="26" max="26" width="6.7109375" style="15" customWidth="1"/>
    <col min="27" max="27" width="6.85546875" style="15" customWidth="1"/>
    <col min="28" max="30" width="8.7109375" style="15" customWidth="1"/>
    <col min="31" max="31" width="6.85546875" style="15" customWidth="1"/>
    <col min="32" max="32" width="7.140625" style="15" customWidth="1"/>
    <col min="33" max="33" width="8.140625" style="15" customWidth="1"/>
    <col min="34" max="34" width="11.42578125" style="15" customWidth="1"/>
    <col min="35" max="16384" width="11.42578125" style="15"/>
  </cols>
  <sheetData>
    <row r="1" spans="1:39" s="134" customFormat="1" ht="29.25" customHeight="1" thickBot="1">
      <c r="A1" s="62"/>
      <c r="B1" s="725" t="s">
        <v>84</v>
      </c>
      <c r="C1" s="733"/>
      <c r="D1" s="733"/>
      <c r="E1" s="733" t="e">
        <f>#REF!</f>
        <v>#REF!</v>
      </c>
      <c r="F1" s="733"/>
      <c r="G1" s="733"/>
      <c r="H1" s="71" t="e">
        <f>#REF!</f>
        <v>#REF!</v>
      </c>
      <c r="I1" s="733" t="e">
        <f>#REF!</f>
        <v>#REF!</v>
      </c>
      <c r="J1" s="733"/>
      <c r="K1" s="733"/>
      <c r="L1" s="733"/>
      <c r="M1" s="152" t="e">
        <f>#REF!</f>
        <v>#REF!</v>
      </c>
      <c r="N1" s="161" t="s">
        <v>83</v>
      </c>
      <c r="O1" s="162"/>
      <c r="P1" s="18" t="e">
        <f>#REF!</f>
        <v>#REF!</v>
      </c>
      <c r="Q1" s="62"/>
      <c r="R1" s="725" t="s">
        <v>84</v>
      </c>
      <c r="S1" s="733"/>
      <c r="T1" s="733"/>
      <c r="U1" s="733" t="e">
        <f>#REF!</f>
        <v>#REF!</v>
      </c>
      <c r="V1" s="733"/>
      <c r="W1" s="733"/>
      <c r="X1" s="71" t="e">
        <f>#REF!</f>
        <v>#REF!</v>
      </c>
      <c r="Y1" s="733" t="e">
        <f>#REF!</f>
        <v>#REF!</v>
      </c>
      <c r="Z1" s="733"/>
      <c r="AA1" s="733"/>
      <c r="AB1" s="733"/>
      <c r="AC1" s="152" t="e">
        <f>#REF!</f>
        <v>#REF!</v>
      </c>
      <c r="AD1" s="725" t="s">
        <v>83</v>
      </c>
      <c r="AE1" s="733"/>
      <c r="AF1" s="18" t="e">
        <f>#REF!</f>
        <v>#REF!</v>
      </c>
      <c r="AG1" s="163"/>
    </row>
    <row r="2" spans="1:39" ht="24.75" customHeight="1" thickBot="1">
      <c r="A2" s="5"/>
      <c r="B2" s="725" t="s">
        <v>30</v>
      </c>
      <c r="C2" s="733"/>
      <c r="D2" s="733"/>
      <c r="E2" s="164" t="e">
        <f>#REF!</f>
        <v>#REF!</v>
      </c>
      <c r="F2" s="733" t="s">
        <v>12</v>
      </c>
      <c r="G2" s="733"/>
      <c r="H2" s="165" t="e">
        <f>#REF!</f>
        <v>#REF!</v>
      </c>
      <c r="I2" s="872" t="s">
        <v>13</v>
      </c>
      <c r="J2" s="873"/>
      <c r="K2" s="873"/>
      <c r="L2" s="732">
        <f ca="1">TODAY()</f>
        <v>44191</v>
      </c>
      <c r="M2" s="733"/>
      <c r="N2" s="733"/>
      <c r="O2" s="733"/>
      <c r="P2" s="726"/>
      <c r="Q2" s="5"/>
      <c r="R2" s="725" t="s">
        <v>31</v>
      </c>
      <c r="S2" s="733"/>
      <c r="T2" s="733"/>
      <c r="U2" s="164" t="e">
        <f>#REF!</f>
        <v>#REF!</v>
      </c>
      <c r="V2" s="733" t="s">
        <v>12</v>
      </c>
      <c r="W2" s="733"/>
      <c r="X2" s="165" t="e">
        <f>#REF!</f>
        <v>#REF!</v>
      </c>
      <c r="Y2" s="872" t="s">
        <v>13</v>
      </c>
      <c r="Z2" s="873"/>
      <c r="AA2" s="873"/>
      <c r="AB2" s="732">
        <f ca="1">TODAY()</f>
        <v>44191</v>
      </c>
      <c r="AC2" s="733"/>
      <c r="AD2" s="733"/>
      <c r="AE2" s="733"/>
      <c r="AF2" s="726"/>
      <c r="AG2" s="12"/>
    </row>
    <row r="3" spans="1:39" ht="20.100000000000001" customHeight="1" thickBot="1">
      <c r="A3" s="76"/>
      <c r="B3" s="217" t="e">
        <f>+#REF!</f>
        <v>#REF!</v>
      </c>
      <c r="C3" s="146"/>
      <c r="D3" s="146"/>
      <c r="E3" s="146"/>
      <c r="F3" s="74" t="e">
        <f>CONCATENATE(E2,H2)</f>
        <v>#REF!</v>
      </c>
      <c r="G3" s="146"/>
      <c r="H3" s="146"/>
      <c r="I3" s="146"/>
      <c r="J3" s="146"/>
      <c r="K3" s="146"/>
      <c r="L3" s="146"/>
      <c r="M3" s="146"/>
      <c r="N3" s="146"/>
      <c r="O3" s="146"/>
      <c r="P3" s="147"/>
      <c r="Q3" s="76"/>
      <c r="R3" s="217" t="e">
        <f>+#REF!</f>
        <v>#REF!</v>
      </c>
      <c r="S3" s="146"/>
      <c r="T3" s="146"/>
      <c r="U3" s="148"/>
      <c r="V3" s="74" t="e">
        <f>CONCATENATE(U2,X2)</f>
        <v>#REF!</v>
      </c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6"/>
      <c r="AH3" s="6"/>
    </row>
    <row r="4" spans="1:39" ht="20.100000000000001" customHeight="1" thickBot="1">
      <c r="A4" s="76"/>
      <c r="B4" s="745" t="s">
        <v>98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7"/>
      <c r="Q4" s="79"/>
      <c r="R4" s="758" t="s">
        <v>98</v>
      </c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60"/>
      <c r="AG4" s="6"/>
    </row>
    <row r="5" spans="1:39" ht="20.100000000000001" customHeight="1">
      <c r="A5" s="76"/>
      <c r="B5" s="7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  <c r="Q5" s="76"/>
      <c r="R5" s="72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80"/>
      <c r="AG5" s="6"/>
      <c r="AH5" s="6"/>
    </row>
    <row r="6" spans="1:39" ht="20.100000000000001" customHeight="1" thickBot="1">
      <c r="A6" s="76"/>
      <c r="B6" s="72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5"/>
      <c r="Q6" s="76"/>
      <c r="R6" s="72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5"/>
      <c r="AG6" s="6"/>
      <c r="AH6" s="6"/>
    </row>
    <row r="7" spans="1:39" ht="20.100000000000001" customHeight="1" thickBot="1">
      <c r="A7" s="76"/>
      <c r="B7" s="82" t="s">
        <v>1</v>
      </c>
      <c r="C7" s="83" t="s">
        <v>8</v>
      </c>
      <c r="D7" s="77"/>
      <c r="E7" s="78"/>
      <c r="F7" s="78"/>
      <c r="G7" s="73" t="s">
        <v>0</v>
      </c>
      <c r="H7" s="73"/>
      <c r="I7" s="73"/>
      <c r="J7" s="73" t="s">
        <v>1</v>
      </c>
      <c r="K7" s="83" t="e">
        <f>IF(E2=2,"","C")</f>
        <v>#REF!</v>
      </c>
      <c r="L7" s="77"/>
      <c r="M7" s="78"/>
      <c r="N7" s="78"/>
      <c r="O7" s="73" t="s">
        <v>0</v>
      </c>
      <c r="P7" s="75"/>
      <c r="Q7" s="130"/>
      <c r="R7" s="82" t="s">
        <v>1</v>
      </c>
      <c r="S7" s="83" t="s">
        <v>8</v>
      </c>
      <c r="T7" s="77"/>
      <c r="U7" s="78"/>
      <c r="V7" s="78"/>
      <c r="W7" s="73" t="s">
        <v>0</v>
      </c>
      <c r="X7" s="73"/>
      <c r="Y7" s="73"/>
      <c r="Z7" s="73" t="s">
        <v>1</v>
      </c>
      <c r="AA7" s="83" t="e">
        <f>IF(U2=2,"","C")</f>
        <v>#REF!</v>
      </c>
      <c r="AB7" s="77"/>
      <c r="AC7" s="78"/>
      <c r="AD7" s="78"/>
      <c r="AE7" s="73"/>
      <c r="AF7" s="94"/>
      <c r="AH7" s="6"/>
      <c r="AI7" s="6"/>
    </row>
    <row r="8" spans="1:39" ht="20.100000000000001" customHeight="1" thickBot="1">
      <c r="A8" s="160">
        <v>57</v>
      </c>
      <c r="B8" s="730">
        <v>29</v>
      </c>
      <c r="C8" s="754" t="e">
        <f>+#REF!</f>
        <v>#REF!</v>
      </c>
      <c r="D8" s="816"/>
      <c r="E8" s="816"/>
      <c r="F8" s="817"/>
      <c r="G8" s="85">
        <v>1</v>
      </c>
      <c r="H8" s="86"/>
      <c r="I8" s="87">
        <v>59</v>
      </c>
      <c r="J8" s="730">
        <v>30</v>
      </c>
      <c r="K8" s="808" t="e">
        <f>+#REF!</f>
        <v>#REF!</v>
      </c>
      <c r="L8" s="809"/>
      <c r="M8" s="809"/>
      <c r="N8" s="810"/>
      <c r="O8" s="85">
        <v>1</v>
      </c>
      <c r="P8" s="75"/>
      <c r="Q8" s="130"/>
      <c r="R8" s="730">
        <v>31</v>
      </c>
      <c r="S8" s="808" t="e">
        <f>+#REF!</f>
        <v>#REF!</v>
      </c>
      <c r="T8" s="809"/>
      <c r="U8" s="809"/>
      <c r="V8" s="810"/>
      <c r="W8" s="85">
        <v>1</v>
      </c>
      <c r="X8" s="86"/>
      <c r="Y8" s="87">
        <v>63</v>
      </c>
      <c r="Z8" s="730">
        <v>32</v>
      </c>
      <c r="AA8" s="808" t="e">
        <f>+#REF!</f>
        <v>#REF!</v>
      </c>
      <c r="AB8" s="809"/>
      <c r="AC8" s="809"/>
      <c r="AD8" s="810"/>
      <c r="AE8" s="85">
        <v>1</v>
      </c>
      <c r="AF8" s="94"/>
    </row>
    <row r="9" spans="1:39" ht="20.100000000000001" customHeight="1" thickBot="1">
      <c r="A9" s="160">
        <v>58</v>
      </c>
      <c r="B9" s="731"/>
      <c r="C9" s="808" t="e">
        <f>+#REF!</f>
        <v>#REF!</v>
      </c>
      <c r="D9" s="809"/>
      <c r="E9" s="809"/>
      <c r="F9" s="810"/>
      <c r="G9" s="89">
        <v>0</v>
      </c>
      <c r="H9" s="86"/>
      <c r="I9" s="87">
        <v>60</v>
      </c>
      <c r="J9" s="731"/>
      <c r="K9" s="818" t="e">
        <f>IF(OR(AND(B3&gt;170,B3&lt;250))," ",#REF!)</f>
        <v>#REF!</v>
      </c>
      <c r="L9" s="821"/>
      <c r="M9" s="821"/>
      <c r="N9" s="822"/>
      <c r="O9" s="85">
        <v>0</v>
      </c>
      <c r="P9" s="75"/>
      <c r="Q9" s="130"/>
      <c r="R9" s="731"/>
      <c r="S9" s="808" t="e">
        <f>+#REF!</f>
        <v>#REF!</v>
      </c>
      <c r="T9" s="809"/>
      <c r="U9" s="809"/>
      <c r="V9" s="810"/>
      <c r="W9" s="89">
        <v>0</v>
      </c>
      <c r="X9" s="86"/>
      <c r="Y9" s="87">
        <v>64</v>
      </c>
      <c r="Z9" s="731"/>
      <c r="AA9" s="808" t="e">
        <f>IF(OR(AND(B3&gt;170,B3&lt;250))," ",#REF!)</f>
        <v>#REF!</v>
      </c>
      <c r="AB9" s="809"/>
      <c r="AC9" s="809"/>
      <c r="AD9" s="810"/>
      <c r="AE9" s="85">
        <v>0</v>
      </c>
      <c r="AF9" s="94"/>
    </row>
    <row r="10" spans="1:39" ht="20.100000000000001" customHeight="1" thickBot="1">
      <c r="A10" s="76"/>
      <c r="B10" s="72"/>
      <c r="C10" s="90" t="s">
        <v>9</v>
      </c>
      <c r="D10" s="77"/>
      <c r="E10" s="78"/>
      <c r="F10" s="78"/>
      <c r="G10" s="78"/>
      <c r="H10" s="78"/>
      <c r="I10" s="78"/>
      <c r="J10" s="78"/>
      <c r="K10" s="83" t="s">
        <v>40</v>
      </c>
      <c r="L10" s="77"/>
      <c r="M10" s="78"/>
      <c r="N10" s="78"/>
      <c r="O10" s="78"/>
      <c r="P10" s="91"/>
      <c r="Q10" s="130"/>
      <c r="R10" s="72"/>
      <c r="S10" s="90" t="s">
        <v>9</v>
      </c>
      <c r="T10" s="77"/>
      <c r="U10" s="78"/>
      <c r="V10" s="78"/>
      <c r="W10" s="78"/>
      <c r="X10" s="78"/>
      <c r="Y10" s="78"/>
      <c r="Z10" s="78"/>
      <c r="AA10" s="83" t="s">
        <v>40</v>
      </c>
      <c r="AB10" s="77"/>
      <c r="AC10" s="78"/>
      <c r="AD10" s="78"/>
      <c r="AE10" s="78"/>
      <c r="AF10" s="91"/>
    </row>
    <row r="11" spans="1:39" ht="20.100000000000001" customHeight="1">
      <c r="A11" s="76"/>
      <c r="B11" s="72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91"/>
      <c r="Q11" s="78"/>
      <c r="R11" s="72"/>
      <c r="S11" s="92"/>
      <c r="T11" s="92"/>
      <c r="U11" s="92"/>
      <c r="V11" s="92"/>
      <c r="W11" s="78"/>
      <c r="X11" s="78"/>
      <c r="Y11" s="78"/>
      <c r="Z11" s="78"/>
      <c r="AA11" s="78"/>
      <c r="AB11" s="78"/>
      <c r="AC11" s="78"/>
      <c r="AD11" s="78"/>
      <c r="AE11" s="78"/>
      <c r="AF11" s="91"/>
    </row>
    <row r="12" spans="1:39" ht="20.100000000000001" customHeight="1" thickBot="1">
      <c r="A12" s="76"/>
      <c r="B12" s="82" t="s">
        <v>1</v>
      </c>
      <c r="C12" s="78"/>
      <c r="D12" s="724" t="s">
        <v>62</v>
      </c>
      <c r="E12" s="724"/>
      <c r="F12" s="78"/>
      <c r="G12" s="73" t="s">
        <v>0</v>
      </c>
      <c r="H12" s="73"/>
      <c r="I12" s="73"/>
      <c r="J12" s="73" t="s">
        <v>1</v>
      </c>
      <c r="K12" s="78"/>
      <c r="L12" s="723" t="s">
        <v>61</v>
      </c>
      <c r="M12" s="723"/>
      <c r="N12" s="78"/>
      <c r="O12" s="73" t="s">
        <v>0</v>
      </c>
      <c r="P12" s="75"/>
      <c r="Q12" s="75"/>
      <c r="R12" s="93" t="s">
        <v>1</v>
      </c>
      <c r="S12" s="92"/>
      <c r="T12" s="724" t="s">
        <v>62</v>
      </c>
      <c r="U12" s="724"/>
      <c r="V12" s="92"/>
      <c r="W12" s="73" t="s">
        <v>0</v>
      </c>
      <c r="X12" s="73"/>
      <c r="Y12" s="73"/>
      <c r="Z12" s="73" t="s">
        <v>1</v>
      </c>
      <c r="AA12" s="78"/>
      <c r="AB12" s="723" t="s">
        <v>61</v>
      </c>
      <c r="AC12" s="723"/>
      <c r="AD12" s="78"/>
      <c r="AE12" s="73" t="s">
        <v>0</v>
      </c>
      <c r="AF12" s="94"/>
    </row>
    <row r="13" spans="1:39" ht="20.100000000000001" customHeight="1" thickBot="1">
      <c r="A13" s="76"/>
      <c r="B13" s="790">
        <v>32</v>
      </c>
      <c r="C13" s="754" t="e">
        <f>IF($G$8=$G$9,"résultat",IF($G$8&gt;$G$9,$C$9,$C$8))</f>
        <v>#REF!</v>
      </c>
      <c r="D13" s="755"/>
      <c r="E13" s="755"/>
      <c r="F13" s="756"/>
      <c r="G13" s="85">
        <v>1</v>
      </c>
      <c r="H13" s="86"/>
      <c r="I13" s="73"/>
      <c r="J13" s="790">
        <v>1</v>
      </c>
      <c r="K13" s="754" t="e">
        <f>IF($O$8=$O$9,"résultat",IF($O$8&gt;$O$9,$K$8,$K$9))</f>
        <v>#REF!</v>
      </c>
      <c r="L13" s="816"/>
      <c r="M13" s="816"/>
      <c r="N13" s="817"/>
      <c r="O13" s="85">
        <v>1</v>
      </c>
      <c r="P13" s="95"/>
      <c r="Q13" s="95"/>
      <c r="R13" s="790">
        <v>2</v>
      </c>
      <c r="S13" s="874" t="e">
        <f>IF($W$8=$W$9,"résultat",IF($W$8&gt;$W$9,$S$9,$S$8))</f>
        <v>#REF!</v>
      </c>
      <c r="T13" s="755"/>
      <c r="U13" s="755"/>
      <c r="V13" s="756"/>
      <c r="W13" s="85">
        <v>1</v>
      </c>
      <c r="X13" s="86"/>
      <c r="Y13" s="73"/>
      <c r="Z13" s="790">
        <v>3</v>
      </c>
      <c r="AA13" s="754" t="e">
        <f>IF(AE8=AE9,"résultat",IF($AE$8&gt;$AE$9,$AA$8,$AA$9))</f>
        <v>#REF!</v>
      </c>
      <c r="AB13" s="816"/>
      <c r="AC13" s="816"/>
      <c r="AD13" s="817"/>
      <c r="AE13" s="85">
        <v>0</v>
      </c>
      <c r="AF13" s="94"/>
    </row>
    <row r="14" spans="1:39" ht="20.100000000000001" customHeight="1" thickBot="1">
      <c r="A14" s="76"/>
      <c r="B14" s="791"/>
      <c r="C14" s="801" t="e">
        <f>IF($O$8=$O$9,"résultat",IF($O$8&lt;$O$9,$K$8,$K$9))</f>
        <v>#REF!</v>
      </c>
      <c r="D14" s="802"/>
      <c r="E14" s="802"/>
      <c r="F14" s="803"/>
      <c r="G14" s="97">
        <v>0</v>
      </c>
      <c r="H14" s="98"/>
      <c r="I14" s="73"/>
      <c r="J14" s="791"/>
      <c r="K14" s="801" t="e">
        <f>IF(G8=G9,"résultat",IF($G$8&gt;$G$9,$C$8,$C$9))</f>
        <v>#REF!</v>
      </c>
      <c r="L14" s="802"/>
      <c r="M14" s="802"/>
      <c r="N14" s="803"/>
      <c r="O14" s="89">
        <v>2</v>
      </c>
      <c r="P14" s="95"/>
      <c r="Q14" s="95"/>
      <c r="R14" s="791"/>
      <c r="S14" s="801" t="e">
        <f>IF($AE$8=$AE$9,"résultat",IF($AE$8&lt;$AE$9,$AA$8,$AA$9))</f>
        <v>#REF!</v>
      </c>
      <c r="T14" s="802"/>
      <c r="U14" s="802"/>
      <c r="V14" s="803"/>
      <c r="W14" s="85">
        <v>0</v>
      </c>
      <c r="X14" s="86"/>
      <c r="Y14" s="73"/>
      <c r="Z14" s="791"/>
      <c r="AA14" s="801" t="e">
        <f>IF($W$9=$W$8,"résultat",IF(W8&gt;W9,S8,S9))</f>
        <v>#REF!</v>
      </c>
      <c r="AB14" s="802"/>
      <c r="AC14" s="802"/>
      <c r="AD14" s="803"/>
      <c r="AE14" s="89">
        <v>1</v>
      </c>
      <c r="AF14" s="94"/>
    </row>
    <row r="15" spans="1:39" ht="20.100000000000001" customHeight="1">
      <c r="A15" s="76"/>
      <c r="B15" s="72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91"/>
      <c r="Q15" s="78"/>
      <c r="R15" s="72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91"/>
      <c r="AM15" s="6"/>
    </row>
    <row r="16" spans="1:39" ht="20.100000000000001" customHeight="1" thickBot="1">
      <c r="A16" s="76"/>
      <c r="B16" s="72"/>
      <c r="C16" s="78"/>
      <c r="D16" s="78"/>
      <c r="E16" s="78"/>
      <c r="F16" s="73" t="s">
        <v>1</v>
      </c>
      <c r="G16" s="78"/>
      <c r="H16" s="774" t="s">
        <v>101</v>
      </c>
      <c r="I16" s="774"/>
      <c r="J16" s="78"/>
      <c r="K16" s="73" t="s">
        <v>0</v>
      </c>
      <c r="L16" s="73"/>
      <c r="M16" s="142"/>
      <c r="N16" s="78"/>
      <c r="O16" s="78"/>
      <c r="P16" s="91"/>
      <c r="Q16" s="78"/>
      <c r="R16" s="72"/>
      <c r="S16" s="78"/>
      <c r="T16" s="78"/>
      <c r="U16" s="78"/>
      <c r="V16" s="73" t="s">
        <v>1</v>
      </c>
      <c r="W16" s="78"/>
      <c r="X16" s="774" t="s">
        <v>101</v>
      </c>
      <c r="Y16" s="774"/>
      <c r="Z16" s="78"/>
      <c r="AA16" s="73" t="s">
        <v>0</v>
      </c>
      <c r="AB16" s="73"/>
      <c r="AC16" s="142"/>
      <c r="AD16" s="78"/>
      <c r="AE16" s="78"/>
      <c r="AF16" s="94"/>
    </row>
    <row r="17" spans="1:34" ht="20.100000000000001" customHeight="1" thickBot="1">
      <c r="A17" s="76"/>
      <c r="B17" s="72"/>
      <c r="C17" s="78"/>
      <c r="D17" s="78"/>
      <c r="E17" s="73"/>
      <c r="F17" s="814">
        <v>31</v>
      </c>
      <c r="G17" s="754" t="e">
        <f>IF($F$3+$G$3=0," ",IF($F$3+$G$3=43,IF(0&lt;0,0,0),(IF($F$3+$G$3=42,IF($O$13=$O$14,"résultat",IF($O$13&lt;$O$14,$K$13,$K$14)),IF($F$3+$G$3=32,IF($O$13=$O$14,"résultat",IF($O$13&lt;$O$14,$K$13,$K$14)))))))</f>
        <v>#REF!</v>
      </c>
      <c r="H17" s="755"/>
      <c r="I17" s="755"/>
      <c r="J17" s="756"/>
      <c r="K17" s="85">
        <v>1</v>
      </c>
      <c r="L17" s="73"/>
      <c r="M17" s="78"/>
      <c r="N17" s="78"/>
      <c r="O17" s="78"/>
      <c r="P17" s="91"/>
      <c r="Q17" s="78"/>
      <c r="R17" s="72"/>
      <c r="S17" s="78"/>
      <c r="T17" s="78"/>
      <c r="U17" s="73"/>
      <c r="V17" s="814">
        <v>1</v>
      </c>
      <c r="W17" s="808" t="e">
        <f>IF(V3+W3=0," ",IF($V$3+$W$3=43,IF(0&lt;0,0,0),(IF($V$3+$W$3=42,IF($AE$13=$AE$14,"résultat",IF($AE$13&lt;$AE$14,$AA$13,$AA$14)),IF($V$3+$W$3=32,IF($AE$13=$AE$14,"résultat",IF($AE$13&lt;$AE$14,$AA$13,$AA$14)))))))</f>
        <v>#REF!</v>
      </c>
      <c r="X17" s="821"/>
      <c r="Y17" s="821"/>
      <c r="Z17" s="822"/>
      <c r="AA17" s="85">
        <v>1</v>
      </c>
      <c r="AB17" s="73"/>
      <c r="AC17" s="78"/>
      <c r="AD17" s="78"/>
      <c r="AE17" s="78"/>
      <c r="AF17" s="94"/>
    </row>
    <row r="18" spans="1:34" ht="20.100000000000001" customHeight="1" thickBot="1">
      <c r="A18" s="76"/>
      <c r="B18" s="72"/>
      <c r="C18" s="78"/>
      <c r="D18" s="78"/>
      <c r="E18" s="78"/>
      <c r="F18" s="815"/>
      <c r="G18" s="751" t="e">
        <f>IF($F$3+$G$3=0," ",IF($F$3+$G$3=43,IF(0&gt;0,0,0),(IF(F3+G3=42,IF($G$13=$G$14,"résultat",IF($G$13&gt;$G$14,$C$13,$C$14)),(IF($F$3+$G$3=32,IF($G$13=$G$14,"résultat",IF($G$13&gt;$G$14,$C$13,$C$14))))))))</f>
        <v>#REF!</v>
      </c>
      <c r="H18" s="752"/>
      <c r="I18" s="752"/>
      <c r="J18" s="753"/>
      <c r="K18" s="85">
        <v>0</v>
      </c>
      <c r="L18" s="73"/>
      <c r="M18" s="78"/>
      <c r="N18" s="78"/>
      <c r="O18" s="78"/>
      <c r="P18" s="91"/>
      <c r="Q18" s="78"/>
      <c r="R18" s="72"/>
      <c r="S18" s="78"/>
      <c r="T18" s="78"/>
      <c r="U18" s="78"/>
      <c r="V18" s="815"/>
      <c r="W18" s="751" t="e">
        <f>IF($V$3+$W$3=0," ",IF($V$3+$W$3=43,IF(0&gt;0,0,0),(IF($V$3+$W$3=42,IF(W13=W14,"résultat",IF($W$13&gt;$W$14,$S$13,$S$14)),(IF($V$3+$W$3=32,IF(W13=W14,"résultat",IF($W$13&gt;$W$14,$S$13,$S$14))))))))</f>
        <v>#REF!</v>
      </c>
      <c r="X18" s="752"/>
      <c r="Y18" s="752"/>
      <c r="Z18" s="753"/>
      <c r="AA18" s="85">
        <v>0</v>
      </c>
      <c r="AB18" s="73"/>
      <c r="AC18" s="78"/>
      <c r="AD18" s="78"/>
      <c r="AE18" s="78"/>
      <c r="AF18" s="94"/>
    </row>
    <row r="19" spans="1:34" ht="20.100000000000001" customHeight="1" thickBot="1">
      <c r="A19" s="76"/>
      <c r="B19" s="72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107"/>
      <c r="N19" s="107"/>
      <c r="O19" s="107"/>
      <c r="P19" s="94"/>
      <c r="Q19" s="76"/>
      <c r="R19" s="72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91"/>
      <c r="AG19" s="6"/>
      <c r="AH19" s="6"/>
    </row>
    <row r="20" spans="1:34" ht="20.100000000000001" customHeight="1" thickBot="1">
      <c r="A20" s="76"/>
      <c r="B20" s="72"/>
      <c r="C20" s="107"/>
      <c r="D20" s="107"/>
      <c r="E20" s="107"/>
      <c r="F20" s="78"/>
      <c r="G20" s="811" t="s">
        <v>60</v>
      </c>
      <c r="H20" s="812"/>
      <c r="I20" s="812"/>
      <c r="J20" s="813"/>
      <c r="K20" s="78"/>
      <c r="L20" s="107"/>
      <c r="M20" s="107"/>
      <c r="N20" s="107"/>
      <c r="O20" s="107"/>
      <c r="P20" s="94"/>
      <c r="Q20" s="130"/>
      <c r="R20" s="129"/>
      <c r="S20" s="107"/>
      <c r="T20" s="78"/>
      <c r="U20" s="78"/>
      <c r="V20" s="78"/>
      <c r="W20" s="761" t="s">
        <v>60</v>
      </c>
      <c r="X20" s="762"/>
      <c r="Y20" s="762"/>
      <c r="Z20" s="763"/>
      <c r="AA20" s="78"/>
      <c r="AB20" s="107"/>
      <c r="AC20" s="101"/>
      <c r="AD20" s="78"/>
      <c r="AE20" s="78"/>
      <c r="AF20" s="94"/>
    </row>
    <row r="21" spans="1:34" ht="20.100000000000001" customHeight="1">
      <c r="A21" s="76"/>
      <c r="B21" s="72"/>
      <c r="C21" s="107"/>
      <c r="D21" s="102" t="s">
        <v>80</v>
      </c>
      <c r="E21" s="107"/>
      <c r="F21" s="734" t="e">
        <f>IF(F3+G3=0," ",IF($F$3+$G$3=43,IF($O$13=$O$14,"résultat",IF($O$13&gt;$O$14,$K$13,$K$14)),(IF($F$3+$G$3=42,IF($O$13=$O$14,"résultat",IF($O$13&gt;$O$14,$K$13,$K$14)),(IF($F$3+$G$3=32,IF($O$13=$O$14,"résultat",IF($O$13&gt;$O$14,$K$13,$K$14))))))))</f>
        <v>#REF!</v>
      </c>
      <c r="G21" s="735"/>
      <c r="H21" s="735"/>
      <c r="I21" s="735"/>
      <c r="J21" s="735"/>
      <c r="K21" s="736"/>
      <c r="L21" s="107"/>
      <c r="M21" s="107"/>
      <c r="N21" s="107"/>
      <c r="O21" s="107"/>
      <c r="P21" s="94"/>
      <c r="Q21" s="130"/>
      <c r="R21" s="129"/>
      <c r="S21" s="107"/>
      <c r="T21" s="102" t="s">
        <v>80</v>
      </c>
      <c r="U21" s="78"/>
      <c r="V21" s="734" t="e">
        <f>IF(V3+W3=0," ",IF($V$3+$W$3=43,IF($AE$13=$AE$14,"résultat",IF($AE$13&gt;$AE$14,$AA$13,$AA$14)),(IF($V$3+$W$3=42,IF($AE$13=$AE$14,"résultat",IF($AE$13&gt;$AE$14,$AA$13,$AA$14)),(IF($V$3+$W$3=32,IF($AE$13=$AE$14,"résultat",IF($AE$13&gt;$AE$14,$AA$13,$AA$14))))))))</f>
        <v>#REF!</v>
      </c>
      <c r="W21" s="735"/>
      <c r="X21" s="735"/>
      <c r="Y21" s="735"/>
      <c r="Z21" s="735"/>
      <c r="AA21" s="736"/>
      <c r="AB21" s="107"/>
      <c r="AC21" s="78"/>
      <c r="AD21" s="78"/>
      <c r="AE21" s="107"/>
      <c r="AF21" s="94"/>
    </row>
    <row r="22" spans="1:34" ht="20.100000000000001" customHeight="1">
      <c r="A22" s="76"/>
      <c r="B22" s="72"/>
      <c r="C22" s="107"/>
      <c r="D22" s="105" t="s">
        <v>81</v>
      </c>
      <c r="E22" s="107"/>
      <c r="F22" s="792" t="e">
        <f>IF(F3+G3=0," ",IF($F$3+$G$3=43,IF($O$13=$O$14,"résultat",IF($O$13&lt;$O$14,$K$13,$K$14)),(IF($F$3+$G$3=42,IF($K$17=$K$18,"résultat",IF($K$17&gt;$K$18,$G$17,$G$18)),(IF($F$3+$G$3=32,IF($K$17=$K$18,"résultat",IF($K$17&gt;$K$18,$G$17,$G$18))))))))</f>
        <v>#REF!</v>
      </c>
      <c r="G22" s="793"/>
      <c r="H22" s="793"/>
      <c r="I22" s="793"/>
      <c r="J22" s="793"/>
      <c r="K22" s="794"/>
      <c r="L22" s="107"/>
      <c r="M22" s="107"/>
      <c r="N22" s="107"/>
      <c r="O22" s="107"/>
      <c r="P22" s="94"/>
      <c r="Q22" s="130"/>
      <c r="R22" s="129"/>
      <c r="S22" s="107"/>
      <c r="T22" s="105" t="s">
        <v>81</v>
      </c>
      <c r="U22" s="78"/>
      <c r="V22" s="792" t="e">
        <f>IF(V3+W3=0," ",IF($V$3+$W$3=43,IF($AE$13=$AE$14,"résultat",IF($AE$13&lt;$AE$14,$AA$13,$AA$14)),(IF($V$3+$W$3=42,IF($AA$17=$AA$18,"résultat",IF($AA$17&gt;$AA$18,$W$17,$W$18)),(IF($V$3+$W$3=32,IF($AA$17=$AA$18,"résultat",IF($AA$17&gt;$AA$18,$W$17,$W$18))))))))</f>
        <v>#REF!</v>
      </c>
      <c r="W22" s="793"/>
      <c r="X22" s="793"/>
      <c r="Y22" s="793"/>
      <c r="Z22" s="793"/>
      <c r="AA22" s="794"/>
      <c r="AB22" s="107"/>
      <c r="AC22" s="78"/>
      <c r="AD22" s="143"/>
      <c r="AE22" s="143"/>
      <c r="AF22" s="94"/>
    </row>
    <row r="23" spans="1:34" ht="20.100000000000001" customHeight="1" thickBot="1">
      <c r="A23" s="76"/>
      <c r="B23" s="72"/>
      <c r="C23" s="107"/>
      <c r="D23" s="106" t="s">
        <v>82</v>
      </c>
      <c r="E23" s="107"/>
      <c r="F23" s="801" t="e">
        <f>IF(F3+G3=0," ",IF($F$3+$G$3=43,IF($G$13=$G$14,"résultat",IF($G$13&gt;$G$14,$C$13,$C$14)),(IF($F$3+$G$3=42,"&amp;",(IF($F$3+$G$3=32,"&amp;"))))))</f>
        <v>#REF!</v>
      </c>
      <c r="G23" s="802"/>
      <c r="H23" s="802"/>
      <c r="I23" s="802"/>
      <c r="J23" s="802"/>
      <c r="K23" s="803"/>
      <c r="L23" s="107"/>
      <c r="M23" s="107"/>
      <c r="N23" s="107"/>
      <c r="O23" s="107"/>
      <c r="P23" s="94"/>
      <c r="Q23" s="130"/>
      <c r="R23" s="129"/>
      <c r="S23" s="107"/>
      <c r="T23" s="106" t="s">
        <v>82</v>
      </c>
      <c r="U23" s="78"/>
      <c r="V23" s="769" t="e">
        <f>IF(V3+W3=0," ",IF($V$3+$W$3=43,IF(W13=W14,"résultat",IF(W13&gt;W14,S13,S14)),IF($V$3+$W$3=42,"&amp;",(IF($V$3+$W$3=32,"&amp;")))))</f>
        <v>#REF!</v>
      </c>
      <c r="W23" s="770"/>
      <c r="X23" s="770"/>
      <c r="Y23" s="770"/>
      <c r="Z23" s="770"/>
      <c r="AA23" s="771"/>
      <c r="AB23" s="107"/>
      <c r="AC23" s="78"/>
      <c r="AD23" s="78"/>
      <c r="AE23" s="78"/>
      <c r="AF23" s="94"/>
    </row>
    <row r="24" spans="1:34" ht="20.100000000000001" customHeight="1" thickBot="1">
      <c r="A24" s="76"/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1"/>
      <c r="O24" s="111"/>
      <c r="P24" s="112"/>
      <c r="Q24" s="76"/>
      <c r="R24" s="108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2"/>
      <c r="AG24" s="6"/>
      <c r="AH24" s="6"/>
    </row>
    <row r="25" spans="1:34" ht="20.100000000000001" customHeight="1" thickBo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</row>
    <row r="26" spans="1:34" ht="20.100000000000001" customHeight="1" thickBot="1">
      <c r="A26" s="130"/>
      <c r="B26" s="130"/>
      <c r="C26" s="130"/>
      <c r="D26" s="130"/>
      <c r="E26" s="130"/>
      <c r="F26" s="798" t="s">
        <v>64</v>
      </c>
      <c r="G26" s="799"/>
      <c r="H26" s="80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</row>
    <row r="27" spans="1:34" ht="18.7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</row>
    <row r="28" spans="1:3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</sheetData>
  <sheetProtection formatCells="0" formatColumns="0" formatRows="0" insertColumns="0" insertRows="0" insertHyperlinks="0" deleteColumns="0" deleteRows="0" sort="0"/>
  <mergeCells count="62">
    <mergeCell ref="R13:R14"/>
    <mergeCell ref="B13:B14"/>
    <mergeCell ref="F17:F18"/>
    <mergeCell ref="V17:V18"/>
    <mergeCell ref="H16:I16"/>
    <mergeCell ref="C14:F14"/>
    <mergeCell ref="J13:J14"/>
    <mergeCell ref="B4:P4"/>
    <mergeCell ref="R4:AF4"/>
    <mergeCell ref="AB12:AC12"/>
    <mergeCell ref="G20:J20"/>
    <mergeCell ref="T12:U12"/>
    <mergeCell ref="D12:E12"/>
    <mergeCell ref="L12:M12"/>
    <mergeCell ref="K13:N13"/>
    <mergeCell ref="K14:N14"/>
    <mergeCell ref="J8:J9"/>
    <mergeCell ref="K8:N8"/>
    <mergeCell ref="C9:F9"/>
    <mergeCell ref="K9:N9"/>
    <mergeCell ref="C13:F13"/>
    <mergeCell ref="R8:R9"/>
    <mergeCell ref="S8:V8"/>
    <mergeCell ref="V21:AA21"/>
    <mergeCell ref="V22:AA22"/>
    <mergeCell ref="V23:AA23"/>
    <mergeCell ref="AA13:AD13"/>
    <mergeCell ref="AA14:AD14"/>
    <mergeCell ref="W17:Z17"/>
    <mergeCell ref="W18:Z18"/>
    <mergeCell ref="W20:Z20"/>
    <mergeCell ref="S14:V14"/>
    <mergeCell ref="S13:V13"/>
    <mergeCell ref="Z13:Z14"/>
    <mergeCell ref="X16:Y16"/>
    <mergeCell ref="I1:L1"/>
    <mergeCell ref="B1:D1"/>
    <mergeCell ref="E1:G1"/>
    <mergeCell ref="B2:D2"/>
    <mergeCell ref="F2:G2"/>
    <mergeCell ref="I2:K2"/>
    <mergeCell ref="L2:P2"/>
    <mergeCell ref="R1:T1"/>
    <mergeCell ref="U1:W1"/>
    <mergeCell ref="Y1:AB1"/>
    <mergeCell ref="AD1:AE1"/>
    <mergeCell ref="V2:W2"/>
    <mergeCell ref="Y2:AA2"/>
    <mergeCell ref="AB2:AF2"/>
    <mergeCell ref="R2:T2"/>
    <mergeCell ref="Z8:Z9"/>
    <mergeCell ref="AA8:AD8"/>
    <mergeCell ref="S9:V9"/>
    <mergeCell ref="AA9:AD9"/>
    <mergeCell ref="B8:B9"/>
    <mergeCell ref="C8:F8"/>
    <mergeCell ref="F26:H26"/>
    <mergeCell ref="G17:J17"/>
    <mergeCell ref="G18:J18"/>
    <mergeCell ref="F21:K21"/>
    <mergeCell ref="F22:K22"/>
    <mergeCell ref="F23:K23"/>
  </mergeCells>
  <conditionalFormatting sqref="F21">
    <cfRule type="expression" dxfId="81" priority="251">
      <formula>$H$2=0</formula>
    </cfRule>
    <cfRule type="expression" dxfId="80" priority="252" stopIfTrue="1">
      <formula>(OR(H2="1",H2="2",H2="3"))</formula>
    </cfRule>
  </conditionalFormatting>
  <conditionalFormatting sqref="F22">
    <cfRule type="expression" dxfId="79" priority="250">
      <formula>(OR(H2="2",H2="3"))</formula>
    </cfRule>
  </conditionalFormatting>
  <conditionalFormatting sqref="F23">
    <cfRule type="expression" dxfId="78" priority="249">
      <formula>(H2="3")</formula>
    </cfRule>
  </conditionalFormatting>
  <conditionalFormatting sqref="C13:F14 W17:Z17 V23">
    <cfRule type="cellIs" dxfId="77" priority="248" operator="equal">
      <formula>0</formula>
    </cfRule>
  </conditionalFormatting>
  <conditionalFormatting sqref="V22">
    <cfRule type="expression" dxfId="76" priority="264" stopIfTrue="1">
      <formula>$U$2=0</formula>
    </cfRule>
    <cfRule type="expression" dxfId="75" priority="265">
      <formula>$Z$2=5</formula>
    </cfRule>
    <cfRule type="expression" dxfId="74" priority="266">
      <formula>$Z$2=4</formula>
    </cfRule>
    <cfRule type="expression" dxfId="73" priority="267">
      <formula>$Z$2=3</formula>
    </cfRule>
    <cfRule type="expression" dxfId="72" priority="268">
      <formula>$Z$2=2</formula>
    </cfRule>
  </conditionalFormatting>
  <conditionalFormatting sqref="V23">
    <cfRule type="expression" dxfId="71" priority="260" stopIfTrue="1">
      <formula>$U$2=0</formula>
    </cfRule>
    <cfRule type="expression" dxfId="70" priority="261">
      <formula>$Z$2=5</formula>
    </cfRule>
    <cfRule type="expression" dxfId="69" priority="262">
      <formula>$Z$2=4</formula>
    </cfRule>
    <cfRule type="expression" dxfId="68" priority="263">
      <formula>$Z$2=3</formula>
    </cfRule>
  </conditionalFormatting>
  <conditionalFormatting sqref="V21">
    <cfRule type="expression" dxfId="67" priority="253">
      <formula>$Z$2=1</formula>
    </cfRule>
  </conditionalFormatting>
  <conditionalFormatting sqref="V21">
    <cfRule type="expression" dxfId="66" priority="237" stopIfTrue="1">
      <formula>(OR(Z2="1",Z2="2",Z2="3"))</formula>
    </cfRule>
  </conditionalFormatting>
  <conditionalFormatting sqref="V22">
    <cfRule type="expression" dxfId="65" priority="235">
      <formula>(OR(Z2="2",Z2="3"))</formula>
    </cfRule>
  </conditionalFormatting>
  <conditionalFormatting sqref="V23">
    <cfRule type="expression" dxfId="64" priority="234">
      <formula>(Z2="3")</formula>
    </cfRule>
  </conditionalFormatting>
  <conditionalFormatting sqref="V21">
    <cfRule type="expression" dxfId="63" priority="318">
      <formula>$Z$2=2</formula>
    </cfRule>
    <cfRule type="expression" dxfId="62" priority="319">
      <formula>$Z$2=5</formula>
    </cfRule>
    <cfRule type="expression" dxfId="61" priority="320">
      <formula>$Z$2=4</formula>
    </cfRule>
    <cfRule type="expression" dxfId="60" priority="321">
      <formula>$Z$2=3</formula>
    </cfRule>
    <cfRule type="expression" dxfId="59" priority="322">
      <formula>$H$2=0</formula>
    </cfRule>
  </conditionalFormatting>
  <conditionalFormatting sqref="V21:V23">
    <cfRule type="expression" dxfId="58" priority="236">
      <formula>$U$2=0</formula>
    </cfRule>
  </conditionalFormatting>
  <conditionalFormatting sqref="V21">
    <cfRule type="expression" dxfId="57" priority="208">
      <formula>$X$2=2</formula>
    </cfRule>
    <cfRule type="expression" dxfId="56" priority="209">
      <formula>$X$2=5</formula>
    </cfRule>
    <cfRule type="expression" dxfId="55" priority="210">
      <formula>$X$2=4</formula>
    </cfRule>
    <cfRule type="expression" dxfId="54" priority="211">
      <formula>$X$2=3</formula>
    </cfRule>
    <cfRule type="expression" dxfId="53" priority="212">
      <formula>$H$2=0</formula>
    </cfRule>
  </conditionalFormatting>
  <conditionalFormatting sqref="V22">
    <cfRule type="expression" dxfId="52" priority="203">
      <formula>$X$2=0</formula>
    </cfRule>
    <cfRule type="expression" dxfId="51" priority="204">
      <formula>$X$2=5</formula>
    </cfRule>
    <cfRule type="expression" dxfId="50" priority="205">
      <formula>$X$2=4</formula>
    </cfRule>
    <cfRule type="expression" dxfId="49" priority="206">
      <formula>$X$2=3</formula>
    </cfRule>
    <cfRule type="expression" dxfId="48" priority="207">
      <formula>$X$2=2</formula>
    </cfRule>
  </conditionalFormatting>
  <conditionalFormatting sqref="V23">
    <cfRule type="expression" dxfId="47" priority="199">
      <formula>$X$2=0</formula>
    </cfRule>
    <cfRule type="expression" dxfId="46" priority="200">
      <formula>$X$2=5</formula>
    </cfRule>
    <cfRule type="expression" dxfId="45" priority="201">
      <formula>$X$2=4</formula>
    </cfRule>
    <cfRule type="expression" dxfId="44" priority="202">
      <formula>$X$2=3</formula>
    </cfRule>
  </conditionalFormatting>
  <conditionalFormatting sqref="V21">
    <cfRule type="expression" dxfId="43" priority="193">
      <formula>$X$2=1</formula>
    </cfRule>
  </conditionalFormatting>
  <conditionalFormatting sqref="F21">
    <cfRule type="expression" dxfId="42" priority="191">
      <formula>$H$2=0</formula>
    </cfRule>
    <cfRule type="expression" dxfId="41" priority="192" stopIfTrue="1">
      <formula>(OR(H2="1",H2="2",H2="3"))</formula>
    </cfRule>
  </conditionalFormatting>
  <conditionalFormatting sqref="F22">
    <cfRule type="expression" dxfId="40" priority="190">
      <formula>(OR(H2="2",H2="3"))</formula>
    </cfRule>
  </conditionalFormatting>
  <conditionalFormatting sqref="F23">
    <cfRule type="cellIs" dxfId="39" priority="188" operator="equal">
      <formula>0</formula>
    </cfRule>
    <cfRule type="expression" dxfId="38" priority="189">
      <formula>(H2="3")</formula>
    </cfRule>
  </conditionalFormatting>
  <conditionalFormatting sqref="V21">
    <cfRule type="expression" dxfId="37" priority="186">
      <formula>$H$2=0</formula>
    </cfRule>
    <cfRule type="expression" dxfId="36" priority="187" stopIfTrue="1">
      <formula>(OR(X2="1",X2="2",X2="3"))</formula>
    </cfRule>
  </conditionalFormatting>
  <conditionalFormatting sqref="V22">
    <cfRule type="expression" dxfId="35" priority="185">
      <formula>(OR(X2="2",X2="3"))</formula>
    </cfRule>
  </conditionalFormatting>
  <conditionalFormatting sqref="V23">
    <cfRule type="expression" dxfId="34" priority="184">
      <formula>(X2="3")</formula>
    </cfRule>
  </conditionalFormatting>
  <conditionalFormatting sqref="AA8:AA9 AB8:AD8 C8:F9">
    <cfRule type="expression" dxfId="33" priority="58">
      <formula>(OR($E$2=3,$E$2=4,$E$2=5))</formula>
    </cfRule>
  </conditionalFormatting>
  <conditionalFormatting sqref="AA9:AD9 S14:V14 K9:N9 C14:F14">
    <cfRule type="containsText" dxfId="32" priority="4" operator="containsText" text="OFFICE">
      <formula>NOT(ISERROR(SEARCH("OFFICE",C9)))</formula>
    </cfRule>
  </conditionalFormatting>
  <pageMargins left="0.7" right="0.7" top="0.75" bottom="0.75" header="0.3" footer="0.3"/>
  <pageSetup paperSize="9" scale="55" orientation="landscape" horizont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26"/>
  <sheetViews>
    <sheetView view="pageBreakPreview" zoomScale="90" zoomScaleSheetLayoutView="90" workbookViewId="0">
      <selection activeCell="E32" sqref="E32"/>
    </sheetView>
  </sheetViews>
  <sheetFormatPr baseColWidth="10" defaultRowHeight="15"/>
  <cols>
    <col min="1" max="1" width="5.140625" style="15" customWidth="1"/>
    <col min="2" max="2" width="21.140625" style="15" customWidth="1"/>
    <col min="3" max="3" width="6.140625" style="15" customWidth="1"/>
    <col min="4" max="4" width="18" style="15" customWidth="1"/>
    <col min="5" max="5" width="5.5703125" style="15" customWidth="1"/>
    <col min="6" max="6" width="3.85546875" style="15" customWidth="1"/>
    <col min="7" max="7" width="7" style="15" customWidth="1"/>
    <col min="8" max="8" width="7.140625" style="15" customWidth="1"/>
    <col min="9" max="9" width="6.42578125" style="15" customWidth="1"/>
    <col min="10" max="10" width="5.42578125" style="15" customWidth="1"/>
    <col min="11" max="11" width="2.28515625" style="15" customWidth="1"/>
    <col min="12" max="12" width="4.85546875" style="15" customWidth="1"/>
    <col min="13" max="13" width="7.28515625" style="15" customWidth="1"/>
    <col min="14" max="14" width="5.5703125" style="15" customWidth="1"/>
    <col min="15" max="15" width="7.7109375" style="15" customWidth="1"/>
    <col min="16" max="16" width="5.5703125" style="15" customWidth="1"/>
    <col min="17" max="17" width="1.42578125" style="15" customWidth="1"/>
    <col min="18" max="18" width="4.5703125" style="15" customWidth="1"/>
    <col min="19" max="19" width="7.140625" style="15" customWidth="1"/>
    <col min="20" max="20" width="6" style="15" customWidth="1"/>
    <col min="21" max="21" width="7" style="15" customWidth="1"/>
    <col min="22" max="22" width="5.85546875" style="15" customWidth="1"/>
    <col min="23" max="23" width="1.85546875" style="15" customWidth="1"/>
    <col min="24" max="24" width="4.7109375" style="15" customWidth="1"/>
    <col min="25" max="25" width="6.85546875" style="15" customWidth="1"/>
    <col min="26" max="26" width="6.7109375" style="15" customWidth="1"/>
    <col min="27" max="27" width="6.5703125" style="15" customWidth="1"/>
    <col min="28" max="28" width="5.7109375" style="15" customWidth="1"/>
    <col min="29" max="29" width="1.140625" customWidth="1"/>
    <col min="30" max="30" width="4.5703125" style="15" customWidth="1"/>
    <col min="31" max="31" width="6.85546875" style="15" customWidth="1"/>
    <col min="32" max="32" width="6.5703125" style="15" customWidth="1"/>
    <col min="33" max="33" width="6.42578125" style="15" customWidth="1"/>
    <col min="34" max="34" width="6.28515625" style="15" customWidth="1"/>
    <col min="35" max="35" width="1.42578125" style="15" customWidth="1"/>
    <col min="36" max="36" width="4.85546875" style="15" customWidth="1"/>
    <col min="37" max="37" width="7.42578125" style="15" customWidth="1"/>
    <col min="38" max="38" width="6.42578125" style="15" customWidth="1"/>
    <col min="39" max="39" width="7.28515625" style="15" customWidth="1"/>
    <col min="40" max="40" width="5.42578125" style="15" customWidth="1"/>
    <col min="41" max="41" width="3.85546875" style="15" customWidth="1"/>
    <col min="42" max="42" width="6.140625" style="15" customWidth="1"/>
    <col min="43" max="43" width="2.5703125" style="15" customWidth="1"/>
    <col min="44" max="44" width="31.85546875" style="15" customWidth="1"/>
    <col min="45" max="16384" width="11.42578125" style="15"/>
  </cols>
  <sheetData>
    <row r="1" spans="1:44" ht="19.5" thickBot="1">
      <c r="B1" s="15" t="s">
        <v>72</v>
      </c>
      <c r="F1" s="400"/>
      <c r="G1" s="905" t="s">
        <v>7</v>
      </c>
      <c r="H1" s="906"/>
      <c r="I1" s="907"/>
      <c r="J1" s="400"/>
      <c r="K1" s="400"/>
      <c r="L1" s="400"/>
      <c r="M1" s="905" t="s">
        <v>7</v>
      </c>
      <c r="N1" s="906"/>
      <c r="O1" s="907"/>
      <c r="P1" s="400"/>
      <c r="Q1" s="400"/>
      <c r="R1" s="400"/>
      <c r="S1" s="908" t="s">
        <v>2</v>
      </c>
      <c r="T1" s="909"/>
      <c r="U1" s="910"/>
      <c r="V1" s="400"/>
      <c r="W1" s="401"/>
      <c r="X1" s="400"/>
      <c r="Y1" s="911" t="s">
        <v>3</v>
      </c>
      <c r="Z1" s="912"/>
      <c r="AA1" s="913"/>
      <c r="AB1" s="400"/>
      <c r="AD1" s="400"/>
      <c r="AE1" s="916" t="s">
        <v>4</v>
      </c>
      <c r="AF1" s="917"/>
      <c r="AG1" s="918"/>
      <c r="AH1" s="400"/>
    </row>
    <row r="2" spans="1:44" ht="15.75" thickBot="1">
      <c r="A2" s="402">
        <v>1</v>
      </c>
      <c r="B2" s="403"/>
      <c r="C2" s="404"/>
      <c r="D2" s="403"/>
      <c r="F2" s="405" t="s">
        <v>1</v>
      </c>
      <c r="G2" s="5"/>
      <c r="H2" s="406" t="s">
        <v>8</v>
      </c>
      <c r="I2" s="5"/>
      <c r="J2" s="405" t="s">
        <v>0</v>
      </c>
      <c r="K2" s="405"/>
      <c r="L2" s="405" t="s">
        <v>1</v>
      </c>
      <c r="M2" s="5"/>
      <c r="N2" s="406" t="s">
        <v>9</v>
      </c>
      <c r="O2" s="5"/>
      <c r="P2" s="405" t="s">
        <v>0</v>
      </c>
      <c r="Q2" s="405"/>
      <c r="R2" s="405" t="s">
        <v>1</v>
      </c>
      <c r="S2" s="5"/>
      <c r="T2" s="406" t="s">
        <v>8</v>
      </c>
      <c r="U2" s="5"/>
      <c r="V2" s="405" t="s">
        <v>0</v>
      </c>
      <c r="X2" s="405" t="s">
        <v>1</v>
      </c>
      <c r="Y2" s="5"/>
      <c r="Z2" s="406" t="s">
        <v>8</v>
      </c>
      <c r="AA2" s="5"/>
      <c r="AB2" s="405" t="s">
        <v>0</v>
      </c>
      <c r="AD2" s="405" t="s">
        <v>1</v>
      </c>
      <c r="AE2" s="5"/>
      <c r="AF2" s="406" t="s">
        <v>8</v>
      </c>
      <c r="AG2" s="5"/>
      <c r="AH2" s="405" t="s">
        <v>0</v>
      </c>
    </row>
    <row r="3" spans="1:44" ht="19.5" thickBot="1">
      <c r="A3" s="407">
        <v>2</v>
      </c>
      <c r="B3" s="408"/>
      <c r="C3" s="409"/>
      <c r="D3" s="408"/>
      <c r="F3" s="893"/>
      <c r="G3" s="410"/>
      <c r="H3" s="411"/>
      <c r="I3" s="412"/>
      <c r="J3" s="17"/>
      <c r="K3" s="69"/>
      <c r="L3" s="895"/>
      <c r="M3" s="826"/>
      <c r="N3" s="833"/>
      <c r="O3" s="834"/>
      <c r="P3" s="17"/>
      <c r="Q3" s="69"/>
      <c r="R3" s="895"/>
      <c r="S3" s="826"/>
      <c r="T3" s="833"/>
      <c r="U3" s="834"/>
      <c r="V3" s="17"/>
      <c r="W3" s="413"/>
      <c r="X3" s="895"/>
      <c r="Y3" s="914"/>
      <c r="Z3" s="914"/>
      <c r="AA3" s="915"/>
      <c r="AB3" s="14"/>
      <c r="AD3" s="893"/>
      <c r="AE3" s="922"/>
      <c r="AF3" s="914"/>
      <c r="AG3" s="915"/>
      <c r="AH3" s="14">
        <v>1</v>
      </c>
      <c r="AI3" s="400"/>
    </row>
    <row r="4" spans="1:44" ht="19.5" thickBot="1">
      <c r="A4" s="407">
        <v>3</v>
      </c>
      <c r="B4" s="408"/>
      <c r="C4" s="409"/>
      <c r="D4" s="408"/>
      <c r="F4" s="894"/>
      <c r="G4" s="389"/>
      <c r="H4" s="414"/>
      <c r="I4" s="415"/>
      <c r="J4" s="17"/>
      <c r="K4" s="69"/>
      <c r="L4" s="896"/>
      <c r="M4" s="897"/>
      <c r="N4" s="897"/>
      <c r="O4" s="898"/>
      <c r="P4" s="395"/>
      <c r="Q4" s="69"/>
      <c r="R4" s="896"/>
      <c r="S4" s="830"/>
      <c r="T4" s="897"/>
      <c r="U4" s="898"/>
      <c r="V4" s="395"/>
      <c r="W4" s="413"/>
      <c r="X4" s="896"/>
      <c r="Y4" s="899"/>
      <c r="Z4" s="900"/>
      <c r="AA4" s="901"/>
      <c r="AB4" s="249"/>
      <c r="AD4" s="894"/>
      <c r="AE4" s="867"/>
      <c r="AF4" s="900"/>
      <c r="AG4" s="901"/>
      <c r="AH4" s="249">
        <v>2</v>
      </c>
      <c r="AI4" s="5"/>
      <c r="AK4" s="919" t="s">
        <v>6</v>
      </c>
      <c r="AL4" s="920"/>
      <c r="AM4" s="921"/>
      <c r="AO4" s="401"/>
    </row>
    <row r="5" spans="1:44" ht="19.5" thickBot="1">
      <c r="A5" s="407">
        <v>4</v>
      </c>
      <c r="B5" s="408"/>
      <c r="C5" s="409"/>
      <c r="D5" s="408"/>
      <c r="F5" s="8"/>
      <c r="G5" s="397"/>
      <c r="H5" s="393" t="s">
        <v>44</v>
      </c>
      <c r="I5" s="397"/>
      <c r="J5" s="24"/>
      <c r="K5" s="12"/>
      <c r="L5" s="24"/>
      <c r="M5" s="397"/>
      <c r="N5" s="393" t="s">
        <v>40</v>
      </c>
      <c r="O5" s="397"/>
      <c r="P5" s="24"/>
      <c r="Q5" s="12"/>
      <c r="R5" s="24"/>
      <c r="S5" s="416"/>
      <c r="T5" s="393" t="s">
        <v>9</v>
      </c>
      <c r="U5" s="397"/>
      <c r="V5" s="24"/>
      <c r="W5" s="413"/>
      <c r="X5" s="24"/>
      <c r="Y5" s="397"/>
      <c r="Z5" s="397"/>
      <c r="AA5" s="397"/>
      <c r="AB5" s="8"/>
      <c r="AD5" s="8"/>
      <c r="AE5" s="397"/>
      <c r="AF5" s="397"/>
      <c r="AG5" s="397"/>
      <c r="AH5" s="8"/>
      <c r="AI5" s="417"/>
      <c r="AJ5" s="405" t="s">
        <v>1</v>
      </c>
      <c r="AK5" s="5"/>
      <c r="AL5" s="406" t="s">
        <v>44</v>
      </c>
      <c r="AM5" s="5"/>
      <c r="AN5" s="405" t="s">
        <v>0</v>
      </c>
      <c r="AP5" s="555" t="s">
        <v>136</v>
      </c>
      <c r="AQ5" s="556"/>
      <c r="AR5" s="556"/>
    </row>
    <row r="6" spans="1:44" ht="19.5" thickBot="1">
      <c r="A6" s="407">
        <v>5</v>
      </c>
      <c r="B6" s="408"/>
      <c r="C6" s="418"/>
      <c r="D6" s="419"/>
      <c r="F6" s="893"/>
      <c r="G6" s="410"/>
      <c r="H6" s="411"/>
      <c r="I6" s="412"/>
      <c r="J6" s="17"/>
      <c r="K6" s="69"/>
      <c r="L6" s="895"/>
      <c r="M6" s="833"/>
      <c r="N6" s="833"/>
      <c r="O6" s="834"/>
      <c r="P6" s="17"/>
      <c r="Q6" s="69"/>
      <c r="R6" s="895"/>
      <c r="S6" s="833"/>
      <c r="T6" s="833"/>
      <c r="U6" s="834"/>
      <c r="V6" s="17"/>
      <c r="W6" s="413"/>
      <c r="X6" s="24"/>
      <c r="Y6" s="397"/>
      <c r="Z6" s="397"/>
      <c r="AA6" s="397"/>
      <c r="AB6" s="8"/>
      <c r="AD6" s="8"/>
      <c r="AE6" s="397"/>
      <c r="AF6" s="397"/>
      <c r="AG6" s="397"/>
      <c r="AH6" s="8"/>
      <c r="AI6" s="417"/>
      <c r="AJ6" s="893"/>
      <c r="AK6" s="922"/>
      <c r="AL6" s="914"/>
      <c r="AM6" s="915"/>
      <c r="AN6" s="14">
        <v>3</v>
      </c>
      <c r="AP6" s="52"/>
      <c r="AQ6" s="52"/>
      <c r="AR6" s="52"/>
    </row>
    <row r="7" spans="1:44" ht="19.5" thickBot="1">
      <c r="A7" s="407">
        <v>6</v>
      </c>
      <c r="B7" s="408"/>
      <c r="C7" s="420">
        <v>25</v>
      </c>
      <c r="D7" s="403"/>
      <c r="F7" s="894"/>
      <c r="G7" s="421"/>
      <c r="H7" s="414"/>
      <c r="I7" s="415"/>
      <c r="J7" s="17"/>
      <c r="K7" s="69"/>
      <c r="L7" s="896"/>
      <c r="M7" s="897"/>
      <c r="N7" s="897"/>
      <c r="O7" s="898"/>
      <c r="P7" s="395"/>
      <c r="Q7" s="69"/>
      <c r="R7" s="896"/>
      <c r="S7" s="897"/>
      <c r="T7" s="897"/>
      <c r="U7" s="898"/>
      <c r="V7" s="395"/>
      <c r="W7" s="413"/>
      <c r="X7" s="24"/>
      <c r="Y7" s="397"/>
      <c r="Z7" s="397"/>
      <c r="AA7" s="397"/>
      <c r="AB7" s="8"/>
      <c r="AD7" s="8"/>
      <c r="AE7" s="397"/>
      <c r="AF7" s="397"/>
      <c r="AG7" s="397"/>
      <c r="AH7" s="8"/>
      <c r="AI7" s="422"/>
      <c r="AJ7" s="894"/>
      <c r="AK7" s="867"/>
      <c r="AL7" s="900"/>
      <c r="AM7" s="901"/>
      <c r="AN7" s="249">
        <v>2</v>
      </c>
      <c r="AP7" s="256">
        <v>1</v>
      </c>
      <c r="AQ7" s="76"/>
      <c r="AR7" s="227"/>
    </row>
    <row r="8" spans="1:44" ht="19.5" thickBot="1">
      <c r="A8" s="407">
        <v>7</v>
      </c>
      <c r="B8" s="408"/>
      <c r="C8" s="423">
        <v>26</v>
      </c>
      <c r="D8" s="408"/>
      <c r="F8" s="8"/>
      <c r="G8" s="397"/>
      <c r="H8" s="393" t="s">
        <v>41</v>
      </c>
      <c r="I8" s="397"/>
      <c r="J8" s="24"/>
      <c r="K8" s="12"/>
      <c r="L8" s="24"/>
      <c r="M8" s="397"/>
      <c r="N8" s="393" t="s">
        <v>45</v>
      </c>
      <c r="O8" s="397"/>
      <c r="P8" s="24"/>
      <c r="Q8" s="12"/>
      <c r="R8" s="24"/>
      <c r="S8" s="397"/>
      <c r="T8" s="393" t="s">
        <v>44</v>
      </c>
      <c r="U8" s="397"/>
      <c r="V8" s="24"/>
      <c r="W8" s="413"/>
      <c r="X8" s="24"/>
      <c r="Y8" s="397"/>
      <c r="Z8" s="393" t="s">
        <v>9</v>
      </c>
      <c r="AA8" s="397"/>
      <c r="AB8" s="8"/>
      <c r="AD8" s="25"/>
      <c r="AE8" s="397"/>
      <c r="AF8" s="393" t="s">
        <v>9</v>
      </c>
      <c r="AG8" s="397"/>
      <c r="AH8" s="25"/>
      <c r="AI8" s="422"/>
      <c r="AJ8" s="5"/>
      <c r="AK8" s="5"/>
      <c r="AL8" s="5"/>
      <c r="AM8" s="5"/>
      <c r="AN8" s="5"/>
      <c r="AP8" s="257">
        <v>2</v>
      </c>
      <c r="AQ8" s="76"/>
      <c r="AR8" s="228"/>
    </row>
    <row r="9" spans="1:44" ht="19.5" thickBot="1">
      <c r="A9" s="407">
        <v>8</v>
      </c>
      <c r="B9" s="408"/>
      <c r="C9" s="423">
        <v>27</v>
      </c>
      <c r="D9" s="408"/>
      <c r="F9" s="893"/>
      <c r="G9" s="410"/>
      <c r="H9" s="411"/>
      <c r="I9" s="412"/>
      <c r="J9" s="17"/>
      <c r="K9" s="69"/>
      <c r="L9" s="895"/>
      <c r="M9" s="832"/>
      <c r="N9" s="903"/>
      <c r="O9" s="904"/>
      <c r="P9" s="17"/>
      <c r="Q9" s="69"/>
      <c r="R9" s="895"/>
      <c r="S9" s="833"/>
      <c r="T9" s="833"/>
      <c r="U9" s="834"/>
      <c r="V9" s="17"/>
      <c r="W9" s="413"/>
      <c r="X9" s="895"/>
      <c r="Y9" s="899"/>
      <c r="Z9" s="900"/>
      <c r="AA9" s="901"/>
      <c r="AB9" s="14"/>
      <c r="AD9" s="893"/>
      <c r="AE9" s="867"/>
      <c r="AF9" s="900"/>
      <c r="AG9" s="901"/>
      <c r="AH9" s="14">
        <v>1</v>
      </c>
      <c r="AI9" s="422"/>
      <c r="AP9" s="258">
        <v>3</v>
      </c>
      <c r="AQ9" s="76"/>
      <c r="AR9" s="228"/>
    </row>
    <row r="10" spans="1:44" ht="19.5" thickBot="1">
      <c r="A10" s="407">
        <v>9</v>
      </c>
      <c r="B10" s="408"/>
      <c r="C10" s="423">
        <v>28</v>
      </c>
      <c r="D10" s="408"/>
      <c r="F10" s="894"/>
      <c r="G10" s="424"/>
      <c r="H10" s="414"/>
      <c r="I10" s="415"/>
      <c r="J10" s="395"/>
      <c r="K10" s="69"/>
      <c r="L10" s="896"/>
      <c r="M10" s="902"/>
      <c r="N10" s="897"/>
      <c r="O10" s="898"/>
      <c r="P10" s="395"/>
      <c r="Q10" s="69"/>
      <c r="R10" s="896"/>
      <c r="S10" s="902"/>
      <c r="T10" s="897"/>
      <c r="U10" s="898"/>
      <c r="V10" s="395"/>
      <c r="W10" s="413"/>
      <c r="X10" s="896"/>
      <c r="Y10" s="899"/>
      <c r="Z10" s="900"/>
      <c r="AA10" s="901"/>
      <c r="AB10" s="249"/>
      <c r="AD10" s="894"/>
      <c r="AE10" s="867"/>
      <c r="AF10" s="900"/>
      <c r="AG10" s="901"/>
      <c r="AH10" s="249">
        <v>2</v>
      </c>
      <c r="AI10" s="422"/>
      <c r="AP10" s="258">
        <v>4</v>
      </c>
      <c r="AQ10" s="76"/>
      <c r="AR10" s="228"/>
    </row>
    <row r="11" spans="1:44" ht="19.5" thickBot="1">
      <c r="A11" s="407">
        <v>10</v>
      </c>
      <c r="B11" s="408"/>
      <c r="C11" s="423">
        <v>29</v>
      </c>
      <c r="D11" s="408"/>
      <c r="F11" s="8"/>
      <c r="G11" s="425"/>
      <c r="H11" s="393" t="s">
        <v>46</v>
      </c>
      <c r="I11" s="425"/>
      <c r="J11" s="24"/>
      <c r="K11" s="12"/>
      <c r="L11" s="24"/>
      <c r="M11" s="397"/>
      <c r="N11" s="393" t="s">
        <v>47</v>
      </c>
      <c r="O11" s="397"/>
      <c r="P11" s="24"/>
      <c r="Q11" s="12"/>
      <c r="R11" s="24"/>
      <c r="S11" s="397"/>
      <c r="T11" s="393" t="s">
        <v>40</v>
      </c>
      <c r="U11" s="397"/>
      <c r="V11" s="24"/>
      <c r="W11" s="413"/>
      <c r="X11" s="397"/>
      <c r="Y11" s="397"/>
      <c r="Z11" s="397"/>
      <c r="AA11" s="397"/>
      <c r="AB11" s="5"/>
      <c r="AI11" s="417"/>
      <c r="AP11" s="258">
        <v>5</v>
      </c>
      <c r="AQ11" s="76"/>
      <c r="AR11" s="228"/>
    </row>
    <row r="12" spans="1:44" ht="19.5" thickBot="1">
      <c r="A12" s="407">
        <v>11</v>
      </c>
      <c r="B12" s="408"/>
      <c r="C12" s="423">
        <v>30</v>
      </c>
      <c r="D12" s="408"/>
      <c r="F12" s="893"/>
      <c r="G12" s="410"/>
      <c r="H12" s="411"/>
      <c r="I12" s="412"/>
      <c r="J12" s="17"/>
      <c r="K12" s="69"/>
      <c r="L12" s="895"/>
      <c r="M12" s="827"/>
      <c r="N12" s="833"/>
      <c r="O12" s="834"/>
      <c r="P12" s="17"/>
      <c r="Q12" s="69"/>
      <c r="R12" s="895"/>
      <c r="S12" s="833"/>
      <c r="T12" s="833"/>
      <c r="U12" s="834"/>
      <c r="V12" s="17"/>
      <c r="W12" s="413"/>
      <c r="X12" s="397"/>
      <c r="Y12" s="397"/>
      <c r="Z12" s="397"/>
      <c r="AA12" s="397"/>
      <c r="AB12" s="5"/>
      <c r="AD12" s="883" t="s">
        <v>5</v>
      </c>
      <c r="AE12" s="884"/>
      <c r="AF12" s="884"/>
      <c r="AG12" s="884"/>
      <c r="AH12" s="884"/>
      <c r="AI12" s="884"/>
      <c r="AJ12" s="884"/>
      <c r="AK12" s="884"/>
      <c r="AL12" s="884"/>
      <c r="AM12" s="884"/>
      <c r="AN12" s="885"/>
      <c r="AP12" s="258">
        <v>6</v>
      </c>
      <c r="AQ12" s="76"/>
      <c r="AR12" s="228"/>
    </row>
    <row r="13" spans="1:44" ht="19.5" thickBot="1">
      <c r="A13" s="407">
        <v>12</v>
      </c>
      <c r="B13" s="408"/>
      <c r="C13" s="423">
        <v>31</v>
      </c>
      <c r="D13" s="408"/>
      <c r="F13" s="894"/>
      <c r="G13" s="424"/>
      <c r="H13" s="414"/>
      <c r="I13" s="415"/>
      <c r="J13" s="395"/>
      <c r="K13" s="69"/>
      <c r="L13" s="896"/>
      <c r="M13" s="897"/>
      <c r="N13" s="897"/>
      <c r="O13" s="898"/>
      <c r="P13" s="395"/>
      <c r="Q13" s="69"/>
      <c r="R13" s="896"/>
      <c r="S13" s="830"/>
      <c r="T13" s="897"/>
      <c r="U13" s="898"/>
      <c r="V13" s="395"/>
      <c r="W13" s="413"/>
      <c r="X13" s="397"/>
      <c r="Y13" s="397"/>
      <c r="Z13" s="397"/>
      <c r="AA13" s="397"/>
      <c r="AB13" s="5"/>
      <c r="AD13" s="25"/>
      <c r="AE13" s="886" t="s">
        <v>42</v>
      </c>
      <c r="AF13" s="887"/>
      <c r="AG13" s="888"/>
      <c r="AH13" s="25"/>
      <c r="AI13" s="390"/>
      <c r="AJ13" s="889" t="s">
        <v>85</v>
      </c>
      <c r="AK13" s="890"/>
      <c r="AL13" s="890"/>
      <c r="AM13" s="890"/>
      <c r="AN13" s="891"/>
      <c r="AP13" s="258">
        <v>7</v>
      </c>
      <c r="AQ13" s="76"/>
      <c r="AR13" s="228"/>
    </row>
    <row r="14" spans="1:44" ht="19.5" thickBot="1">
      <c r="A14" s="407">
        <v>13</v>
      </c>
      <c r="B14" s="408"/>
      <c r="C14" s="426">
        <v>32</v>
      </c>
      <c r="D14" s="427"/>
      <c r="F14" s="8"/>
      <c r="G14" s="397"/>
      <c r="H14" s="393" t="s">
        <v>48</v>
      </c>
      <c r="I14" s="397"/>
      <c r="J14" s="24"/>
      <c r="K14" s="12"/>
      <c r="L14" s="24"/>
      <c r="M14" s="397"/>
      <c r="N14" s="393" t="s">
        <v>49</v>
      </c>
      <c r="O14" s="397"/>
      <c r="P14" s="24"/>
      <c r="Q14" s="12"/>
      <c r="R14" s="24"/>
      <c r="S14" s="397"/>
      <c r="T14" s="393" t="s">
        <v>41</v>
      </c>
      <c r="U14" s="397"/>
      <c r="V14" s="24"/>
      <c r="W14" s="413"/>
      <c r="X14" s="392" t="s">
        <v>1</v>
      </c>
      <c r="Y14" s="397"/>
      <c r="Z14" s="393" t="s">
        <v>44</v>
      </c>
      <c r="AA14" s="397"/>
      <c r="AB14" s="405" t="s">
        <v>0</v>
      </c>
      <c r="AD14" s="25" t="s">
        <v>1</v>
      </c>
      <c r="AE14" s="25"/>
      <c r="AF14" s="14" t="s">
        <v>8</v>
      </c>
      <c r="AG14" s="25"/>
      <c r="AH14" s="25" t="s">
        <v>0</v>
      </c>
      <c r="AI14" s="390"/>
      <c r="AJ14" s="25" t="s">
        <v>1</v>
      </c>
      <c r="AK14" s="25"/>
      <c r="AL14" s="25"/>
      <c r="AM14" s="25"/>
      <c r="AN14" s="25" t="s">
        <v>0</v>
      </c>
      <c r="AP14" s="259">
        <v>8</v>
      </c>
      <c r="AQ14" s="76"/>
      <c r="AR14" s="229"/>
    </row>
    <row r="15" spans="1:44" ht="15.75" thickBot="1">
      <c r="A15" s="407">
        <v>14</v>
      </c>
      <c r="B15" s="408"/>
      <c r="C15" s="428"/>
      <c r="D15" s="429"/>
      <c r="F15" s="893"/>
      <c r="G15" s="826"/>
      <c r="H15" s="833"/>
      <c r="I15" s="834"/>
      <c r="J15" s="17"/>
      <c r="K15" s="69"/>
      <c r="L15" s="895"/>
      <c r="M15" s="833"/>
      <c r="N15" s="833"/>
      <c r="O15" s="834"/>
      <c r="P15" s="17"/>
      <c r="Q15" s="69"/>
      <c r="R15" s="895"/>
      <c r="S15" s="833"/>
      <c r="T15" s="833"/>
      <c r="U15" s="834"/>
      <c r="V15" s="17"/>
      <c r="W15" s="413"/>
      <c r="X15" s="895"/>
      <c r="Y15" s="899"/>
      <c r="Z15" s="900"/>
      <c r="AA15" s="901"/>
      <c r="AB15" s="14"/>
      <c r="AD15" s="875"/>
      <c r="AE15" s="826"/>
      <c r="AF15" s="827"/>
      <c r="AG15" s="828"/>
      <c r="AH15" s="17"/>
      <c r="AI15" s="391"/>
      <c r="AJ15" s="875"/>
      <c r="AK15" s="862"/>
      <c r="AL15" s="863"/>
      <c r="AM15" s="864"/>
      <c r="AN15" s="17"/>
    </row>
    <row r="16" spans="1:44" ht="15.75" thickBot="1">
      <c r="A16" s="407">
        <v>15</v>
      </c>
      <c r="B16" s="408"/>
      <c r="C16" s="409"/>
      <c r="D16" s="408"/>
      <c r="F16" s="894"/>
      <c r="G16" s="897"/>
      <c r="H16" s="897"/>
      <c r="I16" s="898"/>
      <c r="J16" s="395"/>
      <c r="K16" s="69"/>
      <c r="L16" s="896"/>
      <c r="M16" s="897"/>
      <c r="N16" s="897"/>
      <c r="O16" s="898"/>
      <c r="P16" s="395"/>
      <c r="Q16" s="69"/>
      <c r="R16" s="896"/>
      <c r="S16" s="830"/>
      <c r="T16" s="897"/>
      <c r="U16" s="898"/>
      <c r="V16" s="395"/>
      <c r="W16" s="413"/>
      <c r="X16" s="896"/>
      <c r="Y16" s="899"/>
      <c r="Z16" s="900"/>
      <c r="AA16" s="901"/>
      <c r="AB16" s="249"/>
      <c r="AD16" s="876"/>
      <c r="AE16" s="877"/>
      <c r="AF16" s="882"/>
      <c r="AG16" s="892"/>
      <c r="AH16" s="17"/>
      <c r="AI16" s="391"/>
      <c r="AJ16" s="876"/>
      <c r="AK16" s="826"/>
      <c r="AL16" s="827"/>
      <c r="AM16" s="828"/>
      <c r="AN16" s="17"/>
    </row>
    <row r="17" spans="1:40" ht="15.75" thickBot="1">
      <c r="A17" s="407">
        <v>16</v>
      </c>
      <c r="B17" s="408"/>
      <c r="C17" s="409"/>
      <c r="D17" s="408"/>
      <c r="F17" s="8"/>
      <c r="G17" s="397"/>
      <c r="H17" s="393" t="s">
        <v>50</v>
      </c>
      <c r="I17" s="397"/>
      <c r="J17" s="24"/>
      <c r="K17" s="12"/>
      <c r="L17" s="24"/>
      <c r="M17" s="397"/>
      <c r="N17" s="393" t="s">
        <v>51</v>
      </c>
      <c r="O17" s="397"/>
      <c r="P17" s="24"/>
      <c r="Q17" s="12"/>
      <c r="R17" s="24"/>
      <c r="S17" s="397"/>
      <c r="T17" s="393" t="s">
        <v>45</v>
      </c>
      <c r="U17" s="397"/>
      <c r="V17" s="24"/>
      <c r="W17" s="413"/>
      <c r="X17" s="24"/>
      <c r="Y17" s="397"/>
      <c r="Z17" s="397"/>
      <c r="AA17" s="397"/>
      <c r="AB17" s="8"/>
      <c r="AD17" s="379"/>
      <c r="AE17" s="392"/>
      <c r="AF17" s="392"/>
      <c r="AG17" s="392"/>
      <c r="AH17" s="379"/>
      <c r="AI17" s="391"/>
      <c r="AJ17" s="430"/>
      <c r="AK17" s="430"/>
      <c r="AL17" s="430"/>
      <c r="AM17" s="430"/>
      <c r="AN17" s="430"/>
    </row>
    <row r="18" spans="1:40" ht="15.75" thickBot="1">
      <c r="A18" s="407">
        <v>17</v>
      </c>
      <c r="B18" s="408"/>
      <c r="C18" s="409"/>
      <c r="D18" s="408"/>
      <c r="F18" s="893"/>
      <c r="G18" s="833"/>
      <c r="H18" s="833"/>
      <c r="I18" s="834"/>
      <c r="J18" s="17"/>
      <c r="K18" s="69"/>
      <c r="L18" s="895"/>
      <c r="M18" s="833"/>
      <c r="N18" s="833"/>
      <c r="O18" s="834"/>
      <c r="P18" s="17"/>
      <c r="Q18" s="69"/>
      <c r="R18" s="895"/>
      <c r="S18" s="827"/>
      <c r="T18" s="833"/>
      <c r="U18" s="834"/>
      <c r="V18" s="17"/>
      <c r="W18" s="413"/>
      <c r="X18" s="24"/>
      <c r="Y18" s="397"/>
      <c r="Z18" s="397"/>
      <c r="AA18" s="397"/>
      <c r="AB18" s="8"/>
      <c r="AD18" s="880"/>
      <c r="AE18" s="881"/>
      <c r="AF18" s="881"/>
      <c r="AG18" s="881"/>
      <c r="AH18" s="26"/>
      <c r="AI18" s="391"/>
      <c r="AJ18" s="674" t="s">
        <v>86</v>
      </c>
      <c r="AK18" s="675"/>
      <c r="AL18" s="675"/>
      <c r="AM18" s="675"/>
      <c r="AN18" s="676"/>
    </row>
    <row r="19" spans="1:40" ht="15.75" thickBot="1">
      <c r="A19" s="407">
        <v>18</v>
      </c>
      <c r="B19" s="408"/>
      <c r="C19" s="409"/>
      <c r="D19" s="408"/>
      <c r="F19" s="894"/>
      <c r="G19" s="897"/>
      <c r="H19" s="897"/>
      <c r="I19" s="898"/>
      <c r="J19" s="395"/>
      <c r="K19" s="69"/>
      <c r="L19" s="896"/>
      <c r="M19" s="897"/>
      <c r="N19" s="897"/>
      <c r="O19" s="898"/>
      <c r="P19" s="395"/>
      <c r="Q19" s="69"/>
      <c r="R19" s="896"/>
      <c r="S19" s="897"/>
      <c r="T19" s="897"/>
      <c r="U19" s="898"/>
      <c r="V19" s="395"/>
      <c r="W19" s="413"/>
      <c r="X19" s="24"/>
      <c r="Y19" s="397"/>
      <c r="Z19" s="397"/>
      <c r="AA19" s="397"/>
      <c r="AB19" s="8"/>
      <c r="AD19" s="880"/>
      <c r="AE19" s="881"/>
      <c r="AF19" s="881"/>
      <c r="AG19" s="881"/>
      <c r="AH19" s="250"/>
      <c r="AI19" s="391"/>
      <c r="AJ19" s="379"/>
      <c r="AK19" s="379"/>
      <c r="AL19" s="379"/>
      <c r="AM19" s="379"/>
      <c r="AN19" s="379"/>
    </row>
    <row r="20" spans="1:40" ht="15.75" thickBot="1">
      <c r="A20" s="407">
        <v>19</v>
      </c>
      <c r="B20" s="408"/>
      <c r="C20" s="409"/>
      <c r="D20" s="408"/>
      <c r="F20" s="8"/>
      <c r="G20" s="397"/>
      <c r="H20" s="393" t="s">
        <v>52</v>
      </c>
      <c r="I20" s="397"/>
      <c r="J20" s="24"/>
      <c r="K20" s="12"/>
      <c r="L20" s="24"/>
      <c r="M20" s="397"/>
      <c r="N20" s="393" t="s">
        <v>53</v>
      </c>
      <c r="O20" s="397"/>
      <c r="P20" s="24"/>
      <c r="Q20" s="12"/>
      <c r="R20" s="24"/>
      <c r="S20" s="397"/>
      <c r="T20" s="393" t="s">
        <v>46</v>
      </c>
      <c r="U20" s="397"/>
      <c r="V20" s="24"/>
      <c r="W20" s="413"/>
      <c r="X20" s="24"/>
      <c r="Y20" s="397"/>
      <c r="Z20" s="393" t="s">
        <v>40</v>
      </c>
      <c r="AA20" s="397"/>
      <c r="AB20" s="8"/>
      <c r="AD20" s="379"/>
      <c r="AE20" s="392"/>
      <c r="AF20" s="393"/>
      <c r="AG20" s="392"/>
      <c r="AH20" s="379"/>
      <c r="AI20" s="391"/>
      <c r="AJ20" s="875"/>
      <c r="AK20" s="826"/>
      <c r="AL20" s="833"/>
      <c r="AM20" s="834"/>
      <c r="AN20" s="17"/>
    </row>
    <row r="21" spans="1:40" ht="15.75" thickBot="1">
      <c r="A21" s="407">
        <v>20</v>
      </c>
      <c r="B21" s="408"/>
      <c r="C21" s="409"/>
      <c r="D21" s="408"/>
      <c r="F21" s="893"/>
      <c r="G21" s="833"/>
      <c r="H21" s="833"/>
      <c r="I21" s="834"/>
      <c r="J21" s="17"/>
      <c r="K21" s="69"/>
      <c r="L21" s="895"/>
      <c r="M21" s="833"/>
      <c r="N21" s="833"/>
      <c r="O21" s="834"/>
      <c r="P21" s="17"/>
      <c r="Q21" s="69"/>
      <c r="R21" s="895"/>
      <c r="S21" s="827"/>
      <c r="T21" s="833"/>
      <c r="U21" s="834"/>
      <c r="V21" s="17"/>
      <c r="W21" s="413"/>
      <c r="X21" s="895"/>
      <c r="Y21" s="899"/>
      <c r="Z21" s="900"/>
      <c r="AA21" s="901"/>
      <c r="AB21" s="14"/>
      <c r="AD21" s="875"/>
      <c r="AE21" s="826"/>
      <c r="AF21" s="827"/>
      <c r="AG21" s="828"/>
      <c r="AH21" s="394"/>
      <c r="AI21" s="391"/>
      <c r="AJ21" s="876"/>
      <c r="AK21" s="877"/>
      <c r="AL21" s="878"/>
      <c r="AM21" s="879"/>
      <c r="AN21" s="395"/>
    </row>
    <row r="22" spans="1:40" ht="15.75" thickBot="1">
      <c r="A22" s="407">
        <v>21</v>
      </c>
      <c r="B22" s="408"/>
      <c r="C22" s="409"/>
      <c r="D22" s="408"/>
      <c r="F22" s="894"/>
      <c r="G22" s="897"/>
      <c r="H22" s="897"/>
      <c r="I22" s="898"/>
      <c r="J22" s="395"/>
      <c r="K22" s="69"/>
      <c r="L22" s="896"/>
      <c r="M22" s="897"/>
      <c r="N22" s="897"/>
      <c r="O22" s="898"/>
      <c r="P22" s="395"/>
      <c r="Q22" s="69"/>
      <c r="R22" s="896"/>
      <c r="S22" s="897"/>
      <c r="T22" s="897"/>
      <c r="U22" s="898"/>
      <c r="V22" s="395"/>
      <c r="W22" s="413"/>
      <c r="X22" s="896"/>
      <c r="Y22" s="899"/>
      <c r="Z22" s="900"/>
      <c r="AA22" s="901"/>
      <c r="AB22" s="249"/>
      <c r="AD22" s="876"/>
      <c r="AE22" s="877"/>
      <c r="AF22" s="882"/>
      <c r="AG22" s="882"/>
      <c r="AH22" s="396"/>
      <c r="AI22" s="391"/>
      <c r="AJ22" s="379"/>
      <c r="AK22" s="379"/>
      <c r="AL22" s="379"/>
      <c r="AM22" s="379"/>
      <c r="AN22" s="379"/>
    </row>
    <row r="23" spans="1:40" ht="19.5" thickBot="1">
      <c r="A23" s="407">
        <v>22</v>
      </c>
      <c r="B23" s="408"/>
      <c r="C23" s="409"/>
      <c r="D23" s="408"/>
      <c r="F23" s="8"/>
      <c r="G23" s="397"/>
      <c r="H23" s="393" t="s">
        <v>54</v>
      </c>
      <c r="I23" s="397"/>
      <c r="J23" s="24"/>
      <c r="K23" s="12"/>
      <c r="L23" s="24"/>
      <c r="M23" s="397"/>
      <c r="N23" s="393" t="s">
        <v>55</v>
      </c>
      <c r="O23" s="397"/>
      <c r="P23" s="24"/>
      <c r="Q23" s="12"/>
      <c r="R23" s="24"/>
      <c r="S23" s="397"/>
      <c r="T23" s="393" t="s">
        <v>47</v>
      </c>
      <c r="U23" s="397"/>
      <c r="V23" s="24"/>
      <c r="W23" s="431"/>
      <c r="X23" s="397"/>
      <c r="Y23" s="397"/>
      <c r="Z23" s="397"/>
      <c r="AA23" s="397"/>
      <c r="AB23" s="5"/>
      <c r="AD23" s="24"/>
      <c r="AE23" s="397"/>
      <c r="AF23" s="397"/>
      <c r="AG23" s="397"/>
      <c r="AH23" s="24"/>
      <c r="AI23" s="398"/>
      <c r="AJ23" s="677" t="s">
        <v>87</v>
      </c>
      <c r="AK23" s="678"/>
      <c r="AL23" s="678"/>
      <c r="AM23" s="678"/>
      <c r="AN23" s="679"/>
    </row>
    <row r="24" spans="1:40" ht="15.75" thickBot="1">
      <c r="A24" s="407">
        <v>23</v>
      </c>
      <c r="B24" s="408"/>
      <c r="C24" s="409"/>
      <c r="D24" s="408"/>
      <c r="F24" s="893"/>
      <c r="G24" s="833"/>
      <c r="H24" s="833"/>
      <c r="I24" s="834"/>
      <c r="J24" s="17"/>
      <c r="K24" s="69"/>
      <c r="L24" s="895"/>
      <c r="M24" s="833"/>
      <c r="N24" s="833"/>
      <c r="O24" s="834"/>
      <c r="P24" s="17"/>
      <c r="Q24" s="69"/>
      <c r="R24" s="895"/>
      <c r="S24" s="827"/>
      <c r="T24" s="833"/>
      <c r="U24" s="834"/>
      <c r="V24" s="17"/>
      <c r="W24" s="413"/>
      <c r="X24" s="397"/>
      <c r="Y24" s="397"/>
      <c r="Z24" s="397"/>
      <c r="AA24" s="397"/>
      <c r="AB24" s="5"/>
      <c r="AD24" s="24"/>
      <c r="AE24" s="24"/>
      <c r="AF24" s="24"/>
      <c r="AG24" s="24"/>
      <c r="AH24" s="24"/>
      <c r="AI24" s="399"/>
      <c r="AJ24" s="379"/>
      <c r="AK24" s="379"/>
      <c r="AL24" s="379"/>
      <c r="AM24" s="379"/>
      <c r="AN24" s="379"/>
    </row>
    <row r="25" spans="1:40" ht="15.75" thickBot="1">
      <c r="A25" s="432">
        <v>24</v>
      </c>
      <c r="B25" s="427"/>
      <c r="C25" s="433"/>
      <c r="D25" s="427"/>
      <c r="F25" s="894"/>
      <c r="G25" s="829"/>
      <c r="H25" s="897"/>
      <c r="I25" s="898"/>
      <c r="J25" s="395"/>
      <c r="K25" s="69"/>
      <c r="L25" s="896"/>
      <c r="M25" s="829"/>
      <c r="N25" s="897"/>
      <c r="O25" s="898"/>
      <c r="P25" s="395"/>
      <c r="Q25" s="69"/>
      <c r="R25" s="896"/>
      <c r="S25" s="829"/>
      <c r="T25" s="897"/>
      <c r="U25" s="898"/>
      <c r="V25" s="395"/>
      <c r="W25" s="413"/>
      <c r="X25" s="397"/>
      <c r="Y25" s="397"/>
      <c r="Z25" s="397"/>
      <c r="AA25" s="397"/>
      <c r="AB25" s="5"/>
      <c r="AD25" s="24"/>
      <c r="AE25" s="24"/>
      <c r="AF25" s="24"/>
      <c r="AG25" s="24"/>
      <c r="AH25" s="24"/>
      <c r="AI25" s="399"/>
      <c r="AJ25" s="875"/>
      <c r="AK25" s="826"/>
      <c r="AL25" s="833"/>
      <c r="AM25" s="834"/>
      <c r="AN25" s="17"/>
    </row>
    <row r="26" spans="1:40" ht="15.75" thickBot="1">
      <c r="AD26" s="24"/>
      <c r="AE26" s="24"/>
      <c r="AF26" s="24"/>
      <c r="AG26" s="24"/>
      <c r="AH26" s="24"/>
      <c r="AI26" s="399"/>
      <c r="AJ26" s="876"/>
      <c r="AK26" s="877"/>
      <c r="AL26" s="878"/>
      <c r="AM26" s="879"/>
      <c r="AN26" s="395"/>
    </row>
  </sheetData>
  <mergeCells count="115">
    <mergeCell ref="AE1:AG1"/>
    <mergeCell ref="AK4:AM4"/>
    <mergeCell ref="AD3:AD4"/>
    <mergeCell ref="AE3:AG3"/>
    <mergeCell ref="AE4:AG4"/>
    <mergeCell ref="AJ6:AJ7"/>
    <mergeCell ref="AK6:AM6"/>
    <mergeCell ref="AK7:AM7"/>
    <mergeCell ref="AD9:AD10"/>
    <mergeCell ref="AE9:AG9"/>
    <mergeCell ref="AE10:AG10"/>
    <mergeCell ref="Y1:AA1"/>
    <mergeCell ref="F3:F4"/>
    <mergeCell ref="L3:L4"/>
    <mergeCell ref="M3:O3"/>
    <mergeCell ref="R3:R4"/>
    <mergeCell ref="S3:U3"/>
    <mergeCell ref="X3:X4"/>
    <mergeCell ref="Y3:AA3"/>
    <mergeCell ref="M4:O4"/>
    <mergeCell ref="S4:U4"/>
    <mergeCell ref="Y4:AA4"/>
    <mergeCell ref="F6:F7"/>
    <mergeCell ref="L6:L7"/>
    <mergeCell ref="M6:O6"/>
    <mergeCell ref="R6:R7"/>
    <mergeCell ref="S6:U6"/>
    <mergeCell ref="M7:O7"/>
    <mergeCell ref="S7:U7"/>
    <mergeCell ref="G1:I1"/>
    <mergeCell ref="M1:O1"/>
    <mergeCell ref="S1:U1"/>
    <mergeCell ref="X9:X10"/>
    <mergeCell ref="Y9:AA9"/>
    <mergeCell ref="M10:O10"/>
    <mergeCell ref="S10:U10"/>
    <mergeCell ref="Y10:AA10"/>
    <mergeCell ref="F9:F10"/>
    <mergeCell ref="L9:L10"/>
    <mergeCell ref="M9:O9"/>
    <mergeCell ref="R9:R10"/>
    <mergeCell ref="S9:U9"/>
    <mergeCell ref="X15:X16"/>
    <mergeCell ref="Y15:AA15"/>
    <mergeCell ref="G16:I16"/>
    <mergeCell ref="M16:O16"/>
    <mergeCell ref="S16:U16"/>
    <mergeCell ref="Y16:AA16"/>
    <mergeCell ref="M13:O13"/>
    <mergeCell ref="S13:U13"/>
    <mergeCell ref="F15:F16"/>
    <mergeCell ref="G15:I15"/>
    <mergeCell ref="L15:L16"/>
    <mergeCell ref="M15:O15"/>
    <mergeCell ref="R15:R16"/>
    <mergeCell ref="S15:U15"/>
    <mergeCell ref="F12:F13"/>
    <mergeCell ref="L12:L13"/>
    <mergeCell ref="M12:O12"/>
    <mergeCell ref="R12:R13"/>
    <mergeCell ref="S12:U12"/>
    <mergeCell ref="F18:F19"/>
    <mergeCell ref="G18:I18"/>
    <mergeCell ref="L18:L19"/>
    <mergeCell ref="M18:O18"/>
    <mergeCell ref="R18:R19"/>
    <mergeCell ref="S18:U18"/>
    <mergeCell ref="G19:I19"/>
    <mergeCell ref="M19:O19"/>
    <mergeCell ref="S19:U19"/>
    <mergeCell ref="X21:X22"/>
    <mergeCell ref="Y21:AA21"/>
    <mergeCell ref="G22:I22"/>
    <mergeCell ref="M22:O22"/>
    <mergeCell ref="S22:U22"/>
    <mergeCell ref="Y22:AA22"/>
    <mergeCell ref="S21:U21"/>
    <mergeCell ref="F21:F22"/>
    <mergeCell ref="G21:I21"/>
    <mergeCell ref="L21:L22"/>
    <mergeCell ref="M21:O21"/>
    <mergeCell ref="R21:R22"/>
    <mergeCell ref="F24:F25"/>
    <mergeCell ref="G24:I24"/>
    <mergeCell ref="L24:L25"/>
    <mergeCell ref="M24:O24"/>
    <mergeCell ref="R24:R25"/>
    <mergeCell ref="S24:U24"/>
    <mergeCell ref="G25:I25"/>
    <mergeCell ref="M25:O25"/>
    <mergeCell ref="S25:U25"/>
    <mergeCell ref="AJ23:AN23"/>
    <mergeCell ref="AJ25:AJ26"/>
    <mergeCell ref="AK25:AM25"/>
    <mergeCell ref="AK26:AM26"/>
    <mergeCell ref="AP5:AR5"/>
    <mergeCell ref="AD18:AD19"/>
    <mergeCell ref="AE18:AG18"/>
    <mergeCell ref="AJ18:AN18"/>
    <mergeCell ref="AE19:AG19"/>
    <mergeCell ref="AJ20:AJ21"/>
    <mergeCell ref="AK20:AM20"/>
    <mergeCell ref="AD21:AD22"/>
    <mergeCell ref="AE21:AG21"/>
    <mergeCell ref="AK21:AM21"/>
    <mergeCell ref="AE22:AG22"/>
    <mergeCell ref="AD12:AN12"/>
    <mergeCell ref="AE13:AG13"/>
    <mergeCell ref="AJ13:AN13"/>
    <mergeCell ref="AD15:AD16"/>
    <mergeCell ref="AE15:AG15"/>
    <mergeCell ref="AJ15:AJ16"/>
    <mergeCell ref="AK15:AM15"/>
    <mergeCell ref="AE16:AG16"/>
    <mergeCell ref="AK16:AM16"/>
  </mergeCells>
  <conditionalFormatting sqref="AR7">
    <cfRule type="expression" dxfId="31" priority="32">
      <formula>(OR(AL1048572=9,AL1048572=8,AL1048572=7,AL1048572=6,AL1048572=5,AL1048572=4,AL1048572=3,AL1048572=2,AL1048572=1))</formula>
    </cfRule>
  </conditionalFormatting>
  <conditionalFormatting sqref="AR8">
    <cfRule type="expression" dxfId="30" priority="31">
      <formula>(OR($AJ$3=9,$AJ$3=8,$AJ$3=7,$AJ$3=6,$AJ$3=5,$AJ$3=4,$AJ$3=3,$AJ$3=2))</formula>
    </cfRule>
  </conditionalFormatting>
  <conditionalFormatting sqref="AR10">
    <cfRule type="expression" dxfId="29" priority="30">
      <formula>(OR(AL1048572=9,AL1048572=8,AL1048572=7,AL1048572=6,AL1048572=5,AL1048572=4))</formula>
    </cfRule>
  </conditionalFormatting>
  <conditionalFormatting sqref="AR11">
    <cfRule type="expression" dxfId="28" priority="29">
      <formula>(OR(AL1048572=9,AL1048572=8,AL1048572=7,AL1048572=6,AL1048572=5))</formula>
    </cfRule>
  </conditionalFormatting>
  <conditionalFormatting sqref="AR12">
    <cfRule type="expression" dxfId="27" priority="28">
      <formula>(OR(AL1048572=9,AL1048572=8,AL1048572=7,AL1048572=6))</formula>
    </cfRule>
  </conditionalFormatting>
  <conditionalFormatting sqref="AR13">
    <cfRule type="expression" dxfId="26" priority="27">
      <formula>(OR(AL1048572=9,AL1048572=8,AL1048572=7))</formula>
    </cfRule>
  </conditionalFormatting>
  <conditionalFormatting sqref="AR14">
    <cfRule type="expression" dxfId="25" priority="26">
      <formula>(OR(AL1048572=9,AL1048572=8))</formula>
    </cfRule>
  </conditionalFormatting>
  <conditionalFormatting sqref="AR9">
    <cfRule type="expression" dxfId="24" priority="25">
      <formula>-(OR(AL1048572=9,AL1048572=8,AL1048572=7,AL1048572=6,AL1048572=5,AL1048572=4,AL1048572=3))</formula>
    </cfRule>
  </conditionalFormatting>
  <conditionalFormatting sqref="AP7:AP14">
    <cfRule type="expression" dxfId="23" priority="24">
      <formula>"SI(OU(AG3=9;AG3=8;AG3=7;AG3=6;AG3=5;AG3=4;AG3=3;AG3=2))"</formula>
    </cfRule>
  </conditionalFormatting>
  <conditionalFormatting sqref="AP7">
    <cfRule type="expression" dxfId="22" priority="23">
      <formula>(OR(AL1048572=9,AL1048572=8,AL1048572=7,AL1048572=6,AL1048572=5,AL1048572=4,AL1048572=3,AL1048572=2,AL1048572=1))</formula>
    </cfRule>
  </conditionalFormatting>
  <conditionalFormatting sqref="AP8">
    <cfRule type="expression" dxfId="21" priority="22">
      <formula>(OR(AL1048572=9,AL1048572=8,AL1048572=7,AL1048572=6,AL1048572=5,AL1048572=4,AL1048572=3,AL1048572=2))</formula>
    </cfRule>
  </conditionalFormatting>
  <conditionalFormatting sqref="AP9">
    <cfRule type="expression" dxfId="20" priority="21">
      <formula>(OR(AL1048572=9,AL1048572=8,AL1048572=7,AL1048572=6,AL1048572=5,AL1048572=4,AL1048572=3))</formula>
    </cfRule>
  </conditionalFormatting>
  <conditionalFormatting sqref="AP10">
    <cfRule type="expression" dxfId="19" priority="20">
      <formula>(OR(AL1048572=9,AL1048572=8,AL1048572=7,AL1048572=6,AL1048572=5,AL1048572=4))</formula>
    </cfRule>
  </conditionalFormatting>
  <conditionalFormatting sqref="AP11">
    <cfRule type="expression" dxfId="18" priority="19">
      <formula>(OR(AL1048572=9,AL1048572=8,AL1048572=7,AL1048572=6,AL1048572=5))</formula>
    </cfRule>
  </conditionalFormatting>
  <conditionalFormatting sqref="AP12">
    <cfRule type="expression" dxfId="17" priority="18">
      <formula>(OR(AL1048572=9,AL1048572=8,AL1048572=7,AL1048572=6))</formula>
    </cfRule>
  </conditionalFormatting>
  <conditionalFormatting sqref="AP13">
    <cfRule type="expression" dxfId="16" priority="17">
      <formula>(OR(AL1048572=9,AL1048572=8,AL1048572=7))</formula>
    </cfRule>
  </conditionalFormatting>
  <conditionalFormatting sqref="AP14">
    <cfRule type="expression" dxfId="15" priority="16">
      <formula>(OR(AL1048572=9,AL1048572=8))</formula>
    </cfRule>
  </conditionalFormatting>
  <conditionalFormatting sqref="AR7">
    <cfRule type="expression" dxfId="14" priority="15">
      <formula>(OR(#REF!=8,#REF!=7,#REF!=6,#REF!=5,#REF!=4,#REF!=3,#REF!=2))</formula>
    </cfRule>
  </conditionalFormatting>
  <conditionalFormatting sqref="AR8">
    <cfRule type="expression" dxfId="13" priority="14">
      <formula>(OR(#REF!=9,#REF!=8,#REF!=7,#REF!=6,#REF!=5,#REF!=4,#REF!=3,#REF!=2))</formula>
    </cfRule>
  </conditionalFormatting>
  <conditionalFormatting sqref="AR9">
    <cfRule type="expression" dxfId="12" priority="13">
      <formula>(OR(#REF!=9,#REF!=8,#REF!=7,#REF!=6,#REF!=5,#REF!=4,#REF!=3))</formula>
    </cfRule>
  </conditionalFormatting>
  <conditionalFormatting sqref="AR10:AR11">
    <cfRule type="expression" dxfId="11" priority="12">
      <formula>(OR(#REF!=9,#REF!=8,#REF!=7,#REF!=6,#REF!=5,#REF!=4))</formula>
    </cfRule>
  </conditionalFormatting>
  <conditionalFormatting sqref="AR11">
    <cfRule type="expression" dxfId="10" priority="11">
      <formula>(OR(#REF!=9,#REF!=8,#REF!=7,#REF!=6,#REF!=5))</formula>
    </cfRule>
  </conditionalFormatting>
  <conditionalFormatting sqref="AR12">
    <cfRule type="expression" dxfId="9" priority="10">
      <formula>(OR(#REF!=9,#REF!=8,#REF!=7,#REF!=6))</formula>
    </cfRule>
  </conditionalFormatting>
  <conditionalFormatting sqref="AR13">
    <cfRule type="expression" dxfId="8" priority="9">
      <formula>(OR(#REF!=9,#REF!=8,#REF!=7))</formula>
    </cfRule>
  </conditionalFormatting>
  <conditionalFormatting sqref="AR14 AP14">
    <cfRule type="expression" dxfId="7" priority="8">
      <formula>(OR(#REF!=9,#REF!=8))</formula>
    </cfRule>
  </conditionalFormatting>
  <conditionalFormatting sqref="AP7">
    <cfRule type="expression" dxfId="6" priority="7">
      <formula>(OR(#REF!=9,#REF!=8,#REF!=7,#REF!=6,#REF!=5,#REF!=4,#REF!=3,#REF!=2,#REF!=1))</formula>
    </cfRule>
  </conditionalFormatting>
  <conditionalFormatting sqref="AP8">
    <cfRule type="expression" dxfId="5" priority="6">
      <formula>(OR(#REF!=9,#REF!=8,#REF!=7,#REF!=6,#REF!=5,#REF!=4,#REF!=3,#REF!=2))</formula>
    </cfRule>
  </conditionalFormatting>
  <conditionalFormatting sqref="AP9">
    <cfRule type="expression" dxfId="4" priority="5">
      <formula>(OR(#REF!=9,#REF!=8,#REF!=7,#REF!=6,#REF!=5,#REF!=4,#REF!=3))</formula>
    </cfRule>
  </conditionalFormatting>
  <conditionalFormatting sqref="AP10">
    <cfRule type="expression" dxfId="3" priority="4">
      <formula>(OR(#REF!=9,#REF!=8,#REF!=7,#REF!=6,#REF!=5,#REF!=4))</formula>
    </cfRule>
  </conditionalFormatting>
  <conditionalFormatting sqref="AP11">
    <cfRule type="expression" dxfId="2" priority="3">
      <formula>(OR(#REF!=9,#REF!=8,#REF!=7,#REF!=6,#REF!=5))</formula>
    </cfRule>
  </conditionalFormatting>
  <conditionalFormatting sqref="AP12">
    <cfRule type="expression" dxfId="1" priority="2">
      <formula>(OR(#REF!=9,#REF!=8,#REF!=7,#REF!=6))</formula>
    </cfRule>
  </conditionalFormatting>
  <conditionalFormatting sqref="AP13">
    <cfRule type="expression" dxfId="0" priority="1">
      <formula>(OR(#REF!=9,#REF!=8,#REF!=7))</formula>
    </cfRule>
  </conditionalFormatting>
  <pageMargins left="0.19685039370078741" right="0.19685039370078741" top="0.27" bottom="0.59055118110236227" header="0.14000000000000001" footer="0.31496062992125984"/>
  <pageSetup paperSize="9" scale="155" orientation="portrait" horizontalDpi="4294967293" r:id="rId1"/>
  <colBreaks count="1" manualBreakCount="1">
    <brk id="5" max="2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2" sqref="C32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19F74E"/>
  </sheetPr>
  <dimension ref="A1:DY86"/>
  <sheetViews>
    <sheetView tabSelected="1" zoomScale="60" zoomScaleNormal="60" workbookViewId="0">
      <selection activeCell="J5" sqref="J5:L5"/>
    </sheetView>
  </sheetViews>
  <sheetFormatPr baseColWidth="10" defaultRowHeight="18.75"/>
  <cols>
    <col min="1" max="2" width="11.42578125" style="1"/>
    <col min="3" max="3" width="16.42578125" style="1" customWidth="1"/>
    <col min="4" max="4" width="7.42578125" style="1" customWidth="1"/>
    <col min="5" max="5" width="7.85546875" style="1" customWidth="1"/>
    <col min="6" max="6" width="8.140625" style="1" customWidth="1"/>
    <col min="7" max="7" width="9" style="1" customWidth="1"/>
    <col min="8" max="8" width="8.28515625" style="1" customWidth="1"/>
    <col min="9" max="9" width="7.5703125" style="1" customWidth="1"/>
    <col min="10" max="11" width="6.7109375" style="1" customWidth="1"/>
    <col min="12" max="12" width="7.42578125" style="1" customWidth="1"/>
    <col min="13" max="13" width="7.5703125" style="1" customWidth="1"/>
    <col min="14" max="14" width="5" style="1" customWidth="1"/>
    <col min="15" max="15" width="6" style="1" hidden="1" customWidth="1"/>
    <col min="16" max="16" width="8.140625" style="1" customWidth="1"/>
    <col min="17" max="18" width="6.85546875" style="1" customWidth="1"/>
    <col min="19" max="19" width="8.140625" style="1" customWidth="1"/>
    <col min="20" max="20" width="11.42578125" style="1"/>
    <col min="21" max="22" width="0" style="1" hidden="1" customWidth="1"/>
    <col min="23" max="23" width="11.42578125" style="1"/>
    <col min="24" max="24" width="11.42578125" style="1" customWidth="1"/>
    <col min="25" max="25" width="35" style="1" customWidth="1"/>
    <col min="26" max="26" width="30.42578125" style="1" customWidth="1"/>
    <col min="27" max="30" width="11.42578125" style="1"/>
    <col min="31" max="31" width="10.42578125" style="1" customWidth="1"/>
    <col min="32" max="32" width="9" style="1" customWidth="1"/>
    <col min="33" max="33" width="30.7109375" style="1" customWidth="1"/>
    <col min="34" max="34" width="11.42578125" style="1"/>
    <col min="35" max="35" width="7.42578125" style="515" customWidth="1"/>
    <col min="36" max="36" width="10.42578125" style="1" customWidth="1"/>
    <col min="37" max="37" width="10.7109375" style="1" customWidth="1"/>
    <col min="38" max="38" width="25.5703125" style="1" customWidth="1"/>
    <col min="39" max="39" width="11.42578125" style="1"/>
    <col min="40" max="40" width="6.7109375" style="471" customWidth="1"/>
    <col min="41" max="42" width="11.42578125" style="1"/>
    <col min="43" max="43" width="3.5703125" style="1" customWidth="1"/>
    <col min="44" max="44" width="25.42578125" style="1" customWidth="1"/>
    <col min="45" max="45" width="10.140625" style="1" customWidth="1"/>
    <col min="46" max="46" width="7.28515625" style="1" customWidth="1"/>
    <col min="47" max="47" width="10.140625" style="1" customWidth="1"/>
    <col min="48" max="48" width="9.7109375" style="1" customWidth="1"/>
    <col min="49" max="49" width="4" style="1" customWidth="1"/>
    <col min="50" max="50" width="26.42578125" style="1" customWidth="1"/>
    <col min="51" max="51" width="10.28515625" style="1" customWidth="1"/>
    <col min="52" max="52" width="10.140625" style="1" customWidth="1"/>
    <col min="53" max="53" width="8.28515625" style="1" customWidth="1"/>
    <col min="54" max="54" width="2.140625" style="1" customWidth="1"/>
    <col min="55" max="55" width="27.5703125" style="1" customWidth="1"/>
    <col min="56" max="56" width="8.85546875" style="1" customWidth="1"/>
    <col min="57" max="57" width="6.42578125" style="1" customWidth="1"/>
    <col min="58" max="58" width="9.5703125" style="1" customWidth="1"/>
    <col min="59" max="59" width="8.28515625" style="1" customWidth="1"/>
    <col min="60" max="60" width="8.5703125" style="1" customWidth="1"/>
    <col min="61" max="61" width="9" style="1" customWidth="1"/>
    <col min="62" max="62" width="12.140625" style="1" customWidth="1"/>
    <col min="63" max="63" width="16.7109375" style="471" customWidth="1"/>
    <col min="64" max="64" width="10.85546875" style="1" customWidth="1"/>
    <col min="65" max="65" width="16" style="1" customWidth="1"/>
    <col min="66" max="66" width="8.7109375" style="1" customWidth="1"/>
    <col min="67" max="67" width="5.42578125" style="1" customWidth="1"/>
    <col min="68" max="68" width="9.42578125" style="472" customWidth="1"/>
    <col min="69" max="69" width="11" style="1" customWidth="1"/>
    <col min="70" max="70" width="9.140625" style="1" customWidth="1"/>
    <col min="71" max="71" width="9" style="2" customWidth="1"/>
    <col min="72" max="72" width="18" style="1" customWidth="1"/>
    <col min="73" max="73" width="9.140625" style="1" hidden="1" customWidth="1"/>
    <col min="74" max="74" width="8.140625" style="1" customWidth="1"/>
    <col min="75" max="75" width="13.140625" style="1" customWidth="1"/>
    <col min="76" max="76" width="10" style="1" customWidth="1"/>
    <col min="77" max="77" width="9.5703125" style="1" customWidth="1"/>
    <col min="78" max="78" width="10.28515625" style="471" customWidth="1"/>
    <col min="79" max="79" width="8.140625" style="2" customWidth="1"/>
    <col min="80" max="80" width="11.5703125" style="1" customWidth="1"/>
    <col min="81" max="81" width="11.85546875" style="1" customWidth="1"/>
    <col min="82" max="82" width="20.85546875" style="473" hidden="1" customWidth="1"/>
    <col min="83" max="83" width="12.5703125" style="1" customWidth="1"/>
    <col min="84" max="84" width="10.42578125" style="1" customWidth="1"/>
    <col min="85" max="85" width="17.85546875" style="1" customWidth="1"/>
    <col min="86" max="86" width="8.85546875" style="1" customWidth="1"/>
    <col min="87" max="87" width="8.85546875" style="2" customWidth="1"/>
    <col min="88" max="88" width="7.85546875" style="474" customWidth="1"/>
    <col min="89" max="89" width="5.5703125" style="1" customWidth="1"/>
    <col min="90" max="90" width="8.5703125" style="474" customWidth="1"/>
    <col min="91" max="91" width="14.42578125" style="1" customWidth="1"/>
    <col min="92" max="92" width="8.7109375" style="1" customWidth="1"/>
    <col min="93" max="93" width="9" style="1" customWidth="1"/>
    <col min="94" max="94" width="8.85546875" style="1" customWidth="1"/>
    <col min="95" max="95" width="10.85546875" style="1" customWidth="1"/>
    <col min="96" max="96" width="9" style="1" customWidth="1"/>
    <col min="97" max="97" width="16.140625" style="450" customWidth="1"/>
    <col min="98" max="98" width="8.85546875" style="1" customWidth="1"/>
    <col min="99" max="99" width="9" style="1" customWidth="1"/>
    <col min="100" max="100" width="9.42578125" style="2" customWidth="1"/>
    <col min="101" max="101" width="10" style="1" customWidth="1"/>
    <col min="102" max="102" width="8.5703125" style="471" customWidth="1"/>
    <col min="103" max="103" width="15.5703125" style="450" customWidth="1"/>
    <col min="104" max="104" width="8.85546875" style="1" customWidth="1"/>
    <col min="105" max="105" width="4.140625" style="1" customWidth="1"/>
    <col min="106" max="106" width="10.140625" style="2" customWidth="1"/>
    <col min="107" max="107" width="11" style="1" customWidth="1"/>
    <col min="108" max="108" width="11" style="476" customWidth="1"/>
    <col min="109" max="109" width="9" style="1" customWidth="1"/>
    <col min="110" max="111" width="8.85546875" style="1" customWidth="1"/>
    <col min="112" max="112" width="8.7109375" style="2" customWidth="1"/>
    <col min="113" max="113" width="9" style="450" customWidth="1"/>
    <col min="114" max="114" width="16.28515625" style="450" customWidth="1"/>
    <col min="115" max="115" width="9.85546875" style="1" customWidth="1"/>
    <col min="116" max="116" width="4.42578125" style="1" customWidth="1"/>
    <col min="117" max="117" width="10.5703125" style="1" customWidth="1"/>
    <col min="118" max="118" width="10" style="1" customWidth="1"/>
    <col min="119" max="119" width="11.28515625" style="1" customWidth="1"/>
    <col min="120" max="120" width="9" style="1" customWidth="1"/>
    <col min="121" max="121" width="16.42578125" style="450" customWidth="1"/>
    <col min="122" max="122" width="8.7109375" style="1" customWidth="1"/>
    <col min="123" max="123" width="22.7109375" style="1" customWidth="1"/>
    <col min="124" max="124" width="9" style="1" customWidth="1"/>
    <col min="125" max="125" width="14.85546875" style="450" customWidth="1"/>
    <col min="126" max="126" width="8.42578125" style="1" customWidth="1"/>
    <col min="127" max="127" width="22.7109375" style="1" customWidth="1"/>
    <col min="128" max="128" width="8.85546875" style="1" customWidth="1"/>
    <col min="129" max="129" width="13" style="450" customWidth="1"/>
    <col min="130" max="130" width="8.7109375" style="1" customWidth="1"/>
    <col min="131" max="131" width="22.5703125" style="1" customWidth="1"/>
    <col min="132" max="132" width="8.7109375" style="1" customWidth="1"/>
    <col min="133" max="133" width="13.42578125" style="1" customWidth="1"/>
    <col min="134" max="134" width="8.7109375" style="1" customWidth="1"/>
    <col min="135" max="135" width="2.42578125" style="1" customWidth="1"/>
    <col min="136" max="136" width="31.85546875" style="1" customWidth="1"/>
    <col min="137" max="16384" width="11.42578125" style="1"/>
  </cols>
  <sheetData>
    <row r="1" spans="1:129" ht="35.25" customHeight="1" thickBot="1">
      <c r="A1" s="662" t="s">
        <v>148</v>
      </c>
      <c r="B1" s="663"/>
      <c r="C1" s="663"/>
      <c r="D1" s="663"/>
      <c r="E1" s="663"/>
      <c r="F1" s="664"/>
      <c r="G1" s="470"/>
      <c r="H1" s="470"/>
      <c r="I1" s="651" t="s">
        <v>179</v>
      </c>
      <c r="J1" s="652"/>
      <c r="K1" s="652"/>
      <c r="L1" s="652"/>
      <c r="M1" s="652"/>
      <c r="N1" s="652"/>
      <c r="O1" s="652"/>
      <c r="P1" s="653"/>
      <c r="Q1" s="8"/>
      <c r="R1" s="8"/>
      <c r="S1" s="255" t="s">
        <v>77</v>
      </c>
      <c r="T1" s="8"/>
      <c r="U1" s="8"/>
      <c r="V1" s="8"/>
      <c r="W1" s="51"/>
      <c r="X1" s="48"/>
      <c r="Y1" s="48"/>
      <c r="Z1" s="239"/>
      <c r="AA1" s="48"/>
      <c r="AB1" s="48"/>
      <c r="AC1" s="354"/>
      <c r="AD1" s="438"/>
      <c r="AE1" s="260"/>
      <c r="AF1" s="528"/>
      <c r="AG1" s="48"/>
      <c r="AH1" s="8"/>
      <c r="AI1" s="662" t="s">
        <v>148</v>
      </c>
      <c r="AJ1" s="663"/>
      <c r="AK1" s="663"/>
      <c r="AL1" s="663"/>
      <c r="AM1" s="664"/>
      <c r="AN1" s="470"/>
      <c r="AO1" s="470"/>
      <c r="AP1" s="651" t="s">
        <v>179</v>
      </c>
      <c r="AQ1" s="652"/>
      <c r="AR1" s="652"/>
      <c r="AS1" s="652"/>
      <c r="AT1" s="652"/>
      <c r="AU1" s="653"/>
      <c r="BE1" s="177"/>
      <c r="BF1" s="177"/>
      <c r="BJ1" s="471"/>
      <c r="BK1" s="1"/>
      <c r="BO1" s="472"/>
      <c r="BP1" s="374"/>
      <c r="BQ1" s="177"/>
      <c r="BR1" s="177"/>
      <c r="BS1" s="177"/>
      <c r="BT1" s="177"/>
      <c r="BU1" s="177"/>
      <c r="BV1" s="177"/>
      <c r="BW1" s="177"/>
      <c r="BX1" s="177"/>
      <c r="BY1" s="177"/>
      <c r="BZ1" s="374"/>
      <c r="CA1" s="177"/>
      <c r="CB1" s="177"/>
      <c r="CC1" s="473"/>
      <c r="CD1" s="177"/>
      <c r="CE1" s="177"/>
      <c r="CG1" s="177"/>
      <c r="CH1" s="374"/>
      <c r="CI1" s="474"/>
      <c r="CJ1" s="1"/>
      <c r="CK1" s="474"/>
      <c r="CL1" s="1"/>
      <c r="CT1" s="450"/>
      <c r="CU1" s="475"/>
      <c r="CV1" s="1"/>
      <c r="CX1" s="1"/>
      <c r="CZ1" s="450"/>
      <c r="DA1" s="475"/>
      <c r="DB1" s="1"/>
      <c r="DC1" s="476"/>
      <c r="DD1" s="1"/>
      <c r="DF1" s="450"/>
      <c r="DG1" s="475"/>
      <c r="DH1" s="450"/>
      <c r="DJ1" s="1"/>
      <c r="DQ1" s="1"/>
      <c r="DU1" s="1"/>
      <c r="DY1" s="1"/>
    </row>
    <row r="2" spans="1:129" ht="37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530" t="s">
        <v>78</v>
      </c>
      <c r="T2" s="8"/>
      <c r="U2" s="8"/>
      <c r="V2" s="8"/>
      <c r="W2" s="48"/>
      <c r="X2" s="355"/>
      <c r="Y2" s="48"/>
      <c r="Z2" s="48"/>
      <c r="AA2" s="48"/>
      <c r="AB2" s="48"/>
      <c r="AC2" s="48"/>
      <c r="AD2" s="438"/>
      <c r="AE2" s="260"/>
      <c r="AF2" s="528"/>
      <c r="AG2" s="48"/>
      <c r="AH2" s="8"/>
      <c r="BQ2" s="2"/>
      <c r="BS2" s="1"/>
      <c r="CB2" s="471"/>
      <c r="CC2" s="471"/>
      <c r="CX2" s="1"/>
      <c r="DQ2" s="1"/>
      <c r="DU2" s="1"/>
      <c r="DY2" s="1"/>
    </row>
    <row r="3" spans="1:129" ht="37.5" customHeight="1" thickBot="1">
      <c r="A3" s="541" t="s">
        <v>17</v>
      </c>
      <c r="B3" s="542"/>
      <c r="C3" s="543">
        <f ca="1">TODAY()</f>
        <v>44191</v>
      </c>
      <c r="D3" s="703">
        <f ca="1">YEAR(NOW())</f>
        <v>2020</v>
      </c>
      <c r="E3" s="704"/>
      <c r="F3"/>
      <c r="G3" s="720" t="s">
        <v>159</v>
      </c>
      <c r="H3" s="720"/>
      <c r="I3" s="721"/>
      <c r="J3" s="705" t="s">
        <v>171</v>
      </c>
      <c r="K3" s="706"/>
      <c r="L3" s="706"/>
      <c r="M3" s="707"/>
      <c r="N3" s="545"/>
      <c r="O3" s="544"/>
      <c r="P3" s="544"/>
      <c r="Q3" s="19"/>
      <c r="R3" s="32"/>
      <c r="S3" s="8"/>
      <c r="T3" s="8"/>
      <c r="U3" s="8"/>
      <c r="V3" s="8"/>
      <c r="W3" s="48"/>
      <c r="X3" s="355"/>
      <c r="Y3" s="48"/>
      <c r="Z3" s="48"/>
      <c r="AA3" s="48"/>
      <c r="AB3" s="48"/>
      <c r="AC3" s="48"/>
      <c r="AD3" s="438"/>
      <c r="AE3" s="260"/>
      <c r="AF3" s="528"/>
      <c r="AG3" s="48"/>
      <c r="AH3" s="8"/>
      <c r="AI3" s="450"/>
      <c r="AJ3" s="471"/>
      <c r="AK3" s="467" t="s">
        <v>139</v>
      </c>
      <c r="AL3" s="53">
        <f ca="1">TODAY()</f>
        <v>44191</v>
      </c>
      <c r="AM3" s="660">
        <f ca="1">YEAR(NOW())</f>
        <v>2020</v>
      </c>
      <c r="AN3" s="661"/>
      <c r="AO3" s="288"/>
      <c r="AP3" s="656" t="s">
        <v>14</v>
      </c>
      <c r="AQ3" s="656"/>
      <c r="AR3" s="19"/>
      <c r="AS3" s="657" t="s">
        <v>68</v>
      </c>
      <c r="AT3" s="658"/>
      <c r="AU3" s="658"/>
      <c r="AV3" s="658"/>
      <c r="AW3" s="659"/>
      <c r="BQ3" s="2"/>
      <c r="BS3" s="1"/>
      <c r="CH3" s="471"/>
      <c r="CI3" s="466"/>
      <c r="CX3" s="1"/>
      <c r="DQ3" s="1"/>
      <c r="DU3" s="1"/>
      <c r="DY3" s="1"/>
    </row>
    <row r="4" spans="1:129" ht="21.75" customHeight="1" thickBot="1">
      <c r="A4" s="542"/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8"/>
      <c r="R4" s="8"/>
      <c r="S4" s="8"/>
      <c r="T4" s="8"/>
      <c r="U4" s="8"/>
      <c r="V4" s="8"/>
      <c r="W4" s="48"/>
      <c r="X4" s="355"/>
      <c r="Y4" s="48"/>
      <c r="Z4" s="48"/>
      <c r="AA4" s="48"/>
      <c r="AB4" s="48"/>
      <c r="AC4" s="48"/>
      <c r="AD4" s="438"/>
      <c r="AE4" s="260"/>
      <c r="AF4" s="528"/>
      <c r="AG4" s="48"/>
      <c r="AH4" s="8"/>
      <c r="BQ4" s="2"/>
      <c r="BR4" s="477" t="s">
        <v>145</v>
      </c>
      <c r="CA4" s="473"/>
      <c r="CD4" s="2"/>
      <c r="CF4" s="2"/>
      <c r="CI4" s="474"/>
      <c r="CJ4" s="1"/>
      <c r="CL4" s="1"/>
      <c r="CS4" s="475"/>
      <c r="CV4" s="1"/>
      <c r="CX4" s="1"/>
      <c r="CY4" s="475"/>
      <c r="CZ4" s="471"/>
      <c r="DA4" s="476"/>
      <c r="DB4" s="1"/>
      <c r="DD4" s="1"/>
      <c r="DE4" s="2"/>
      <c r="DF4" s="450"/>
      <c r="DG4" s="450"/>
      <c r="DH4" s="1"/>
      <c r="DI4" s="1"/>
      <c r="DJ4" s="1"/>
      <c r="DQ4" s="1"/>
      <c r="DU4" s="1"/>
      <c r="DY4" s="1"/>
    </row>
    <row r="5" spans="1:129" ht="37.5" customHeight="1" thickBot="1">
      <c r="A5" s="546"/>
      <c r="B5" s="547" t="s">
        <v>15</v>
      </c>
      <c r="C5" s="547"/>
      <c r="D5" s="547"/>
      <c r="E5" s="705" t="s">
        <v>156</v>
      </c>
      <c r="F5" s="706"/>
      <c r="G5" s="707"/>
      <c r="H5" s="548"/>
      <c r="I5" s="548"/>
      <c r="J5" s="705" t="s">
        <v>176</v>
      </c>
      <c r="K5" s="706"/>
      <c r="L5" s="707"/>
      <c r="M5" s="545"/>
      <c r="N5" s="545"/>
      <c r="O5" s="547"/>
      <c r="P5" s="547"/>
      <c r="Q5" s="44"/>
      <c r="R5" s="44"/>
      <c r="S5" s="44"/>
      <c r="T5" s="44"/>
      <c r="U5" s="44"/>
      <c r="V5" s="44"/>
      <c r="W5" s="48"/>
      <c r="X5" s="355"/>
      <c r="Y5" s="48"/>
      <c r="Z5" s="48"/>
      <c r="AA5" s="48"/>
      <c r="AB5" s="48"/>
      <c r="AC5" s="48"/>
      <c r="AD5" s="438"/>
      <c r="AE5" s="260"/>
      <c r="AF5" s="528"/>
      <c r="AG5" s="48"/>
      <c r="AH5" s="8"/>
      <c r="AK5" s="28" t="s">
        <v>15</v>
      </c>
      <c r="AL5" s="28"/>
      <c r="AM5" s="28"/>
      <c r="AN5" s="657" t="s">
        <v>63</v>
      </c>
      <c r="AO5" s="658"/>
      <c r="AP5" s="659"/>
      <c r="BC5" s="554" t="s">
        <v>181</v>
      </c>
      <c r="BD5" s="549">
        <f>IF(AO8=10,6,IF(AO8=12,4,IF(AO8=14,2,IF(AO8=16,0))))</f>
        <v>0</v>
      </c>
      <c r="BQ5" s="2"/>
      <c r="BR5" s="477" t="s">
        <v>143</v>
      </c>
      <c r="CA5" s="473"/>
      <c r="CD5" s="2"/>
      <c r="CF5" s="2"/>
      <c r="CI5" s="474"/>
      <c r="CJ5" s="1"/>
      <c r="CL5" s="1"/>
      <c r="CS5" s="475"/>
      <c r="CV5" s="1"/>
      <c r="CX5" s="1"/>
      <c r="CY5" s="475"/>
      <c r="CZ5" s="471"/>
      <c r="DA5" s="476"/>
      <c r="DB5" s="1"/>
      <c r="DD5" s="1"/>
      <c r="DE5" s="2"/>
      <c r="DF5" s="450"/>
      <c r="DG5" s="450"/>
      <c r="DH5" s="1"/>
      <c r="DI5" s="1"/>
      <c r="DJ5" s="1"/>
      <c r="DQ5" s="1"/>
      <c r="DU5" s="1"/>
      <c r="DY5" s="1"/>
    </row>
    <row r="6" spans="1:129" ht="24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5"/>
      <c r="R6" s="8"/>
      <c r="S6" s="8"/>
      <c r="T6" s="8"/>
      <c r="U6" s="8"/>
      <c r="V6" s="8"/>
      <c r="W6" s="48"/>
      <c r="X6" s="355"/>
      <c r="Y6" s="48"/>
      <c r="Z6" s="48"/>
      <c r="AA6" s="48"/>
      <c r="AB6" s="48"/>
      <c r="AC6" s="48"/>
      <c r="AD6" s="438"/>
      <c r="AE6" s="260"/>
      <c r="AF6" s="528"/>
      <c r="AG6" s="48"/>
      <c r="AH6" s="8"/>
      <c r="BQ6" s="2"/>
      <c r="CA6" s="473"/>
      <c r="CD6" s="2"/>
      <c r="CF6" s="2"/>
      <c r="CI6" s="474"/>
      <c r="CJ6" s="1"/>
      <c r="CL6" s="1"/>
      <c r="CS6" s="475"/>
      <c r="CV6" s="1"/>
      <c r="CX6" s="1"/>
      <c r="CY6" s="475"/>
      <c r="CZ6" s="471"/>
      <c r="DA6" s="476"/>
      <c r="DB6" s="1"/>
      <c r="DD6" s="1"/>
      <c r="DE6" s="2"/>
      <c r="DF6" s="450"/>
      <c r="DG6" s="450"/>
      <c r="DH6" s="1"/>
      <c r="DI6" s="1"/>
      <c r="DJ6" s="1"/>
      <c r="DQ6" s="1"/>
      <c r="DU6" s="1"/>
      <c r="DY6" s="1"/>
    </row>
    <row r="7" spans="1:129" ht="37.5" customHeight="1" thickBot="1">
      <c r="A7" s="8"/>
      <c r="B7" s="8"/>
      <c r="C7" s="46"/>
      <c r="D7" s="28"/>
      <c r="E7"/>
      <c r="F7"/>
      <c r="G7"/>
      <c r="H7"/>
      <c r="I7" s="8"/>
      <c r="J7" s="719" t="s">
        <v>146</v>
      </c>
      <c r="K7" s="719"/>
      <c r="L7" s="719"/>
      <c r="M7" s="719"/>
      <c r="N7" s="8"/>
      <c r="O7" s="8"/>
      <c r="P7" s="8"/>
      <c r="Q7" s="8"/>
      <c r="R7" s="8"/>
      <c r="S7" s="8"/>
      <c r="T7" s="8"/>
      <c r="U7" s="8"/>
      <c r="V7" s="8"/>
      <c r="W7" s="48"/>
      <c r="X7" s="355"/>
      <c r="Y7" s="48"/>
      <c r="Z7" s="48"/>
      <c r="AA7" s="48"/>
      <c r="AB7" s="48"/>
      <c r="AC7" s="48"/>
      <c r="AD7" s="438"/>
      <c r="AE7" s="260"/>
      <c r="AF7" s="528"/>
      <c r="AG7" s="48"/>
      <c r="AH7" s="8"/>
      <c r="AO7" s="616" t="s">
        <v>180</v>
      </c>
      <c r="AP7" s="616"/>
      <c r="AS7" s="611" t="s">
        <v>146</v>
      </c>
      <c r="AT7" s="611"/>
      <c r="AU7" s="611"/>
      <c r="AY7" s="637" t="s">
        <v>76</v>
      </c>
      <c r="AZ7" s="637"/>
      <c r="BA7" s="637"/>
      <c r="BQ7" s="2"/>
      <c r="BR7" s="478" t="s">
        <v>142</v>
      </c>
      <c r="BS7" s="478" t="s">
        <v>141</v>
      </c>
      <c r="BT7" s="479"/>
      <c r="BU7" s="479"/>
      <c r="BV7" s="479"/>
      <c r="BW7" s="479"/>
      <c r="BX7" s="479"/>
      <c r="BY7" s="479"/>
      <c r="BZ7" s="480"/>
      <c r="CA7" s="479"/>
      <c r="CB7" s="480"/>
      <c r="CC7" s="479"/>
      <c r="CD7" s="479"/>
      <c r="CE7" s="479"/>
      <c r="CF7" s="479"/>
      <c r="CG7" s="479"/>
      <c r="CH7" s="479"/>
      <c r="CI7" s="481"/>
      <c r="CJ7" s="479"/>
      <c r="CK7" s="479"/>
      <c r="CL7" s="479"/>
      <c r="CM7" s="479"/>
      <c r="CN7" s="478" t="s">
        <v>142</v>
      </c>
      <c r="CO7" s="478" t="s">
        <v>141</v>
      </c>
      <c r="CP7" s="478" t="s">
        <v>140</v>
      </c>
      <c r="CQ7" s="482"/>
      <c r="CS7" s="475"/>
      <c r="CV7" s="1"/>
      <c r="CY7" s="512"/>
      <c r="DA7" s="476"/>
      <c r="DB7" s="1"/>
      <c r="DD7" s="1"/>
      <c r="DE7" s="2"/>
      <c r="DF7" s="450"/>
      <c r="DG7" s="450"/>
      <c r="DH7" s="1"/>
      <c r="DI7" s="1"/>
      <c r="DJ7" s="1"/>
      <c r="DQ7" s="1"/>
      <c r="DU7" s="1"/>
      <c r="DY7" s="1"/>
    </row>
    <row r="8" spans="1:129" ht="37.5" customHeight="1" thickBot="1">
      <c r="A8" s="8"/>
      <c r="B8" s="28"/>
      <c r="C8" s="28"/>
      <c r="D8" s="28"/>
      <c r="G8" s="28"/>
      <c r="H8" s="47"/>
      <c r="I8" s="8"/>
      <c r="J8" s="45"/>
      <c r="K8" s="8"/>
      <c r="L8" s="8"/>
      <c r="M8" s="8"/>
      <c r="N8" s="49"/>
      <c r="O8" s="8"/>
      <c r="P8" s="709" t="s">
        <v>76</v>
      </c>
      <c r="Q8" s="709"/>
      <c r="R8" s="709"/>
      <c r="S8" s="709"/>
      <c r="T8" s="8"/>
      <c r="U8" s="8"/>
      <c r="V8" s="8"/>
      <c r="W8" s="48"/>
      <c r="X8" s="355"/>
      <c r="Y8" s="48"/>
      <c r="Z8" s="48"/>
      <c r="AA8" s="48"/>
      <c r="AB8" s="48"/>
      <c r="AC8" s="48"/>
      <c r="AD8" s="438"/>
      <c r="AE8" s="260"/>
      <c r="AF8" s="528"/>
      <c r="AG8" s="48"/>
      <c r="AH8" s="8"/>
      <c r="AJ8" s="607" t="s">
        <v>153</v>
      </c>
      <c r="AK8" s="608"/>
      <c r="AL8" s="609"/>
      <c r="AM8" s="465" t="str">
        <f>+G10</f>
        <v>30</v>
      </c>
      <c r="AO8" s="617">
        <f>+D18</f>
        <v>16</v>
      </c>
      <c r="AP8" s="617"/>
      <c r="AS8" s="610">
        <f>+J10</f>
        <v>308</v>
      </c>
      <c r="AT8" s="610"/>
      <c r="AU8" s="553" t="str">
        <f>G10</f>
        <v>30</v>
      </c>
      <c r="AY8" s="638">
        <f>+P10</f>
        <v>14</v>
      </c>
      <c r="AZ8" s="612" t="s">
        <v>67</v>
      </c>
      <c r="BA8" s="613"/>
      <c r="BC8"/>
      <c r="BD8"/>
      <c r="BQ8" s="2"/>
      <c r="BR8" s="550">
        <f>+CN8</f>
        <v>16</v>
      </c>
      <c r="BS8" s="550">
        <f>+CO8</f>
        <v>308</v>
      </c>
      <c r="BT8" s="479"/>
      <c r="BU8" s="479"/>
      <c r="BV8" s="479"/>
      <c r="BW8" s="479"/>
      <c r="BX8" s="479"/>
      <c r="BY8" s="479"/>
      <c r="BZ8" s="480"/>
      <c r="CA8" s="479"/>
      <c r="CB8" s="480"/>
      <c r="CC8" s="479"/>
      <c r="CD8" s="479"/>
      <c r="CE8" s="479"/>
      <c r="CF8" s="479"/>
      <c r="CG8" s="479"/>
      <c r="CH8" s="479"/>
      <c r="CI8" s="481"/>
      <c r="CJ8" s="479"/>
      <c r="CK8" s="479"/>
      <c r="CL8" s="479"/>
      <c r="CM8" s="479"/>
      <c r="CN8" s="478">
        <f>+AO8</f>
        <v>16</v>
      </c>
      <c r="CO8" s="478">
        <f>+AS8</f>
        <v>308</v>
      </c>
      <c r="CP8" s="478" t="str">
        <f>+AU8</f>
        <v>30</v>
      </c>
      <c r="CS8" s="475"/>
      <c r="CV8" s="1"/>
      <c r="CX8" s="1"/>
      <c r="CY8" s="475"/>
      <c r="DA8" s="476"/>
      <c r="DB8" s="1"/>
      <c r="DD8" s="1"/>
      <c r="DE8" s="2"/>
      <c r="DF8" s="450"/>
      <c r="DG8" s="450"/>
      <c r="DH8" s="1"/>
      <c r="DI8" s="1"/>
      <c r="DJ8" s="1"/>
      <c r="DQ8" s="1"/>
      <c r="DU8" s="1"/>
      <c r="DY8" s="1"/>
    </row>
    <row r="9" spans="1:129" ht="38.25" customHeight="1" thickBot="1">
      <c r="A9" s="8"/>
      <c r="B9" s="8"/>
      <c r="C9" s="8"/>
      <c r="D9" s="8"/>
      <c r="G9" s="8"/>
      <c r="H9" s="8"/>
      <c r="I9" s="8"/>
      <c r="J9" s="8"/>
      <c r="K9" s="8"/>
      <c r="L9" s="8"/>
      <c r="M9" s="8"/>
      <c r="N9" s="49"/>
      <c r="O9" s="8"/>
      <c r="P9" s="8"/>
      <c r="Q9" s="8"/>
      <c r="R9" s="8"/>
      <c r="S9" s="8"/>
      <c r="T9" s="8"/>
      <c r="U9" s="8"/>
      <c r="V9" s="8"/>
      <c r="W9" s="48"/>
      <c r="X9" s="355"/>
      <c r="Y9" s="48"/>
      <c r="Z9" s="48"/>
      <c r="AA9" s="48"/>
      <c r="AB9" s="48"/>
      <c r="AC9" s="48"/>
      <c r="AD9" s="438"/>
      <c r="AE9" s="260"/>
      <c r="AF9" s="528"/>
      <c r="AG9" s="48"/>
      <c r="AH9" s="8"/>
      <c r="AO9" s="617"/>
      <c r="AP9" s="617"/>
      <c r="AS9" s="610"/>
      <c r="AT9" s="610"/>
      <c r="AU9" s="553" t="str">
        <f>G11</f>
        <v>8</v>
      </c>
      <c r="AY9" s="639"/>
      <c r="AZ9" s="614"/>
      <c r="BA9" s="615"/>
      <c r="BE9" s="472"/>
      <c r="BF9"/>
      <c r="BG9"/>
      <c r="BH9"/>
      <c r="BI9"/>
      <c r="BJ9" s="483"/>
      <c r="BK9" s="483"/>
      <c r="BL9" s="483"/>
      <c r="BM9" s="473"/>
      <c r="BO9" s="2"/>
      <c r="BP9" s="1"/>
      <c r="BQ9" s="2"/>
      <c r="BS9" s="1"/>
      <c r="BT9" s="474"/>
      <c r="BX9" s="618"/>
      <c r="BY9" s="618"/>
      <c r="BZ9" s="618"/>
      <c r="CA9" s="484"/>
      <c r="CB9" s="484"/>
      <c r="CC9" s="484"/>
      <c r="CD9" s="484"/>
      <c r="CE9" s="485"/>
      <c r="CI9" s="1"/>
      <c r="CJ9" s="1"/>
      <c r="CK9" s="2"/>
      <c r="CL9" s="1"/>
      <c r="CM9" s="476"/>
      <c r="CQ9" s="2"/>
      <c r="CR9" s="450"/>
      <c r="CV9" s="1"/>
      <c r="CX9" s="1"/>
      <c r="DB9" s="1"/>
      <c r="DD9" s="1"/>
      <c r="DH9" s="1"/>
      <c r="DI9" s="1"/>
      <c r="DJ9" s="1"/>
      <c r="DQ9" s="1"/>
      <c r="DU9" s="1"/>
      <c r="DY9" s="1"/>
    </row>
    <row r="10" spans="1:129" ht="27.75" customHeight="1" thickBot="1">
      <c r="A10" s="710" t="s">
        <v>16</v>
      </c>
      <c r="B10" s="710"/>
      <c r="C10" s="710"/>
      <c r="D10" s="710"/>
      <c r="E10" s="710"/>
      <c r="F10" s="711"/>
      <c r="G10" s="55" t="str">
        <f>LEFT(J10,2)</f>
        <v>30</v>
      </c>
      <c r="H10" s="8"/>
      <c r="I10" s="8"/>
      <c r="J10" s="712">
        <v>308</v>
      </c>
      <c r="K10" s="712"/>
      <c r="L10" s="8"/>
      <c r="M10" s="8"/>
      <c r="N10" s="8"/>
      <c r="O10" s="8"/>
      <c r="P10" s="713">
        <f>IF(D17=17,7,IF(D17=18,8,IF(D17=19,9,IF(D17=20,10,IF(D17=21,9,IF(D17=22,10,IF(D17=23,11,IF(D17=24,12,IF(D17=25,11,IF(D17=26,12,IF(D17=27,13,IF(D17=28,14,IF(D17=29,13,IF(D17=30,14,IF(D17=31,15,IF(D17=32,16,IF(D17=33,15,IF(D17=34,16,IF(D17=35,17,IF(D17=36,18,IF(D17=37,17,IF(D17=38,18,IF(D17=39,19,IF(D17=40,20,IF(D17=41,19,IF(D17=42,20,IF(D17=43,21,IF(D17=44,22,IF(D17=45,21,IF(D17=46,22,IF(D17=47,23,IF(D17=48,24,IF(D17=49,23,IF(D17=50,24,IF(D17=51,25,IF(D17=52,26,IF(D17=53,25,IF(D17=54,26,IF(D17=55,27,IF(D17=56,28,IF(D17=57,27,IF(D17=58,28,IF(D17=59,29,IF(D17=60,30,IF(D17=61,29,IF(D17=62,30,IF(D17=63,31,IF(D17=64,32,IF(OR(AND(D17&gt;64,D17&lt;90),AND(D17&gt;0,D17&lt;0)),"32","0")))))))))))))))))))))))))))))))))))))))))))))))))</f>
        <v>14</v>
      </c>
      <c r="Q10" s="714"/>
      <c r="R10" s="612" t="s">
        <v>67</v>
      </c>
      <c r="S10" s="613"/>
      <c r="T10" s="8"/>
      <c r="U10" s="8"/>
      <c r="V10" s="8"/>
      <c r="W10" s="3"/>
      <c r="X10" s="3"/>
      <c r="Y10" s="3"/>
      <c r="Z10" s="3"/>
      <c r="AA10" s="356" t="s">
        <v>56</v>
      </c>
      <c r="AB10" s="3"/>
      <c r="AC10" s="235"/>
      <c r="AD10" s="438"/>
      <c r="AE10" s="260"/>
      <c r="AF10" s="528"/>
      <c r="AG10" s="48"/>
      <c r="AH10" s="8"/>
      <c r="AR10" s="1">
        <v>190</v>
      </c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Q10" s="2"/>
      <c r="CA10" s="473"/>
      <c r="CD10" s="2"/>
      <c r="CF10" s="2"/>
      <c r="CI10" s="474"/>
      <c r="CJ10" s="1"/>
      <c r="CL10" s="1"/>
      <c r="CS10" s="475"/>
      <c r="CV10" s="1"/>
      <c r="CX10" s="1"/>
      <c r="CY10" s="475"/>
      <c r="DA10" s="476"/>
      <c r="DB10" s="1"/>
      <c r="DC10" s="516"/>
      <c r="DD10" s="1"/>
      <c r="DE10" s="2"/>
      <c r="DF10" s="450"/>
      <c r="DG10" s="450"/>
      <c r="DH10" s="1"/>
      <c r="DI10" s="1"/>
      <c r="DJ10" s="1"/>
      <c r="DQ10" s="1"/>
      <c r="DU10" s="1"/>
      <c r="DW10" s="471"/>
      <c r="DY10" s="1"/>
    </row>
    <row r="11" spans="1:129" ht="23.1" customHeight="1" thickBot="1">
      <c r="A11" s="717" t="s">
        <v>59</v>
      </c>
      <c r="B11" s="717"/>
      <c r="C11" s="717"/>
      <c r="D11" s="717"/>
      <c r="E11" s="717"/>
      <c r="F11" s="718"/>
      <c r="G11" s="56" t="str">
        <f>RIGHT(J10,1)</f>
        <v>8</v>
      </c>
      <c r="H11" s="28"/>
      <c r="I11" s="8"/>
      <c r="J11" s="712"/>
      <c r="K11" s="712"/>
      <c r="L11" s="8"/>
      <c r="M11" s="8"/>
      <c r="N11" s="8"/>
      <c r="O11" s="8"/>
      <c r="P11" s="715"/>
      <c r="Q11" s="716"/>
      <c r="R11" s="614"/>
      <c r="S11" s="615"/>
      <c r="T11" s="8"/>
      <c r="U11" s="8"/>
      <c r="V11" s="8"/>
      <c r="W11" s="357"/>
      <c r="X11" s="358" t="s">
        <v>52</v>
      </c>
      <c r="Y11" s="452" t="s">
        <v>57</v>
      </c>
      <c r="Z11" s="359" t="s">
        <v>58</v>
      </c>
      <c r="AA11" s="360" t="s">
        <v>147</v>
      </c>
      <c r="AB11" s="361"/>
      <c r="AC11" s="235"/>
      <c r="AD11" s="438"/>
      <c r="AE11" s="362" t="s">
        <v>1</v>
      </c>
      <c r="AF11" s="363"/>
      <c r="AG11" s="54" t="s">
        <v>12</v>
      </c>
      <c r="AH11" s="8"/>
      <c r="AJ11" s="628" t="s">
        <v>42</v>
      </c>
      <c r="AK11" s="629"/>
      <c r="AL11" s="629"/>
      <c r="AM11" s="630"/>
      <c r="AN11" s="1"/>
      <c r="AO11" s="634" t="s">
        <v>43</v>
      </c>
      <c r="AP11" s="635"/>
      <c r="AQ11" s="635"/>
      <c r="AR11" s="635"/>
      <c r="AS11" s="636"/>
      <c r="AU11" s="631" t="s">
        <v>88</v>
      </c>
      <c r="AV11" s="632"/>
      <c r="AW11" s="632"/>
      <c r="AX11" s="632"/>
      <c r="AY11" s="633"/>
      <c r="BA11" s="79"/>
      <c r="BC11" s="137" t="s">
        <v>60</v>
      </c>
      <c r="BF11" s="622" t="s">
        <v>138</v>
      </c>
      <c r="BG11" s="623"/>
      <c r="BH11" s="623"/>
      <c r="BI11" s="623"/>
      <c r="BJ11" s="624"/>
      <c r="BK11" s="1"/>
      <c r="BL11" s="625" t="s">
        <v>93</v>
      </c>
      <c r="BM11" s="626"/>
      <c r="BN11" s="626"/>
      <c r="BO11" s="626"/>
      <c r="BP11" s="627"/>
      <c r="BQ11" s="450"/>
      <c r="BR11" s="619" t="s">
        <v>94</v>
      </c>
      <c r="BS11" s="620"/>
      <c r="BT11" s="620"/>
      <c r="BU11" s="620"/>
      <c r="BV11" s="621"/>
      <c r="BW11" s="450"/>
      <c r="BX11" s="619" t="s">
        <v>95</v>
      </c>
      <c r="BY11" s="620"/>
      <c r="BZ11" s="620"/>
      <c r="CA11" s="620"/>
      <c r="CB11" s="621"/>
      <c r="CC11" s="536"/>
      <c r="CD11" s="383"/>
      <c r="CE11" s="383"/>
      <c r="CF11" s="450"/>
      <c r="CG11" s="486" t="str">
        <f>+G11</f>
        <v>8</v>
      </c>
      <c r="CI11" s="1"/>
      <c r="CJ11" s="1"/>
      <c r="CL11" s="1"/>
      <c r="CS11" s="1"/>
      <c r="CV11" s="1"/>
      <c r="CX11" s="1"/>
      <c r="CY11" s="1"/>
      <c r="DB11" s="1"/>
      <c r="DD11" s="1"/>
      <c r="DH11" s="1"/>
      <c r="DI11" s="1"/>
      <c r="DJ11" s="1"/>
      <c r="DQ11" s="1"/>
      <c r="DU11" s="1"/>
      <c r="DY11" s="1"/>
    </row>
    <row r="12" spans="1:129" ht="23.1" customHeight="1" thickBot="1">
      <c r="A12" s="8"/>
      <c r="B12" s="28"/>
      <c r="C12" s="43"/>
      <c r="D12" s="43"/>
      <c r="E12" s="43"/>
      <c r="F12" s="43"/>
      <c r="G12" s="43"/>
      <c r="H12" s="43"/>
      <c r="I12" s="43"/>
      <c r="J12" s="43"/>
      <c r="K12" s="43"/>
      <c r="L12" s="439"/>
      <c r="M12" s="8"/>
      <c r="N12" s="8"/>
      <c r="O12" s="8"/>
      <c r="P12" s="8"/>
      <c r="Q12" s="8"/>
      <c r="R12" s="8"/>
      <c r="S12" s="8"/>
      <c r="T12" s="8"/>
      <c r="U12" s="8"/>
      <c r="V12" s="8"/>
      <c r="W12" s="364">
        <v>1</v>
      </c>
      <c r="X12" s="365"/>
      <c r="Y12" s="365" t="s">
        <v>104</v>
      </c>
      <c r="Z12" s="453"/>
      <c r="AA12" s="366">
        <v>1</v>
      </c>
      <c r="AB12" s="48"/>
      <c r="AC12" s="367">
        <v>1</v>
      </c>
      <c r="AD12" s="696" t="s">
        <v>18</v>
      </c>
      <c r="AE12" s="708">
        <v>1</v>
      </c>
      <c r="AF12" s="313" t="s">
        <v>8</v>
      </c>
      <c r="AG12" s="314" t="str">
        <f>IF(ISNA(MATCH(AC12,$AA$12:$AA$91,0)),"",INDEX($Y$12:$Y$104,MATCH(AC12,$AA$12:$AA$91,0)))</f>
        <v>A1-Bernard</v>
      </c>
      <c r="AH12" s="44"/>
      <c r="AJ12" s="268" t="s">
        <v>89</v>
      </c>
      <c r="AK12" s="268" t="s">
        <v>67</v>
      </c>
      <c r="AL12" s="269" t="s">
        <v>90</v>
      </c>
      <c r="AM12" s="269" t="s">
        <v>91</v>
      </c>
      <c r="AN12" s="487"/>
      <c r="AO12" s="210" t="s">
        <v>89</v>
      </c>
      <c r="AP12" s="210" t="s">
        <v>67</v>
      </c>
      <c r="AQ12" s="210"/>
      <c r="AR12" s="282" t="s">
        <v>90</v>
      </c>
      <c r="AS12" s="282" t="s">
        <v>91</v>
      </c>
      <c r="AT12" s="487"/>
      <c r="AU12" s="210" t="s">
        <v>89</v>
      </c>
      <c r="AV12" s="210" t="s">
        <v>67</v>
      </c>
      <c r="AW12" s="210"/>
      <c r="AX12" s="282" t="s">
        <v>90</v>
      </c>
      <c r="AY12" s="282" t="s">
        <v>91</v>
      </c>
      <c r="AZ12" s="282"/>
      <c r="BA12" s="488"/>
      <c r="BB12" s="488"/>
      <c r="BC12" s="488"/>
      <c r="BD12" s="487"/>
      <c r="BF12" s="178"/>
      <c r="BG12" s="178"/>
      <c r="BH12" s="178"/>
      <c r="BI12" s="178"/>
      <c r="BJ12" s="178"/>
      <c r="BK12" s="1"/>
      <c r="BL12" s="178"/>
      <c r="BM12" s="178"/>
      <c r="BN12" s="178"/>
      <c r="BO12" s="375"/>
      <c r="BP12" s="178"/>
      <c r="BQ12" s="450"/>
      <c r="BR12" s="178"/>
      <c r="BS12" s="178"/>
      <c r="BT12" s="178"/>
      <c r="BU12" s="375"/>
      <c r="BV12" s="178"/>
      <c r="BW12" s="450"/>
      <c r="BZ12" s="1"/>
      <c r="CB12" s="450"/>
      <c r="CC12" s="450"/>
      <c r="CD12" s="1"/>
      <c r="CI12" s="1"/>
      <c r="CJ12" s="1"/>
      <c r="CL12" s="1"/>
      <c r="CS12" s="1"/>
      <c r="CV12" s="1"/>
      <c r="CX12" s="1"/>
      <c r="CY12" s="1"/>
      <c r="DB12" s="1"/>
      <c r="DD12" s="1"/>
      <c r="DH12" s="1"/>
      <c r="DI12" s="1"/>
      <c r="DJ12" s="1"/>
      <c r="DQ12" s="1"/>
      <c r="DU12" s="1"/>
      <c r="DY12" s="1"/>
    </row>
    <row r="13" spans="1:129" ht="23.1" customHeight="1" thickTop="1" thickBot="1">
      <c r="A13" s="8"/>
      <c r="B13" s="8"/>
      <c r="C13" s="43"/>
      <c r="D13" s="43"/>
      <c r="E13" s="43"/>
      <c r="F13" s="43"/>
      <c r="G13" s="43"/>
      <c r="H13" s="43"/>
      <c r="I13" s="43"/>
      <c r="J13" s="43"/>
      <c r="K13" s="43"/>
      <c r="L13" s="439"/>
      <c r="M13" s="8"/>
      <c r="N13" s="8"/>
      <c r="O13" s="8"/>
      <c r="P13" s="8"/>
      <c r="Q13" s="8"/>
      <c r="R13" s="8"/>
      <c r="S13" s="8"/>
      <c r="T13" s="8"/>
      <c r="U13" s="8"/>
      <c r="V13" s="8"/>
      <c r="W13" s="368">
        <v>2</v>
      </c>
      <c r="X13" s="302"/>
      <c r="Y13" s="302" t="s">
        <v>105</v>
      </c>
      <c r="Z13" s="454"/>
      <c r="AA13" s="301">
        <v>2</v>
      </c>
      <c r="AB13" s="48"/>
      <c r="AC13" s="369">
        <v>2</v>
      </c>
      <c r="AD13" s="697"/>
      <c r="AE13" s="700"/>
      <c r="AF13" s="305" t="s">
        <v>9</v>
      </c>
      <c r="AG13" s="320" t="str">
        <f>IF(ISNA(MATCH(AC13,$AA$12:$AA$91,0)),"",INDEX($Y$12:$Y$104,MATCH(AC13,$AA$12:$AA$91,0)))</f>
        <v>B1-Albert</v>
      </c>
      <c r="AH13" s="8"/>
      <c r="AJ13" s="594">
        <v>1</v>
      </c>
      <c r="AK13" s="559">
        <f>+AE12</f>
        <v>1</v>
      </c>
      <c r="AL13" s="295" t="str">
        <f t="shared" ref="AL13:AL42" si="0">AG12</f>
        <v>A1-Bernard</v>
      </c>
      <c r="AM13" s="271">
        <v>1</v>
      </c>
      <c r="AN13" s="489"/>
      <c r="AO13" s="594">
        <v>1</v>
      </c>
      <c r="AP13" s="559">
        <v>4</v>
      </c>
      <c r="AQ13" s="198"/>
      <c r="AR13" s="299" t="str">
        <f>IF(AM13=AM14,"résultat",IF(AM13&gt;AM14,AL13,AL14))</f>
        <v>A1-Bernard</v>
      </c>
      <c r="AS13" s="271">
        <v>1</v>
      </c>
      <c r="AT13" s="490"/>
      <c r="AU13" s="561">
        <v>1</v>
      </c>
      <c r="AV13" s="199"/>
      <c r="AW13" s="199"/>
      <c r="AX13" s="285"/>
      <c r="AY13" s="286"/>
      <c r="BA13" s="79"/>
      <c r="BB13" s="231"/>
      <c r="BC13" s="138"/>
      <c r="BD13" s="2"/>
      <c r="BF13" s="178" t="s">
        <v>92</v>
      </c>
      <c r="BG13" s="178"/>
      <c r="BH13" s="373" t="s">
        <v>8</v>
      </c>
      <c r="BI13" s="462"/>
      <c r="BJ13" s="276" t="s">
        <v>91</v>
      </c>
      <c r="BK13" s="1"/>
      <c r="BL13" s="185"/>
      <c r="BM13" s="185"/>
      <c r="BN13" s="185"/>
      <c r="BO13" s="378"/>
      <c r="BP13" s="450"/>
      <c r="BQ13" s="178"/>
      <c r="BR13" s="178"/>
      <c r="BS13" s="178"/>
      <c r="BT13" s="178"/>
      <c r="BU13" s="375"/>
      <c r="BV13" s="450"/>
      <c r="BW13" s="450"/>
      <c r="BZ13" s="1"/>
      <c r="CB13" s="450"/>
      <c r="CC13" s="450"/>
      <c r="CD13" s="1"/>
      <c r="CI13" s="1"/>
      <c r="CJ13" s="1"/>
      <c r="CL13" s="1"/>
      <c r="CS13" s="1"/>
      <c r="CV13" s="1"/>
      <c r="CX13" s="1"/>
      <c r="CY13" s="1"/>
      <c r="DB13" s="1"/>
      <c r="DD13" s="1"/>
      <c r="DH13" s="1"/>
      <c r="DI13" s="1"/>
      <c r="DJ13" s="1"/>
      <c r="DQ13" s="1"/>
      <c r="DU13" s="1"/>
      <c r="DY13" s="1"/>
    </row>
    <row r="14" spans="1:129" ht="23.1" customHeight="1" thickTop="1" thickBo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368">
        <v>3</v>
      </c>
      <c r="X14" s="302"/>
      <c r="Y14" s="302" t="s">
        <v>106</v>
      </c>
      <c r="Z14" s="454"/>
      <c r="AA14" s="301">
        <v>3</v>
      </c>
      <c r="AB14" s="48"/>
      <c r="AC14" s="369">
        <v>3</v>
      </c>
      <c r="AD14" s="697"/>
      <c r="AE14" s="708">
        <v>2</v>
      </c>
      <c r="AF14" s="313" t="s">
        <v>44</v>
      </c>
      <c r="AG14" s="351" t="str">
        <f>IF(ISNA(MATCH(AC14,$AA$12:$AA$91,0)),"",INDEX($Y$12:$Y$104,MATCH(AC14,$AA$12:$AA$91,0)))</f>
        <v>C1-Jean Claude</v>
      </c>
      <c r="AH14" s="8"/>
      <c r="AI14" s="551" t="str">
        <f>CONCATENATE(E17,E18)</f>
        <v>42</v>
      </c>
      <c r="AJ14" s="595"/>
      <c r="AK14" s="560"/>
      <c r="AL14" s="296" t="str">
        <f t="shared" si="0"/>
        <v>B1-Albert</v>
      </c>
      <c r="AM14" s="272">
        <v>0</v>
      </c>
      <c r="AN14" s="489"/>
      <c r="AO14" s="595"/>
      <c r="AP14" s="560"/>
      <c r="AQ14" s="187"/>
      <c r="AR14" s="283" t="str">
        <f>IF(AM15=AM16,"résultat",IF(AM15&gt;AM16,AL15,AL16))</f>
        <v>C1-Jean Claude</v>
      </c>
      <c r="AS14" s="272">
        <v>0</v>
      </c>
      <c r="AT14" s="491"/>
      <c r="AU14" s="562"/>
      <c r="AV14" s="564"/>
      <c r="AW14" s="189"/>
      <c r="AX14" s="289" t="str">
        <f>IF(AI14+AI15=40," ",IF(AI14+AI15=43," ",IF(AI14+AI15=42,IF($AS$13=$AS$14,"résultat",IF($AS$13&lt;$AS$14,$AR$13,$AR$14)),IF(AI14+AI15=32,IF($AS$13=$AS$14,"résultat",IF($AS$13&lt;$AS$14,$AR$13,$AR$14))))))</f>
        <v>C1-Jean Claude</v>
      </c>
      <c r="AY14" s="271">
        <v>1</v>
      </c>
      <c r="BA14" s="492">
        <v>1</v>
      </c>
      <c r="BB14" s="169"/>
      <c r="BC14" s="387" t="str">
        <f>IF($AI14+$AI15=40," ",IF($AI14+$AI15=43,IF($AS13=$AS14,"résultat",IF($AS13&gt;$AS14,$AR13,$AR14)),(IF($AI14+$AI15=42,IF($AS13=$AS14,"résultat",IF($AS13&gt;$AS14,$AR13,$AR14)),(IF($AI14+$AI15=32,IF($AS13=$AS14,"résultat",IF($AS13&gt;$AS14,$AR13,$AR14))))))))</f>
        <v>A1-Bernard</v>
      </c>
      <c r="BD14" s="2"/>
      <c r="BF14" s="557">
        <v>1</v>
      </c>
      <c r="BG14" s="598" t="str">
        <f>IF(AO8&gt;9,BC14,IF(#REF!=#REF!,"résultat",IF(#REF!&gt;#REF!,#REF!,#REF!)))</f>
        <v>A1-Bernard</v>
      </c>
      <c r="BH14" s="599"/>
      <c r="BI14" s="600"/>
      <c r="BJ14" s="384">
        <v>2</v>
      </c>
      <c r="BK14" s="1"/>
      <c r="BL14" s="185"/>
      <c r="BM14" s="185"/>
      <c r="BN14" s="185"/>
      <c r="BO14" s="378"/>
      <c r="BP14" s="185"/>
      <c r="BQ14" s="450"/>
      <c r="BR14" s="178"/>
      <c r="BS14" s="178"/>
      <c r="BT14" s="178"/>
      <c r="BU14" s="375"/>
      <c r="BV14" s="450"/>
      <c r="BW14" s="450"/>
      <c r="BZ14" s="1"/>
      <c r="CB14" s="450"/>
      <c r="CC14" s="450"/>
      <c r="CD14" s="1"/>
      <c r="CI14" s="1"/>
      <c r="CJ14" s="1"/>
      <c r="CL14" s="1"/>
      <c r="CS14" s="1"/>
      <c r="CV14" s="1"/>
      <c r="CX14" s="1"/>
      <c r="CY14" s="1"/>
      <c r="DB14" s="1"/>
      <c r="DD14" s="1"/>
      <c r="DH14" s="1"/>
      <c r="DI14" s="1"/>
      <c r="DJ14" s="1"/>
      <c r="DQ14" s="1"/>
      <c r="DU14" s="1"/>
      <c r="DY14" s="1"/>
    </row>
    <row r="15" spans="1:129" ht="26.25" customHeight="1" thickBot="1">
      <c r="A15" s="528"/>
      <c r="B15" s="528"/>
      <c r="C15" s="693" t="s">
        <v>69</v>
      </c>
      <c r="D15" s="695"/>
      <c r="E15" s="308" t="s">
        <v>32</v>
      </c>
      <c r="F15" s="309" t="s">
        <v>33</v>
      </c>
      <c r="G15" s="308" t="s">
        <v>34</v>
      </c>
      <c r="H15" s="310" t="s">
        <v>35</v>
      </c>
      <c r="I15" s="311" t="s">
        <v>36</v>
      </c>
      <c r="J15" s="312" t="s">
        <v>37</v>
      </c>
      <c r="K15" s="311" t="s">
        <v>38</v>
      </c>
      <c r="L15" s="312" t="s">
        <v>39</v>
      </c>
      <c r="M15"/>
      <c r="N15"/>
      <c r="O15"/>
      <c r="P15"/>
      <c r="Q15"/>
      <c r="R15"/>
      <c r="S15"/>
      <c r="T15"/>
      <c r="U15" s="528"/>
      <c r="V15" s="528"/>
      <c r="W15" s="301">
        <v>4</v>
      </c>
      <c r="X15" s="302"/>
      <c r="Y15" s="302" t="s">
        <v>107</v>
      </c>
      <c r="Z15" s="454"/>
      <c r="AA15" s="301">
        <v>4</v>
      </c>
      <c r="AB15" s="303"/>
      <c r="AC15" s="370">
        <v>4</v>
      </c>
      <c r="AD15" s="698"/>
      <c r="AE15" s="700"/>
      <c r="AF15" s="305" t="s">
        <v>40</v>
      </c>
      <c r="AG15" s="320" t="str">
        <f>IF(ISNA(MATCH(AC15,$AA$12:$AA$91,0)),"OFFICE",INDEX($Y$12:$Y$104,MATCH(AC15,$AA$12:$AA$91,0)))</f>
        <v>D1-Alain</v>
      </c>
      <c r="AH15" s="8"/>
      <c r="AJ15" s="595"/>
      <c r="AK15" s="564">
        <f>+AE14</f>
        <v>2</v>
      </c>
      <c r="AL15" s="297" t="str">
        <f t="shared" si="0"/>
        <v>C1-Jean Claude</v>
      </c>
      <c r="AM15" s="273">
        <v>1</v>
      </c>
      <c r="AN15" s="489"/>
      <c r="AO15" s="595"/>
      <c r="AP15" s="564">
        <v>5</v>
      </c>
      <c r="AQ15" s="213"/>
      <c r="AR15" s="183" t="str">
        <f>IF(AM13=AM14,"résultat",IF(AM13&lt;AM14,AL13,AL14))</f>
        <v>B1-Albert</v>
      </c>
      <c r="AS15" s="273">
        <v>1</v>
      </c>
      <c r="AT15" s="491"/>
      <c r="AU15" s="562"/>
      <c r="AV15" s="560"/>
      <c r="AW15" s="192"/>
      <c r="AX15" s="287" t="str">
        <f>IF(AI14+AI15=40," ",IF(AI14+AI15=43," ",IF(AI14+AI15=42,IF(AS15=AS16,"résultat",IF(AS15&gt;AS16,AR15,AR16)),(IF(AI14+AI15=32,IF(AS15=AS16,"résultat",IF(AS15&gt;AS16,AR15,AR16)))))))</f>
        <v>B1-Albert</v>
      </c>
      <c r="AY15" s="272">
        <v>0</v>
      </c>
      <c r="BA15" s="493">
        <v>2</v>
      </c>
      <c r="BB15" s="113"/>
      <c r="BC15" s="461" t="str">
        <f>IF($AI14+$AI15=40," ",IF($AI14+$AI15=43,IF($AS13=$AS14,"résultat",IF($AS13&lt;$AS14,$AR13,$AR14)),(IF($AI14+$AI15=42,IF($AY14=$AY15,"résultat",IF($AY14&gt;$AY15,$AX14,$AX15)),(IF($AI14+$AI15=32,IF($AY14=$AY15,"résultat",IF($AY14&lt;$AY15,$AX14,$AX15))))))))</f>
        <v>C1-Jean Claude</v>
      </c>
      <c r="BD15" s="2"/>
      <c r="BF15" s="558"/>
      <c r="BG15" s="604" t="str">
        <f>IF(AND(AO8&gt;9,AO8&lt;15),"OFFICE",IF(AND(AO8=16),BC23))</f>
        <v>C3-Rolland</v>
      </c>
      <c r="BH15" s="605"/>
      <c r="BI15" s="606"/>
      <c r="BJ15" s="385">
        <v>3</v>
      </c>
      <c r="BK15" s="1"/>
      <c r="BL15" s="178" t="s">
        <v>92</v>
      </c>
      <c r="BM15" s="178"/>
      <c r="BN15" s="464" t="s">
        <v>8</v>
      </c>
      <c r="BO15" s="462"/>
      <c r="BP15" s="276" t="s">
        <v>91</v>
      </c>
      <c r="BQ15" s="450"/>
      <c r="BR15" s="178"/>
      <c r="BS15" s="178"/>
      <c r="BT15" s="178"/>
      <c r="BU15" s="375"/>
      <c r="BV15" s="178"/>
      <c r="BW15" s="450"/>
      <c r="BZ15" s="1"/>
      <c r="CB15" s="450"/>
      <c r="CC15" s="450"/>
      <c r="CD15" s="307"/>
      <c r="CI15" s="1"/>
      <c r="CJ15" s="1"/>
      <c r="CL15" s="1"/>
      <c r="CS15" s="1"/>
      <c r="CV15" s="1"/>
      <c r="CX15" s="1"/>
      <c r="CY15" s="1"/>
      <c r="DB15" s="1"/>
      <c r="DD15" s="1"/>
      <c r="DH15" s="1"/>
      <c r="DI15" s="1"/>
      <c r="DJ15" s="1"/>
      <c r="DQ15" s="1"/>
      <c r="DU15" s="1"/>
      <c r="DY15" s="1"/>
    </row>
    <row r="16" spans="1:129" ht="23.1" customHeight="1" thickBot="1">
      <c r="A16" s="48"/>
      <c r="B16" s="48"/>
      <c r="C16" s="48"/>
      <c r="D16" s="48"/>
      <c r="E16" s="315"/>
      <c r="F16" s="316"/>
      <c r="G16" s="316"/>
      <c r="H16" s="317"/>
      <c r="I16" s="318"/>
      <c r="J16" s="318"/>
      <c r="K16" s="318"/>
      <c r="L16" s="318"/>
      <c r="M16"/>
      <c r="N16"/>
      <c r="O16"/>
      <c r="P16"/>
      <c r="Q16"/>
      <c r="R16"/>
      <c r="S16"/>
      <c r="T16"/>
      <c r="U16" s="48"/>
      <c r="V16" s="48"/>
      <c r="W16" s="301">
        <v>5</v>
      </c>
      <c r="X16" s="302"/>
      <c r="Y16" s="302" t="s">
        <v>108</v>
      </c>
      <c r="Z16" s="454"/>
      <c r="AA16" s="301">
        <v>5</v>
      </c>
      <c r="AB16" s="303"/>
      <c r="AC16" s="367">
        <v>5</v>
      </c>
      <c r="AD16" s="697" t="s">
        <v>19</v>
      </c>
      <c r="AE16" s="722">
        <v>3</v>
      </c>
      <c r="AF16" s="313" t="s">
        <v>8</v>
      </c>
      <c r="AG16" s="351" t="str">
        <f>IF(ISNA(MATCH(AC16,$AA$12:$AA$91,0)),"",INDEX($Y$12:$Y$104,MATCH(AC16,$AA$12:$AA$91,0)))</f>
        <v>A2-Josiane</v>
      </c>
      <c r="AH16" s="8"/>
      <c r="AJ16" s="596"/>
      <c r="AK16" s="597"/>
      <c r="AL16" s="298" t="str">
        <f t="shared" si="0"/>
        <v>D1-Alain</v>
      </c>
      <c r="AM16" s="274">
        <v>0</v>
      </c>
      <c r="AN16" s="494"/>
      <c r="AO16" s="596"/>
      <c r="AP16" s="597"/>
      <c r="AQ16" s="214"/>
      <c r="AR16" s="300" t="str">
        <f>IF(AM15=AM16,"résultat",IF(AM15&lt;AM16,AL15,AL16))</f>
        <v>D1-Alain</v>
      </c>
      <c r="AS16" s="274">
        <v>0</v>
      </c>
      <c r="AT16" s="495"/>
      <c r="AU16" s="563"/>
      <c r="AV16" s="197"/>
      <c r="AW16" s="197"/>
      <c r="AX16" s="277"/>
      <c r="AY16" s="496"/>
      <c r="AZ16" s="496"/>
      <c r="BA16" s="496"/>
      <c r="BB16" s="496"/>
      <c r="BC16" s="277"/>
      <c r="BD16" s="497"/>
      <c r="BF16" s="185"/>
      <c r="BG16" s="382"/>
      <c r="BH16" s="382"/>
      <c r="BI16" s="382"/>
      <c r="BJ16" s="185"/>
      <c r="BK16" s="1"/>
      <c r="BL16" s="557">
        <v>1</v>
      </c>
      <c r="BM16" s="580" t="str">
        <f>IF($BJ14=BJ15,"résultat",IF(BJ14&gt;BJ15,BG14,BG15))</f>
        <v>C3-Rolland</v>
      </c>
      <c r="BN16" s="581"/>
      <c r="BO16" s="582"/>
      <c r="BP16" s="181">
        <v>1</v>
      </c>
      <c r="BQ16" s="498"/>
      <c r="BR16" s="178" t="s">
        <v>92</v>
      </c>
      <c r="BS16" s="178"/>
      <c r="BT16" s="276" t="s">
        <v>90</v>
      </c>
      <c r="BU16" s="276"/>
      <c r="BV16" s="276" t="s">
        <v>91</v>
      </c>
      <c r="BW16" s="450"/>
      <c r="BX16" s="640" t="s">
        <v>6</v>
      </c>
      <c r="BY16" s="640"/>
      <c r="BZ16" s="640"/>
      <c r="CA16" s="640"/>
      <c r="CB16" s="640"/>
      <c r="CC16" s="450"/>
      <c r="CD16" s="1"/>
      <c r="CI16" s="1"/>
      <c r="CJ16" s="1"/>
      <c r="CL16" s="1"/>
      <c r="CS16" s="1"/>
      <c r="CV16" s="1"/>
      <c r="CX16" s="1"/>
      <c r="CY16" s="1"/>
      <c r="DB16" s="1"/>
      <c r="DD16" s="1"/>
      <c r="DH16" s="1"/>
      <c r="DI16" s="1"/>
      <c r="DJ16" s="1"/>
      <c r="DQ16" s="1"/>
      <c r="DU16" s="1"/>
      <c r="DY16" s="1"/>
    </row>
    <row r="17" spans="1:129" ht="23.1" customHeight="1" thickTop="1" thickBot="1">
      <c r="A17" s="693" t="s">
        <v>65</v>
      </c>
      <c r="B17" s="694"/>
      <c r="C17" s="695"/>
      <c r="D17" s="321">
        <f>SUM(E17+F17+G17+H17+I17+J17+K17+L17+M17+N17+O17+P17+Q17+R17+S17+T17)</f>
        <v>30</v>
      </c>
      <c r="E17" s="322" t="str">
        <f>IF(OR(J10=40,AND(J10&gt;79,J10&lt;90),AND(J10&gt;99,J10&lt;106),AND(J10&gt;105,J10&lt;130),AND(J10&gt;129,J10&lt;160),AND(J10&gt;152,J10&lt;650),J10=32,J10=160),"4",IF(OR(J10&gt;200,J10&lt;810),5,IF(OR(J10&gt;94,J10&lt;96,J10=95,J10=102,J10=0,J10=200),"5",IF(J10=20,"2",IF(J10=12,"1","0")))))</f>
        <v>4</v>
      </c>
      <c r="F17" s="323" t="str">
        <f>IF(OR(AND(J10&gt;131,J10&lt;370)),"4",IF(OR(AND(J10&gt;219,J10&lt;811)),"5","0"))</f>
        <v>4</v>
      </c>
      <c r="G17" s="324" t="str">
        <f>IF(OR(AND(J10&gt;170,J10&lt;180)),"3",IF(OR(AND(J10&gt;95,J10&lt;370)),"4",0))</f>
        <v>4</v>
      </c>
      <c r="H17" s="529" t="str">
        <f>IF(OR(AND(J10&gt;169,J10&lt;190),AND(J10&gt;209,J10&lt;220)),"3",IF(OR(AND(J10&gt;130,J10&lt;200),AND(J10&gt;199,J10&lt;370),J10=35,AND(J10&gt;361,J10&lt;500),AND(J10&gt;499,J10&lt;680)),"4",IF(OR(AND(J10&gt;181,J10&lt;219),AND(J10&gt;219,J10&lt;810)),"5","0")))</f>
        <v>4</v>
      </c>
      <c r="I17" s="324" t="str">
        <f>IF(OR(AND(J10&gt;249,J10&lt;260),AND(J10&gt;169,J10&lt;190),AND(J10&gt;189,J10&lt;200),AND(J10&gt;209,J10&lt;230),AND(J10&gt;0,J10&lt;0)),"3",IF(OR(AND(J10&gt;199,J10&lt;370),AND(J10&gt;369,J10&lt;500),AND(J10&gt;499,J10&lt;690)),"4",IF(OR(AND(J10&gt;649,J10&lt;810)),5,"0")))</f>
        <v>4</v>
      </c>
      <c r="J17" s="529" t="str">
        <f>IF(OR(AND(J10&gt;209,J10&lt;240),AND(J10&gt;249,J10&lt;270),AND(J10&gt;289,J10&lt;300)),"3",IF(OR(AND(J10&gt;211,J10&lt;259),AND(J10&gt;261,J10&lt;500)),"4","0"))</f>
        <v>4</v>
      </c>
      <c r="K17" s="325" t="str">
        <f>IF(OR(AND(J10&gt;249,J10&lt;269),AND(J10&gt;261,J10&lt;280),AND(J10&gt;289,J10&lt;310),AND(J10&gt;331,J10&lt;329)),"3",IF(OR(AND(J10&gt;251,J10&lt;649),AND(J10&gt;499,J10&lt;710)),"4","0"))</f>
        <v>3</v>
      </c>
      <c r="L17" s="324" t="str">
        <f>IF(OR(AND(J10&gt;291,J10&lt;309),AND(J10&gt;289,J10&lt;320)),"3",IF(OR(AND(J10&gt;291,J10&lt;370)),4,"0"))</f>
        <v>3</v>
      </c>
      <c r="M17"/>
      <c r="N17"/>
      <c r="O17"/>
      <c r="P17"/>
      <c r="Q17"/>
      <c r="R17"/>
      <c r="S17"/>
      <c r="T17"/>
      <c r="U17" s="326"/>
      <c r="V17" s="326"/>
      <c r="W17" s="301">
        <v>6</v>
      </c>
      <c r="X17" s="302"/>
      <c r="Y17" s="302" t="s">
        <v>133</v>
      </c>
      <c r="Z17" s="454"/>
      <c r="AA17" s="301">
        <v>6</v>
      </c>
      <c r="AB17" s="303"/>
      <c r="AC17" s="371">
        <v>6</v>
      </c>
      <c r="AD17" s="697"/>
      <c r="AE17" s="700"/>
      <c r="AF17" s="305" t="s">
        <v>9</v>
      </c>
      <c r="AG17" s="306" t="str">
        <f>IF(ISNA(MATCH(AC17,$AA$12:$AA$91,0)),"",INDEX($Y$12:$Y$104,MATCH(AC17,$AA$12:$AA$91,0)))</f>
        <v>B2-Gérard</v>
      </c>
      <c r="AH17" s="8"/>
      <c r="AJ17" s="594">
        <v>2</v>
      </c>
      <c r="AK17" s="559">
        <f>+AE16</f>
        <v>3</v>
      </c>
      <c r="AL17" s="295" t="str">
        <f t="shared" si="0"/>
        <v>A2-Josiane</v>
      </c>
      <c r="AM17" s="271">
        <v>1</v>
      </c>
      <c r="AN17" s="489"/>
      <c r="AO17" s="594">
        <v>2</v>
      </c>
      <c r="AP17" s="559">
        <v>6</v>
      </c>
      <c r="AQ17" s="198"/>
      <c r="AR17" s="183" t="str">
        <f>IF(AM17=AM18,"résultat",IF(AM17&gt;AM18,AL17,AL18))</f>
        <v>A2-Josiane</v>
      </c>
      <c r="AS17" s="275">
        <v>1</v>
      </c>
      <c r="AT17" s="491"/>
      <c r="AU17" s="562">
        <v>2</v>
      </c>
      <c r="AV17" s="184"/>
      <c r="AW17" s="184"/>
      <c r="AX17" s="284"/>
      <c r="AY17" s="499"/>
      <c r="AZ17" s="499"/>
      <c r="BA17" s="279"/>
      <c r="BB17" s="279"/>
      <c r="BC17" s="517"/>
      <c r="BD17" s="2"/>
      <c r="BF17" s="185"/>
      <c r="BG17" s="382"/>
      <c r="BH17" s="520" t="s">
        <v>9</v>
      </c>
      <c r="BI17" s="4"/>
      <c r="BK17" s="1"/>
      <c r="BL17" s="558"/>
      <c r="BM17" s="583" t="str">
        <f>IF(BJ18=BJ19,"résultat",IF(BJ18&gt;BJ19,BG18,BG19))</f>
        <v>C4-Jean Louis</v>
      </c>
      <c r="BN17" s="584"/>
      <c r="BO17" s="585"/>
      <c r="BP17" s="193">
        <v>0</v>
      </c>
      <c r="BQ17" s="500"/>
      <c r="BR17" s="557">
        <v>1</v>
      </c>
      <c r="BS17" s="641" t="str">
        <f>IF(BP16=BP17,"résultat",IF(BP16&gt;BP17,BM16,BM17))</f>
        <v>C3-Rolland</v>
      </c>
      <c r="BT17" s="642"/>
      <c r="BU17" s="643"/>
      <c r="BV17" s="181">
        <v>1</v>
      </c>
      <c r="BW17" s="531"/>
      <c r="BZ17" s="1"/>
      <c r="CB17" s="450"/>
      <c r="CC17" s="450"/>
      <c r="CD17" s="1"/>
      <c r="CI17" s="1"/>
      <c r="CJ17" s="1"/>
      <c r="CL17" s="1"/>
      <c r="CS17" s="1"/>
      <c r="CV17" s="1"/>
      <c r="CX17" s="1"/>
      <c r="CY17" s="1"/>
      <c r="DB17" s="1"/>
      <c r="DD17" s="1"/>
      <c r="DH17" s="1"/>
      <c r="DI17" s="1"/>
      <c r="DJ17" s="1"/>
      <c r="DQ17" s="1"/>
      <c r="DU17" s="1"/>
      <c r="DY17" s="1"/>
    </row>
    <row r="18" spans="1:129" ht="23.1" customHeight="1" thickTop="1" thickBot="1">
      <c r="A18" s="693" t="s">
        <v>71</v>
      </c>
      <c r="B18" s="694"/>
      <c r="C18" s="695"/>
      <c r="D18" s="329">
        <f>SUM(E18+F18+G18+H18+I18+J18+K18+L18+M18+N18+O18+P18+Q18+R18+S18+T18)</f>
        <v>16</v>
      </c>
      <c r="E18" s="330" t="str">
        <f>IF(OR(AND(J10&gt;170,J10&lt;179),AND(J10&gt;180,J10&lt;189),AND(J10&gt;190,J10&lt;209),AND(J10&gt;210,J10&lt;219),AND(J10&gt;220,J10&lt;229),AND(J10&gt;230,J10&lt;239),AND(J10&gt;240,J10&lt;249),AND(J10&gt;250,J10&lt;259),AND(J10&gt;260,J10&lt;269),AND(J10&gt;270,J10&lt;279),AND(J10&gt;280,J10&lt;289),AND(J10&gt;290,J10&lt;299),AND(J10&gt;300,J10&lt;309),AND(J10&gt;310,J10&lt;319),AND(J10&gt;320,J10&lt;329)),"2","0")</f>
        <v>2</v>
      </c>
      <c r="F18" s="331">
        <f>IF(OR(AND(J10&gt;170,J10&lt;179),AND(J10&gt;180,J10&lt;199),AND(J10&gt;200,J10&lt;209),AND(J10&gt;210,J10&lt;219),AND(J10&gt;220,J10&lt;229),AND(J10&gt;230,J10&lt;239),AND(J10&gt;240,J10&lt;249),AND(J10&gt;250,J10&lt;259),AND(J10&gt;260,J10&lt;269),AND(J10&gt;270,J10&lt;279),AND(J10&gt;280,J10&lt;289),AND(J10&gt;290,J10&lt;299),AND(J10&gt;300,J10&lt;309),AND(J10&gt;310,J10&lt;319),AND(J10&gt;320,J10&lt;329)),2,0)</f>
        <v>2</v>
      </c>
      <c r="G18" s="330" t="str">
        <f>IF(OR(AND(J10&gt;170,J10&lt;179),AND(J10&gt;245,J10&lt;246),AND(J10&gt;250,J10&lt;259),AND(J10&gt;260,J10&lt;269),AND(J10&gt;270,J10&lt;279),AND(J10&gt;280,J10&lt;289),AND(J10&gt;290,J10&lt;299),,AND(J10&gt;180,J10&lt;189),AND(J10&gt;190,J10&lt;199),AND(J10&gt;200,J10&lt;209),AND(J10&gt;210,J10&lt;219),AND(J10&gt;220,J10&lt;229),AND(J10&gt;230,J10&lt;239),AND(J10&gt;240,J10&lt;249),AND(J10&gt;300,J10&lt;309),AND(J10&gt;310,J10&lt;319),AND(J10&gt;320,J10&lt;329)),"2","0")</f>
        <v>2</v>
      </c>
      <c r="H18" s="332" t="str">
        <f>IF(OR(AND(J10&gt;170,J10&lt;179),AND(J10&gt;180,J10&lt;189),AND(J10&gt;210,J10&lt;219),AND(J10&gt;250,J10&lt;259),AND(J10&gt;260,J10&lt;269),AND(J10&gt;270,J10&lt;279),AND(J10&gt;280,J10&lt;289),AND(J10&gt;290,J10&lt;299),AND(J10&gt;170,J10&lt;179),AND(J10&gt;190,J10&lt;199),AND(J10&gt;200,J10&lt;209),AND(J10&gt;220,J10&lt;229),AND(J10&gt;230,J10&lt;239),AND(J10&gt;240,J10&lt;249),,AND(J10&gt;0,J10&lt;0),AND(J10&gt;300,J10&lt;309),AND(J10&gt;310,J10&lt;319),AND(J10&gt;320,J10&lt;329)),"2","0")</f>
        <v>2</v>
      </c>
      <c r="I18" s="330" t="str">
        <f>IF(OR(AND(J10&gt;170,J10&lt;179),AND(J10&gt;180,J10&lt;189),AND(J10&gt;190,J10&lt;199),AND(J10&gt;200,J10&lt;209),AND(J10&gt;210,J10&lt;219),AND(J10&gt;220,J10&lt;229),AND(J10&gt;230,J10&lt;239),AND(J10&gt;240,J10&lt;249),AND(J10&gt;250,J10&lt;259),AND(J10&gt;260,J10&lt;269),AND(J10&gt;270,J10&lt;279),AND(J10&gt;280,J10&lt;289),AND(J10&gt;290,J10&lt;299),AND(J10&gt;300,J10&lt;309),AND(J10&gt;310,J10&lt;319),AND(J10&gt;320,J10&lt;329)),"2","0")</f>
        <v>2</v>
      </c>
      <c r="J18" s="333" t="str">
        <f>IF(OR(AND(J10&gt;210,J10&lt;219),AND(J10&gt;220,J10&lt;229),AND(J10&gt;230,J10&lt;239),AND(J10&gt;240,J10&lt;249),AND(J10&gt;250,J10&lt;259),AND(J10&gt;260,J10&lt;269),AND(J10&gt;270,J10&lt;279),AND(J10&gt;280,J10&lt;289),AND(J10&gt;290,J10&lt;299),AND(J10&gt;300,J10&lt;309),AND(J10&gt;310,J10&lt;319),AND(J10&gt;320,J10&lt;329)),"2","0")</f>
        <v>2</v>
      </c>
      <c r="K18" s="334" t="str">
        <f>IF(OR(AND(J10&gt;250,J10&lt;259),AND(J10&gt;260,J10&lt;269),AND(J10&gt;270,J10&lt;279),AND(J10&gt;280,J10&lt;289),AND(J10&gt;290,J10&lt;299),AND(J10&gt;300,J10&lt;309),AND(J10&gt;310,J10&lt;319),AND(J10&gt;320,J10&lt;329)),"2","0")</f>
        <v>2</v>
      </c>
      <c r="L18" s="330" t="str">
        <f>IF(OR(AND(J10&gt;290,J10&lt;299),AND(J10&gt;300,J10&lt;309),AND(J10&gt;310,J10&lt;329),AND(J10&gt;0,J10&lt;0)),"2","0")</f>
        <v>2</v>
      </c>
      <c r="M18"/>
      <c r="N18"/>
      <c r="O18"/>
      <c r="P18"/>
      <c r="Q18"/>
      <c r="R18"/>
      <c r="S18"/>
      <c r="T18"/>
      <c r="U18" s="326"/>
      <c r="V18" s="326"/>
      <c r="W18" s="301">
        <v>7</v>
      </c>
      <c r="X18" s="302"/>
      <c r="Y18" s="302" t="s">
        <v>109</v>
      </c>
      <c r="Z18" s="454"/>
      <c r="AA18" s="301">
        <v>7</v>
      </c>
      <c r="AB18" s="303"/>
      <c r="AC18" s="371">
        <v>7</v>
      </c>
      <c r="AD18" s="697"/>
      <c r="AE18" s="708">
        <v>4</v>
      </c>
      <c r="AF18" s="313" t="s">
        <v>44</v>
      </c>
      <c r="AG18" s="314" t="str">
        <f>IF(ISNA(MATCH(AC18,$AA$12:$AA$91,0)),"",INDEX($Y$12:$Y$104,MATCH(AC18,$AA$12:$AA$91,0)))</f>
        <v>C2-Robert</v>
      </c>
      <c r="AH18" s="8"/>
      <c r="AI18" s="552" t="str">
        <f>CONCATENATE(F17,F18)</f>
        <v>42</v>
      </c>
      <c r="AJ18" s="595"/>
      <c r="AK18" s="560"/>
      <c r="AL18" s="296" t="str">
        <f t="shared" si="0"/>
        <v>B2-Gérard</v>
      </c>
      <c r="AM18" s="272">
        <v>0</v>
      </c>
      <c r="AN18" s="489"/>
      <c r="AO18" s="595"/>
      <c r="AP18" s="560"/>
      <c r="AQ18" s="187"/>
      <c r="AR18" s="283" t="str">
        <f>IF(AM19=AM20,"résultat",IF(AM19&gt;AM20,AL19,AL20))</f>
        <v>C2-Robert</v>
      </c>
      <c r="AS18" s="272">
        <v>0</v>
      </c>
      <c r="AT18" s="491"/>
      <c r="AU18" s="562"/>
      <c r="AV18" s="564"/>
      <c r="AW18" s="189"/>
      <c r="AX18" s="280" t="str">
        <f>IF(AI18+AI19=40," ",IF(AI18+AI19=43," ",IF(AI18+AI19=42,IF(AS17=AS18,"résultat",IF(AS17&lt;AS18,AR17,AR18)),IF(AI18+AI19=32,IF(AS17=AS18,"résultat",IF(AS17&lt;AS18,AR17,AR18))))))</f>
        <v>C2-Robert</v>
      </c>
      <c r="AY18" s="271">
        <v>1</v>
      </c>
      <c r="BA18" s="492">
        <v>1</v>
      </c>
      <c r="BB18" s="169"/>
      <c r="BC18" s="387" t="str">
        <f>IF($AI18+$AI19=40," ",IF($AI18+$AI19=43,IF($AS17=$AS18,"résultat",IF($AS17&gt;$AS18,$AR17,$AR18)),(IF($AI18+$AI19=42,IF($AS17=$AS18,"résultat",IF($AS17&gt;$AS18,$AR17,$AR18)),(IF($AI18+$AI19=32,IF($AS17=$AS18,"résultat",IF($AS17&gt;$AS18,$AR17,$AR18))))))))</f>
        <v>A2-Josiane</v>
      </c>
      <c r="BD18" s="2"/>
      <c r="BF18" s="557">
        <v>2</v>
      </c>
      <c r="BG18" s="598" t="str">
        <f>IF(AO8&gt;9,BC18,IF(#REF!=#REF!,"résultat",IF(#REF!&gt;#REF!,#REF!,#REF!)))</f>
        <v>A2-Josiane</v>
      </c>
      <c r="BH18" s="599"/>
      <c r="BI18" s="600"/>
      <c r="BJ18" s="181">
        <v>1</v>
      </c>
      <c r="BK18" s="1"/>
      <c r="BL18" s="202"/>
      <c r="BM18" s="522"/>
      <c r="BN18" s="203"/>
      <c r="BO18" s="377"/>
      <c r="BP18" s="440"/>
      <c r="BQ18" s="502"/>
      <c r="BR18" s="558"/>
      <c r="BS18" s="644" t="str">
        <f>IF(BP24=BP25,"résultat",IF(BP24&gt;BP25,BM24,BM25))</f>
        <v>C5-Manuel</v>
      </c>
      <c r="BT18" s="645"/>
      <c r="BU18" s="646"/>
      <c r="BV18" s="193">
        <v>0</v>
      </c>
      <c r="BW18" s="531"/>
      <c r="BX18" s="178" t="s">
        <v>92</v>
      </c>
      <c r="BY18" s="178"/>
      <c r="BZ18" s="276" t="s">
        <v>90</v>
      </c>
      <c r="CA18" s="276"/>
      <c r="CB18" s="445" t="s">
        <v>91</v>
      </c>
      <c r="CC18" s="450"/>
      <c r="CD18" s="1"/>
      <c r="CI18" s="1"/>
      <c r="CJ18" s="1"/>
      <c r="CL18" s="1"/>
      <c r="CS18" s="1"/>
      <c r="CV18" s="1"/>
      <c r="CX18" s="1"/>
      <c r="CY18" s="1"/>
      <c r="DB18" s="1"/>
      <c r="DD18" s="1"/>
      <c r="DH18" s="1"/>
      <c r="DI18" s="1"/>
      <c r="DJ18" s="1"/>
      <c r="DQ18" s="1"/>
      <c r="DU18" s="1"/>
      <c r="DY18" s="1"/>
    </row>
    <row r="19" spans="1:129" ht="24" customHeight="1" thickBot="1">
      <c r="A19" s="336"/>
      <c r="B19" s="336"/>
      <c r="C19" s="337"/>
      <c r="D19" s="338"/>
      <c r="E19" s="339"/>
      <c r="F19" s="340"/>
      <c r="G19" s="340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0"/>
      <c r="S19" s="48"/>
      <c r="T19" s="48"/>
      <c r="U19" s="48"/>
      <c r="V19" s="48"/>
      <c r="W19" s="301">
        <v>8</v>
      </c>
      <c r="X19" s="302"/>
      <c r="Y19" s="302" t="s">
        <v>110</v>
      </c>
      <c r="Z19" s="454"/>
      <c r="AA19" s="301">
        <v>8</v>
      </c>
      <c r="AB19" s="303"/>
      <c r="AC19" s="370">
        <v>8</v>
      </c>
      <c r="AD19" s="698"/>
      <c r="AE19" s="700"/>
      <c r="AF19" s="305" t="s">
        <v>40</v>
      </c>
      <c r="AG19" s="320" t="str">
        <f>IF(ISNA(MATCH(AC19,$AA$12:$AA$91,0)),"OFFICE",INDEX($Y$12:$Y$104,MATCH(AC19,$AA$12:$AA$91,0)))</f>
        <v>D2-Michel</v>
      </c>
      <c r="AH19" s="8"/>
      <c r="AJ19" s="595"/>
      <c r="AK19" s="564">
        <f>+AE18</f>
        <v>4</v>
      </c>
      <c r="AL19" s="297" t="str">
        <f t="shared" si="0"/>
        <v>C2-Robert</v>
      </c>
      <c r="AM19" s="273">
        <v>1</v>
      </c>
      <c r="AN19" s="489"/>
      <c r="AO19" s="595"/>
      <c r="AP19" s="564">
        <v>7</v>
      </c>
      <c r="AQ19" s="213"/>
      <c r="AR19" s="183" t="str">
        <f>IF(AM17=AM18,"résultat",IF(AM17&lt;AM18,AL17,AL18))</f>
        <v>B2-Gérard</v>
      </c>
      <c r="AS19" s="273">
        <v>1</v>
      </c>
      <c r="AT19" s="491"/>
      <c r="AU19" s="562"/>
      <c r="AV19" s="560"/>
      <c r="AW19" s="192"/>
      <c r="AX19" s="290" t="str">
        <f>IF(AI18+AI19=40," ",IF(AI18+AI19=43," ",IF(AI18+AI19=42,IF(AS19=AS20,"résultat",IF(AS19&gt;AS20,AR19,AR20)),(IF(AI18+AI19=32,IF(AS19=AS20,"résultat",IF(AS19&gt;AS20,AR19,AR20)))))))</f>
        <v>B2-Gérard</v>
      </c>
      <c r="AY19" s="272">
        <v>0</v>
      </c>
      <c r="BA19" s="493">
        <v>2</v>
      </c>
      <c r="BB19" s="113"/>
      <c r="BC19" s="461" t="str">
        <f>IF($AI18+$AI19=40," ",IF($AI18+$AI19=43,IF($AS17=$AS18,"résultat",IF($AS17&lt;$AS18,$AR17,$AR18)),(IF($AI18+$AI19=42,IF($AY18=$AY19,"résultat",IF($AY18&gt;$AY19,$AX18,$AX19)),(IF($AI18+$AI19=32,IF($AY18=$AY19,"résultat",IF($AY18&gt;$AY19,$AX18,$AX19))))))))</f>
        <v>C2-Robert</v>
      </c>
      <c r="BD19" s="2"/>
      <c r="BF19" s="558"/>
      <c r="BG19" s="604" t="str">
        <f>IF(AND(AO8&gt;9,AO8&lt;13),"OFFICE",IF(AND(AO8&gt;13,AO8&lt;17),BC27))</f>
        <v>C4-Jean Louis</v>
      </c>
      <c r="BH19" s="605"/>
      <c r="BI19" s="606"/>
      <c r="BJ19" s="193">
        <v>3</v>
      </c>
      <c r="BK19" s="1"/>
      <c r="BL19" s="202"/>
      <c r="BM19" s="522"/>
      <c r="BN19" s="203"/>
      <c r="BO19" s="377"/>
      <c r="BP19" s="440"/>
      <c r="BQ19" s="502"/>
      <c r="BR19" s="185"/>
      <c r="BS19" s="524"/>
      <c r="BT19" s="524"/>
      <c r="BU19" s="382"/>
      <c r="BV19" s="185"/>
      <c r="BW19" s="532"/>
      <c r="BX19" s="557">
        <v>1</v>
      </c>
      <c r="BY19" s="577" t="str">
        <f>IF(BV17=BV18,"résultat",IF(BV17&gt;BV18,BS17,BS18))</f>
        <v>C3-Rolland</v>
      </c>
      <c r="BZ19" s="578"/>
      <c r="CA19" s="579"/>
      <c r="CB19" s="446">
        <v>1</v>
      </c>
      <c r="CC19" s="500" t="str">
        <f>IF(CB19=CB20,"résultat",IF(CB19&gt;CB20,BY19,BY20))</f>
        <v>C3-Rolland</v>
      </c>
      <c r="CD19" s="555" t="s">
        <v>136</v>
      </c>
      <c r="CE19" s="556"/>
      <c r="CF19" s="556"/>
      <c r="CG19" s="556"/>
      <c r="CH19" s="556"/>
      <c r="CI19" s="1"/>
      <c r="CJ19" s="1"/>
      <c r="CL19" s="1"/>
      <c r="CS19" s="1"/>
      <c r="CV19" s="1"/>
      <c r="CX19" s="1"/>
      <c r="CY19" s="1"/>
      <c r="DB19" s="1"/>
      <c r="DD19" s="1"/>
      <c r="DH19" s="1"/>
      <c r="DI19" s="1"/>
      <c r="DJ19" s="1"/>
      <c r="DQ19" s="1"/>
      <c r="DU19" s="1"/>
      <c r="DY19" s="1"/>
    </row>
    <row r="20" spans="1:129" ht="27" customHeight="1" thickBot="1">
      <c r="A20" s="48"/>
      <c r="B20" s="702" t="s">
        <v>73</v>
      </c>
      <c r="C20" s="702"/>
      <c r="D20" s="702"/>
      <c r="E20" s="702"/>
      <c r="F20" s="702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301">
        <v>9</v>
      </c>
      <c r="X20" s="302"/>
      <c r="Y20" s="302" t="s">
        <v>111</v>
      </c>
      <c r="Z20" s="454"/>
      <c r="AA20" s="301">
        <v>9</v>
      </c>
      <c r="AB20" s="303"/>
      <c r="AC20" s="372">
        <v>9</v>
      </c>
      <c r="AD20" s="696" t="s">
        <v>10</v>
      </c>
      <c r="AE20" s="708">
        <v>5</v>
      </c>
      <c r="AF20" s="313" t="s">
        <v>8</v>
      </c>
      <c r="AG20" s="328" t="str">
        <f>IF(ISNA(MATCH(AC20,$AA$12:$AA$91,0)),"",INDEX($Y$12:$Y$104,MATCH(AC20,$AA$12:$AA$91,0)))</f>
        <v>A3-Jean</v>
      </c>
      <c r="AH20" s="8"/>
      <c r="AJ20" s="596"/>
      <c r="AK20" s="597"/>
      <c r="AL20" s="298" t="str">
        <f t="shared" si="0"/>
        <v>D2-Michel</v>
      </c>
      <c r="AM20" s="274">
        <v>0</v>
      </c>
      <c r="AN20" s="494"/>
      <c r="AO20" s="596"/>
      <c r="AP20" s="597"/>
      <c r="AQ20" s="214"/>
      <c r="AR20" s="300" t="str">
        <f>IF(AM19=AM20,"résultat",IF(AM19&lt;AM20,AL19,AL20))</f>
        <v>D2-Michel</v>
      </c>
      <c r="AS20" s="274">
        <v>0</v>
      </c>
      <c r="AT20" s="495"/>
      <c r="AU20" s="563"/>
      <c r="AV20" s="197"/>
      <c r="AW20" s="197"/>
      <c r="AX20" s="277"/>
      <c r="AY20" s="496"/>
      <c r="AZ20" s="210"/>
      <c r="BA20" s="210"/>
      <c r="BB20" s="210"/>
      <c r="BC20" s="518"/>
      <c r="BD20" s="210"/>
      <c r="BF20" s="503"/>
      <c r="BG20" s="521"/>
      <c r="BH20" s="521"/>
      <c r="BI20" s="377"/>
      <c r="BJ20" s="376"/>
      <c r="BK20" s="1"/>
      <c r="BL20" s="440"/>
      <c r="BM20" s="523"/>
      <c r="BN20" s="523"/>
      <c r="BO20" s="523"/>
      <c r="BP20" s="440"/>
      <c r="BQ20" s="441"/>
      <c r="BR20" s="185"/>
      <c r="BS20" s="524"/>
      <c r="BT20" s="524"/>
      <c r="BU20" s="382"/>
      <c r="BV20" s="185"/>
      <c r="BW20" s="532"/>
      <c r="BX20" s="558"/>
      <c r="BY20" s="647" t="str">
        <f>IF(BV22=BV23,"résultat",IF(BV22&gt;BV23,BS22,BS23))</f>
        <v>C7-Edmond</v>
      </c>
      <c r="BZ20" s="648"/>
      <c r="CA20" s="649"/>
      <c r="CB20" s="447">
        <v>0</v>
      </c>
      <c r="CC20" s="500" t="str">
        <f>IF(CB19=CB20,"résultat",IF(CB19&lt;CB20,BY19,BY20))</f>
        <v>C7-Edmond</v>
      </c>
      <c r="CD20" s="52"/>
      <c r="CE20" s="52"/>
      <c r="CF20" s="52"/>
      <c r="CI20" s="1"/>
      <c r="CJ20" s="1"/>
      <c r="CL20" s="1"/>
      <c r="CS20" s="1"/>
      <c r="CV20" s="1"/>
      <c r="CX20" s="1"/>
      <c r="CY20" s="1"/>
      <c r="DB20" s="1"/>
      <c r="DD20" s="1"/>
      <c r="DH20" s="1"/>
      <c r="DI20" s="1"/>
      <c r="DJ20" s="1"/>
      <c r="DQ20" s="1"/>
      <c r="DU20" s="1"/>
      <c r="DY20" s="1"/>
    </row>
    <row r="21" spans="1:129" ht="23.1" customHeight="1" thickTop="1" thickBot="1">
      <c r="A21" s="48"/>
      <c r="B21"/>
      <c r="C21"/>
      <c r="D21"/>
      <c r="E21"/>
      <c r="F2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301">
        <v>10</v>
      </c>
      <c r="X21" s="302"/>
      <c r="Y21" s="302" t="s">
        <v>112</v>
      </c>
      <c r="Z21" s="454"/>
      <c r="AA21" s="301">
        <v>10</v>
      </c>
      <c r="AB21" s="303"/>
      <c r="AC21" s="304">
        <v>10</v>
      </c>
      <c r="AD21" s="697"/>
      <c r="AE21" s="700"/>
      <c r="AF21" s="305" t="s">
        <v>9</v>
      </c>
      <c r="AG21" s="306" t="str">
        <f>IF(ISNA(MATCH(AC21,$AA$12:$AA$91,0)),"",INDEX($Y$12:$Y$104,MATCH(AC21,$AA$12:$AA$91,0)))</f>
        <v>B3-Paulette</v>
      </c>
      <c r="AH21" s="48"/>
      <c r="AJ21" s="594">
        <v>3</v>
      </c>
      <c r="AK21" s="559">
        <f>+AE20</f>
        <v>5</v>
      </c>
      <c r="AL21" s="295" t="str">
        <f t="shared" si="0"/>
        <v>A3-Jean</v>
      </c>
      <c r="AM21" s="271">
        <v>1</v>
      </c>
      <c r="AN21" s="489"/>
      <c r="AO21" s="594">
        <v>3</v>
      </c>
      <c r="AP21" s="559">
        <v>8</v>
      </c>
      <c r="AQ21" s="198"/>
      <c r="AR21" s="183" t="str">
        <f>IF(AM21=AM22,"résultat",IF(AM21&gt;AM22,AL21,AL22))</f>
        <v>A3-Jean</v>
      </c>
      <c r="AS21" s="275">
        <v>1</v>
      </c>
      <c r="AT21" s="491"/>
      <c r="AU21" s="561">
        <v>3</v>
      </c>
      <c r="AV21" s="199"/>
      <c r="AW21" s="199"/>
      <c r="AX21" s="200"/>
      <c r="AY21" s="499"/>
      <c r="AZ21" s="208"/>
      <c r="BA21" s="179"/>
      <c r="BB21" s="179"/>
      <c r="BC21" s="519"/>
      <c r="BD21" s="208"/>
      <c r="BF21" s="185"/>
      <c r="BG21" s="382"/>
      <c r="BH21" s="520"/>
      <c r="BI21" s="77"/>
      <c r="BJ21" s="185"/>
      <c r="BK21" s="1"/>
      <c r="BL21" s="185"/>
      <c r="BM21" s="524"/>
      <c r="BN21" s="524"/>
      <c r="BO21" s="382"/>
      <c r="BP21" s="185"/>
      <c r="BQ21" s="502"/>
      <c r="BR21" s="185"/>
      <c r="BS21" s="524"/>
      <c r="BT21" s="524"/>
      <c r="BU21" s="382"/>
      <c r="BV21" s="185"/>
      <c r="BW21" s="532"/>
      <c r="BZ21" s="1"/>
      <c r="CB21" s="450"/>
      <c r="CC21" s="501"/>
      <c r="CD21" s="149">
        <v>1</v>
      </c>
      <c r="CE21" s="52"/>
      <c r="CF21" s="565" t="str">
        <f>IF(OR(AND(CG11+CG12&gt;0,CG11+CG12&lt;9)),CC19," ")</f>
        <v>C3-Rolland</v>
      </c>
      <c r="CG21" s="566"/>
      <c r="CH21" s="567"/>
      <c r="CI21" s="1"/>
      <c r="CJ21" s="1"/>
      <c r="CL21" s="1"/>
      <c r="CS21" s="1"/>
      <c r="CV21" s="1"/>
      <c r="CX21" s="1"/>
      <c r="CY21" s="1"/>
      <c r="DB21" s="1"/>
      <c r="DD21" s="1"/>
      <c r="DH21" s="1"/>
      <c r="DI21" s="1"/>
      <c r="DJ21" s="1"/>
      <c r="DQ21" s="1"/>
      <c r="DU21" s="1"/>
      <c r="DY21" s="1"/>
    </row>
    <row r="22" spans="1:129" ht="23.1" customHeight="1" thickTop="1" thickBot="1">
      <c r="A22" s="237" t="s">
        <v>102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301">
        <v>11</v>
      </c>
      <c r="X22" s="302"/>
      <c r="Y22" s="302" t="s">
        <v>113</v>
      </c>
      <c r="AA22" s="301">
        <v>11</v>
      </c>
      <c r="AB22" s="303"/>
      <c r="AC22" s="304">
        <v>11</v>
      </c>
      <c r="AD22" s="697"/>
      <c r="AE22" s="699">
        <f>IF(OR(AND(J10&gt;170,J10&lt;180))," ",IF(OR(AND($J$10&gt;180,J10&lt;650)),6,IF(OR(AND(J10&gt;190,$J$10&lt;200))," ",0)))</f>
        <v>6</v>
      </c>
      <c r="AF22" s="313" t="s">
        <v>44</v>
      </c>
      <c r="AG22" s="314" t="str">
        <f>IF(ISNA(MATCH(AC22,$AA$12:$AA$91,0)),"",INDEX($Y$12:$Y$104,MATCH(AC22,$AA$12:$AA$91,0)))</f>
        <v>C3-Rolland</v>
      </c>
      <c r="AH22" s="528"/>
      <c r="AI22" s="552" t="str">
        <f>CONCATENATE(G17,G18)</f>
        <v>42</v>
      </c>
      <c r="AJ22" s="595"/>
      <c r="AK22" s="560"/>
      <c r="AL22" s="296" t="str">
        <f t="shared" si="0"/>
        <v>B3-Paulette</v>
      </c>
      <c r="AM22" s="272">
        <v>0</v>
      </c>
      <c r="AN22" s="489"/>
      <c r="AO22" s="595"/>
      <c r="AP22" s="560"/>
      <c r="AQ22" s="187"/>
      <c r="AR22" s="283" t="str">
        <f>IF(AM23=AM24,"résultat",IF(AM23&gt;AM24,AL23,AL24))</f>
        <v>C3-Rolland</v>
      </c>
      <c r="AS22" s="272">
        <v>0</v>
      </c>
      <c r="AT22" s="491"/>
      <c r="AU22" s="562"/>
      <c r="AV22" s="564"/>
      <c r="AW22" s="189"/>
      <c r="AX22" s="291" t="str">
        <f>IF(AI22+AI23=40," ",IF(AI22+AI23=43," ",IF(AI22+AI23=43,IF(0&lt;0,0,0),(IF(AI22+AI23=42,IF(AS21=AS22,"résultat",IF(AS21&lt;AS22,AR21,AR22)),IF(AI22+AI23=32,IF(AS21=AS22,"résultat",IF(AS21&lt;AS22,AR21,AR22))))))))</f>
        <v>C3-Rolland</v>
      </c>
      <c r="AY22" s="271">
        <v>1</v>
      </c>
      <c r="BA22" s="492">
        <v>1</v>
      </c>
      <c r="BB22" s="169"/>
      <c r="BC22" s="387" t="str">
        <f>IF($AI22+$AI23=40," ",IF($AI22+$AI23=43,IF($AS21=$AS22,"résultat",IF($AS21&gt;$AS22,$AR21,$AR22)),(IF($AI22+$AI23=42,IF($AS21=$AS22,"résultat",IF($AS21&gt;$AS22,$AR21,$AR22)),(IF($AI22+$AI23=32,IF($AS21=$AS22,"résultat",IF($AS21&gt;$AS22,$AR21,$AR22))))))))</f>
        <v>A3-Jean</v>
      </c>
      <c r="BD22" s="2"/>
      <c r="BF22" s="557">
        <v>3</v>
      </c>
      <c r="BG22" s="650" t="str">
        <f>IF(AO8&gt;9,BC22,IF(#REF!=#REF!,"résultat",IF(#REF!&gt;#REF!,#REF!,#REF!)))</f>
        <v>A3-Jean</v>
      </c>
      <c r="BH22" s="599"/>
      <c r="BI22" s="600"/>
      <c r="BJ22" s="181">
        <v>1</v>
      </c>
      <c r="BK22" s="1"/>
      <c r="BL22" s="185"/>
      <c r="BM22" s="524"/>
      <c r="BN22" s="524"/>
      <c r="BO22" s="382"/>
      <c r="BP22" s="185"/>
      <c r="BQ22" s="502"/>
      <c r="BR22" s="557">
        <v>2</v>
      </c>
      <c r="BS22" s="641" t="str">
        <f>IF(BP32=BP33,"résultat",IF(BP32&gt;BP33,BM32,BM33))</f>
        <v>C7-Edmond</v>
      </c>
      <c r="BT22" s="642"/>
      <c r="BU22" s="643"/>
      <c r="BV22" s="181">
        <v>1</v>
      </c>
      <c r="BW22" s="531"/>
      <c r="BZ22" s="1"/>
      <c r="CB22" s="450"/>
      <c r="CC22" s="501"/>
      <c r="CD22" s="504">
        <v>2</v>
      </c>
      <c r="CE22" s="52"/>
      <c r="CF22" s="568" t="str">
        <f>IF(OR(AND(CG11+CG12&gt;1,CG11+CG12&lt;9)),CC20," ")</f>
        <v>C7-Edmond</v>
      </c>
      <c r="CG22" s="569"/>
      <c r="CH22" s="570"/>
      <c r="CI22" s="1"/>
      <c r="CJ22" s="1"/>
      <c r="CL22" s="1"/>
      <c r="CS22" s="1"/>
      <c r="CV22" s="1"/>
      <c r="CX22" s="1"/>
      <c r="CY22" s="1"/>
      <c r="DB22" s="1"/>
      <c r="DD22" s="1"/>
      <c r="DH22" s="1"/>
      <c r="DI22" s="1"/>
      <c r="DJ22" s="1"/>
      <c r="DQ22" s="1"/>
      <c r="DU22" s="1"/>
      <c r="DY22" s="1"/>
    </row>
    <row r="23" spans="1:129" ht="23.1" customHeight="1" thickBot="1">
      <c r="A23" s="48" t="s">
        <v>149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301">
        <v>12</v>
      </c>
      <c r="X23" s="302"/>
      <c r="Y23" s="455" t="s">
        <v>114</v>
      </c>
      <c r="Z23" s="48"/>
      <c r="AA23" s="301">
        <v>12</v>
      </c>
      <c r="AB23" s="303"/>
      <c r="AC23" s="319">
        <f>IF(OR(AND($J$10&gt;179,$J$10&lt;650)),12,0)</f>
        <v>12</v>
      </c>
      <c r="AD23" s="698"/>
      <c r="AE23" s="700"/>
      <c r="AF23" s="437" t="str">
        <f>IF(AG23="Office"," ","D")</f>
        <v>D</v>
      </c>
      <c r="AG23" s="320" t="str">
        <f>IF(ISNA(MATCH(AC23,$AA$12:$AA$91,0)),"OFFICE",INDEX($Y$12:$Y$104,MATCH(AC23,$AA$12:$AA$91,0)))</f>
        <v>D3-Eliette</v>
      </c>
      <c r="AH23" s="48"/>
      <c r="AJ23" s="595"/>
      <c r="AK23" s="564">
        <f>+AE22</f>
        <v>6</v>
      </c>
      <c r="AL23" s="297" t="str">
        <f t="shared" si="0"/>
        <v>C3-Rolland</v>
      </c>
      <c r="AM23" s="273">
        <v>1</v>
      </c>
      <c r="AN23" s="489"/>
      <c r="AO23" s="595"/>
      <c r="AP23" s="564">
        <v>9</v>
      </c>
      <c r="AQ23" s="190"/>
      <c r="AR23" s="183" t="str">
        <f>IF(AM21=AM22,"résultat",IF(AM21&lt;AM22,AL21,AL22))</f>
        <v>B3-Paulette</v>
      </c>
      <c r="AS23" s="273">
        <v>1</v>
      </c>
      <c r="AT23" s="491"/>
      <c r="AU23" s="562"/>
      <c r="AV23" s="560"/>
      <c r="AW23" s="192"/>
      <c r="AX23" s="292" t="str">
        <f>IF(AI22+AI23=40," ",IF(AI22+AI23=43," ",IF(AI22+AI23=43,IF(0&gt;0,0,0),(IF(AI22+AI23=42,IF(AS23=AS24,"résultat",IF(AS23&gt;AS24,AR23,AR24)),(IF(AI22+AI23=32,IF(AS23=AS24,"résultat",IF(AS23&gt;AS24,AR23,AR24)))))))))</f>
        <v>B3-Paulette</v>
      </c>
      <c r="AY23" s="272">
        <v>0</v>
      </c>
      <c r="BA23" s="493">
        <v>2</v>
      </c>
      <c r="BB23" s="113"/>
      <c r="BC23" s="461" t="str">
        <f>IF($AI22+$AI23=40," ",IF($AI22+$AI23=43,IF($AS21=$AS22,"résultat",IF($AS21&gt;$AS22,$AR21,$AR22)),(IF($AI22+$AI23=42,IF($AY22=$AY23,"résultat",IF($AY22&gt;$AY23,$AX22,$AX23)),(IF($AI22+$AI23=32,IF($AY22=$AY23,"résultat",IF($AY22&gt;$AY23,$AX22,$AX23))))))))</f>
        <v>C3-Rolland</v>
      </c>
      <c r="BD23" s="2"/>
      <c r="BF23" s="558"/>
      <c r="BG23" s="604" t="str">
        <f>IF(AND(AO8=10),"OFFICE",IF(AND(AO8=12),BC15,IF(AND(AO8&gt;13,AO8&lt;17),BC31)))</f>
        <v>C5-Manuel</v>
      </c>
      <c r="BH23" s="605"/>
      <c r="BI23" s="606"/>
      <c r="BJ23" s="193">
        <v>3</v>
      </c>
      <c r="BK23" s="1"/>
      <c r="BL23" s="185"/>
      <c r="BM23" s="524"/>
      <c r="BN23" s="525" t="s">
        <v>9</v>
      </c>
      <c r="BO23" s="77"/>
      <c r="BP23" s="185"/>
      <c r="BQ23" s="502"/>
      <c r="BR23" s="558"/>
      <c r="BS23" s="644" t="str">
        <f>IF(BP40=BP41,"résultat",IF(BP40&gt;BP41,BM40,BM41))</f>
        <v>C1-Jean Claude</v>
      </c>
      <c r="BT23" s="645"/>
      <c r="BU23" s="646"/>
      <c r="BV23" s="193">
        <v>0</v>
      </c>
      <c r="BW23" s="531"/>
      <c r="BZ23" s="1"/>
      <c r="CB23" s="450"/>
      <c r="CC23" s="501"/>
      <c r="CD23" s="505">
        <v>3</v>
      </c>
      <c r="CE23" s="52"/>
      <c r="CF23" s="568" t="str">
        <f>IF(OR(AND(CG11+CG12&gt;2,CG11+CG12&lt;9)),CC25," ")</f>
        <v>C5-Manuel</v>
      </c>
      <c r="CG23" s="569"/>
      <c r="CH23" s="570"/>
      <c r="CI23" s="1"/>
      <c r="CJ23" s="1"/>
      <c r="CL23" s="1"/>
      <c r="CS23" s="1"/>
      <c r="CV23" s="1"/>
      <c r="CX23" s="1"/>
      <c r="CY23" s="1"/>
      <c r="DB23" s="1"/>
      <c r="DD23" s="1"/>
      <c r="DH23" s="1"/>
      <c r="DI23" s="1"/>
      <c r="DJ23" s="1"/>
      <c r="DQ23" s="1"/>
      <c r="DU23" s="1"/>
      <c r="DY23" s="1"/>
    </row>
    <row r="24" spans="1:129" ht="25.5" customHeight="1" thickBot="1">
      <c r="A24" s="48"/>
      <c r="B24" s="48" t="s">
        <v>150</v>
      </c>
      <c r="C24" s="48"/>
      <c r="D24" s="48"/>
      <c r="E24" s="48"/>
      <c r="F24" s="48"/>
      <c r="G24" s="48"/>
      <c r="H24" s="48"/>
      <c r="I24" s="528"/>
      <c r="J24" s="339"/>
      <c r="K24" s="345"/>
      <c r="L24" s="340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301">
        <v>13</v>
      </c>
      <c r="X24" s="302"/>
      <c r="Y24" s="302" t="s">
        <v>115</v>
      </c>
      <c r="Z24" s="454"/>
      <c r="AA24" s="301">
        <v>13</v>
      </c>
      <c r="AB24" s="303"/>
      <c r="AC24" s="327">
        <f>IF(OR(AND($J$10&gt;169,$J$10&lt;180)),12,IF(OR(AND($J$10&gt;179,$J$10&lt;230)),13,IF(OR(IF($J$10&gt;229,$J$10&lt;650)),13,0)))</f>
        <v>13</v>
      </c>
      <c r="AD24" s="696" t="s">
        <v>11</v>
      </c>
      <c r="AE24" s="699">
        <f>IF(OR(AND($J$10&gt;170,$J$10&lt;180)),6,IF(OR(AND($J$10&gt;180,$J$10&lt;650)),7,IF(OR(IF($J$10&gt;270,$J$10&lt;650)),0,0)))</f>
        <v>7</v>
      </c>
      <c r="AF24" s="313" t="s">
        <v>8</v>
      </c>
      <c r="AG24" s="328" t="str">
        <f>IF(ISNA(MATCH(AC24,$AA$12:$AA$91,0)),"",INDEX($Y$12:$Y$104,MATCH(AC24,$AA$12:$AA$91,0)))</f>
        <v>A4-Camille</v>
      </c>
      <c r="AH24" s="326"/>
      <c r="AJ24" s="596"/>
      <c r="AK24" s="597"/>
      <c r="AL24" s="194" t="str">
        <f t="shared" si="0"/>
        <v>D3-Eliette</v>
      </c>
      <c r="AM24" s="274">
        <v>0</v>
      </c>
      <c r="AN24" s="494"/>
      <c r="AO24" s="596"/>
      <c r="AP24" s="597"/>
      <c r="AQ24" s="195"/>
      <c r="AR24" s="300" t="str">
        <f>IF(AM23=AM24,"résultat",IF(AM23&lt;AM24,AL23,AL24))</f>
        <v>D3-Eliette</v>
      </c>
      <c r="AS24" s="274">
        <v>0</v>
      </c>
      <c r="AT24" s="495"/>
      <c r="AU24" s="563"/>
      <c r="AV24" s="197"/>
      <c r="AW24" s="197"/>
      <c r="AX24" s="277"/>
      <c r="AY24" s="496"/>
      <c r="AZ24" s="210"/>
      <c r="BA24" s="210"/>
      <c r="BB24" s="210"/>
      <c r="BC24" s="518"/>
      <c r="BD24" s="210"/>
      <c r="BF24" s="202"/>
      <c r="BG24" s="521"/>
      <c r="BH24" s="377"/>
      <c r="BI24" s="377"/>
      <c r="BJ24" s="440"/>
      <c r="BK24" s="1"/>
      <c r="BL24" s="557">
        <v>2</v>
      </c>
      <c r="BM24" s="580" t="str">
        <f>IF($BJ22=BJ23,"résultat",IF(BJ22&gt;BJ23,BG22,BG23))</f>
        <v>C5-Manuel</v>
      </c>
      <c r="BN24" s="581"/>
      <c r="BO24" s="582"/>
      <c r="BP24" s="181">
        <v>1</v>
      </c>
      <c r="BQ24" s="500"/>
      <c r="BR24" s="185"/>
      <c r="BS24" s="185"/>
      <c r="BT24" s="185"/>
      <c r="BU24" s="378"/>
      <c r="BV24" s="185"/>
      <c r="BW24" s="450"/>
      <c r="BX24" s="671" t="s">
        <v>134</v>
      </c>
      <c r="BY24" s="672"/>
      <c r="BZ24" s="672"/>
      <c r="CA24" s="672"/>
      <c r="CB24" s="673"/>
      <c r="CC24" s="501"/>
      <c r="CD24" s="505">
        <v>4</v>
      </c>
      <c r="CE24" s="52"/>
      <c r="CF24" s="568" t="str">
        <f>IF(OR(AND(CG11+CG12&gt;3,CG11+CG12&lt;9)),CC26," ")</f>
        <v>C1-Jean Claude</v>
      </c>
      <c r="CG24" s="569"/>
      <c r="CH24" s="570"/>
      <c r="CI24" s="1"/>
      <c r="CJ24" s="1"/>
      <c r="CL24" s="1"/>
      <c r="CS24" s="1"/>
      <c r="CV24" s="1"/>
      <c r="CX24" s="1"/>
      <c r="CY24" s="1"/>
      <c r="DB24" s="1"/>
      <c r="DD24" s="1"/>
      <c r="DH24" s="1"/>
      <c r="DI24" s="1"/>
      <c r="DJ24" s="1"/>
      <c r="DQ24" s="1"/>
      <c r="DU24" s="1"/>
      <c r="DY24" s="1"/>
    </row>
    <row r="25" spans="1:129" ht="23.1" customHeight="1" thickTop="1" thickBot="1">
      <c r="A25" s="48"/>
      <c r="B25" s="48"/>
      <c r="C25" s="48"/>
      <c r="D25" s="48"/>
      <c r="E25" s="48"/>
      <c r="F25" s="307"/>
      <c r="G25" s="307"/>
      <c r="H25" s="307"/>
      <c r="I25" s="528"/>
      <c r="J25" s="339"/>
      <c r="K25" s="346"/>
      <c r="L25" s="340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301">
        <v>14</v>
      </c>
      <c r="X25" s="302"/>
      <c r="Y25" s="302" t="s">
        <v>116</v>
      </c>
      <c r="Z25" s="436"/>
      <c r="AA25" s="301">
        <v>14</v>
      </c>
      <c r="AB25" s="303"/>
      <c r="AC25" s="335">
        <f>IF(OR(AND($J$10&gt;169,$J$10&lt;180)),13,IF(OR(AND($J$10&gt;179,$J$10&lt;650)),14,0))</f>
        <v>14</v>
      </c>
      <c r="AD25" s="697"/>
      <c r="AE25" s="700"/>
      <c r="AF25" s="305" t="s">
        <v>9</v>
      </c>
      <c r="AG25" s="306" t="str">
        <f>IF(ISNA(MATCH(AC25,$AA$12:$AA$91,0)),"",INDEX($Y$12:$Y$104,MATCH(AC25,$AA$12:$AA$91,0)))</f>
        <v>B4-Gisèle</v>
      </c>
      <c r="AH25" s="326"/>
      <c r="AJ25" s="594">
        <v>4</v>
      </c>
      <c r="AK25" s="559">
        <f>+AE24</f>
        <v>7</v>
      </c>
      <c r="AL25" s="270" t="str">
        <f t="shared" si="0"/>
        <v>A4-Camille</v>
      </c>
      <c r="AM25" s="271">
        <v>1</v>
      </c>
      <c r="AN25" s="489"/>
      <c r="AO25" s="594">
        <v>4</v>
      </c>
      <c r="AP25" s="559">
        <v>10</v>
      </c>
      <c r="AQ25" s="198"/>
      <c r="AR25" s="183" t="str">
        <f>IF(AM25=AM26,"résultat",IF(AM25&gt;AM26,AL25,AL26))</f>
        <v>A4-Camille</v>
      </c>
      <c r="AS25" s="275">
        <v>1</v>
      </c>
      <c r="AT25" s="491"/>
      <c r="AU25" s="561">
        <v>4</v>
      </c>
      <c r="AV25" s="199"/>
      <c r="AW25" s="199"/>
      <c r="AX25" s="200"/>
      <c r="AY25" s="499"/>
      <c r="AZ25" s="208"/>
      <c r="BA25" s="279"/>
      <c r="BB25" s="279"/>
      <c r="BC25" s="517"/>
      <c r="BD25" s="208"/>
      <c r="BF25" s="185"/>
      <c r="BG25" s="382"/>
      <c r="BH25" s="520"/>
      <c r="BI25" s="77"/>
      <c r="BJ25" s="185"/>
      <c r="BK25" s="1"/>
      <c r="BL25" s="558"/>
      <c r="BM25" s="583" t="str">
        <f>IF(BJ26=BJ27,"résultat",IF(BJ26&gt;BJ27,BG26,BG27))</f>
        <v>C6-Christian</v>
      </c>
      <c r="BN25" s="584"/>
      <c r="BO25" s="585"/>
      <c r="BP25" s="193">
        <v>0</v>
      </c>
      <c r="BQ25" s="500"/>
      <c r="BS25" s="1"/>
      <c r="BU25" s="2"/>
      <c r="BW25" s="450"/>
      <c r="BZ25" s="1"/>
      <c r="CB25" s="450"/>
      <c r="CC25" s="501" t="str">
        <f>IF(CB26=CB27,"résultat",IF(CB26&gt;CB27,BY26,BY27))</f>
        <v>C5-Manuel</v>
      </c>
      <c r="CD25" s="505">
        <v>5</v>
      </c>
      <c r="CE25" s="52"/>
      <c r="CF25" s="568" t="str">
        <f>IF(OR(AND(CG11+CG12&gt;4,CG11+CG12&lt;9)),CC34," ")</f>
        <v>C4-Jean Louis</v>
      </c>
      <c r="CG25" s="569"/>
      <c r="CH25" s="570"/>
      <c r="CI25" s="1"/>
      <c r="CJ25" s="1"/>
      <c r="CL25" s="1"/>
      <c r="CS25" s="1"/>
      <c r="CV25" s="1"/>
      <c r="CX25" s="1"/>
      <c r="CY25" s="1"/>
      <c r="DB25" s="1"/>
      <c r="DD25" s="1"/>
      <c r="DH25" s="1"/>
      <c r="DI25" s="1"/>
      <c r="DJ25" s="1"/>
      <c r="DQ25" s="1"/>
      <c r="DU25" s="1"/>
      <c r="DY25" s="1"/>
    </row>
    <row r="26" spans="1:129" ht="23.1" customHeight="1" thickTop="1" thickBot="1">
      <c r="A26" s="48" t="s">
        <v>75</v>
      </c>
      <c r="B26" s="48"/>
      <c r="C26" s="48"/>
      <c r="D26" s="48"/>
      <c r="E26" s="48"/>
      <c r="F26" s="307"/>
      <c r="G26" s="307"/>
      <c r="H26" s="307"/>
      <c r="I26" s="48"/>
      <c r="J26" s="340"/>
      <c r="K26" s="340"/>
      <c r="L26" s="340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301">
        <v>15</v>
      </c>
      <c r="X26" s="302"/>
      <c r="Y26" s="342" t="s">
        <v>117</v>
      </c>
      <c r="AA26" s="301">
        <v>15</v>
      </c>
      <c r="AB26" s="303"/>
      <c r="AC26" s="335">
        <f>IF(OR(AND($J$10&gt;169,$J$10&lt;180)),14,IF(OR(AND($J$10&gt;179,$J$10&lt;650)),15,0))</f>
        <v>15</v>
      </c>
      <c r="AD26" s="697"/>
      <c r="AE26" s="699">
        <f>IF(OR(AND($J$10&gt;170,$J$10&lt;190))," ",IF(OR(AND($J$10&gt;190,$J$10&lt;210)),8,IF(OR(IF($J$10&gt;210,$J$10&lt;220))," ",IF(OR(AND(J10&gt;220,J10&lt;240)),8,IF(OR(AND(J10&gt;240,J10&lt;650)),8,0)))))</f>
        <v>8</v>
      </c>
      <c r="AF26" s="313" t="s">
        <v>44</v>
      </c>
      <c r="AG26" s="314" t="str">
        <f>IF(ISNA(MATCH(AC26,$AA$12:$AA$91,0)),"",INDEX($Y$12:$Y$104,MATCH(AC26,$AA$12:$AA$91,0)))</f>
        <v>C4-Jean Louis</v>
      </c>
      <c r="AH26" s="48"/>
      <c r="AI26" s="515" t="str">
        <f>CONCATENATE(H17,H18)</f>
        <v>42</v>
      </c>
      <c r="AJ26" s="595"/>
      <c r="AK26" s="560"/>
      <c r="AL26" s="186" t="str">
        <f t="shared" si="0"/>
        <v>B4-Gisèle</v>
      </c>
      <c r="AM26" s="272">
        <v>0</v>
      </c>
      <c r="AN26" s="489"/>
      <c r="AO26" s="595"/>
      <c r="AP26" s="560"/>
      <c r="AQ26" s="187"/>
      <c r="AR26" s="283" t="str">
        <f>IF(AM27=AM28,"résultat",IF(AM27&gt;AM28,AL27,AL28))</f>
        <v>C4-Jean Louis</v>
      </c>
      <c r="AS26" s="272">
        <v>0</v>
      </c>
      <c r="AT26" s="491"/>
      <c r="AU26" s="562"/>
      <c r="AV26" s="564"/>
      <c r="AW26" s="189"/>
      <c r="AX26" s="294" t="str">
        <f>IF(AI26+AI27=30," ",IF(AI26+AI27=43," ",(IF(AI26+AI27=42,IF(AS25=AS26,"résultat",IF(AS25&lt;AS26,AR25,AR26)),IF(AI26+AI27=32,IF(AS25=AS26,"résultat",IF(AS25&lt;AS26,AR25,AR26)),IF(AI26+AI27=31,IF(AS25=AS26,"résultat",IF(AS25&gt;AS26,AR25,AR26))))))))</f>
        <v>C4-Jean Louis</v>
      </c>
      <c r="AY26" s="271">
        <v>1</v>
      </c>
      <c r="AZ26" s="440"/>
      <c r="BA26" s="492">
        <v>1</v>
      </c>
      <c r="BB26" s="169"/>
      <c r="BC26" s="387" t="str">
        <f>IF($AI26+$AI27=30," ",IF($AI26+$AI27=43,IF($AS25=$AS26,"résultat",IF($AS25&gt;$AS26,$AR25,$AR26)),(IF($AI26+$AI27=42,IF($AS25=$AS26,"résultat",IF($AS25&gt;$AS26,$AR25,$AR26)),(IF($AI26+$AI27=32,IF($AS25=$AS26,"résultat",IF($AS25&gt;$AS26,$AR25,$AR26))))))))</f>
        <v>A4-Camille</v>
      </c>
      <c r="BD26" s="2"/>
      <c r="BF26" s="557">
        <v>4</v>
      </c>
      <c r="BG26" s="598" t="str">
        <f>IF(AO8&gt;9,BC26,IF(#REF!=#REF!,"résultat",IF(#REF!&gt;#REF!,#REF!,#REF!)))</f>
        <v>A4-Camille</v>
      </c>
      <c r="BH26" s="599"/>
      <c r="BI26" s="600"/>
      <c r="BJ26" s="181">
        <v>1</v>
      </c>
      <c r="BK26" s="1"/>
      <c r="BL26" s="185"/>
      <c r="BM26" s="524"/>
      <c r="BN26" s="524"/>
      <c r="BO26" s="382"/>
      <c r="BP26" s="185"/>
      <c r="BQ26" s="502"/>
      <c r="BR26" s="185"/>
      <c r="BS26" s="185"/>
      <c r="BT26" s="185"/>
      <c r="BU26" s="378"/>
      <c r="BV26" s="185"/>
      <c r="BW26" s="450"/>
      <c r="BX26" s="557">
        <v>2</v>
      </c>
      <c r="BY26" s="574" t="str">
        <f>IF(OR(AND(CG11+CG12&gt;0,CG11+CG12&lt;3))," ",IF(BV17=BV18,"Perdant 1/2 A",IF(AND(CG11+CG12&gt;2,CG11+CG12&lt;9),IF(BV17&lt;BV18,BS17,BS18),0)))</f>
        <v>C5-Manuel</v>
      </c>
      <c r="BZ26" s="575"/>
      <c r="CA26" s="576"/>
      <c r="CB26" s="446">
        <v>1</v>
      </c>
      <c r="CC26" s="501" t="str">
        <f>IF(CB26=CB27,"résultat",IF(CB26&lt;CB27,BY26,BY27))</f>
        <v>C1-Jean Claude</v>
      </c>
      <c r="CD26" s="505">
        <v>6</v>
      </c>
      <c r="CE26" s="52"/>
      <c r="CF26" s="568" t="str">
        <f>IF(OR(AND(CG11+CG12&gt;5,CG11+CG12&lt;9)),CC35," ")</f>
        <v>B8-Thierry</v>
      </c>
      <c r="CG26" s="569"/>
      <c r="CH26" s="570"/>
      <c r="CI26" s="1"/>
      <c r="CJ26" s="1"/>
      <c r="CL26" s="1"/>
      <c r="CS26" s="1"/>
      <c r="CV26" s="1"/>
      <c r="CX26" s="1"/>
      <c r="CY26" s="1"/>
      <c r="DB26" s="1"/>
      <c r="DD26" s="1"/>
      <c r="DH26" s="1"/>
      <c r="DI26" s="1"/>
      <c r="DJ26" s="1"/>
      <c r="DQ26" s="1"/>
      <c r="DU26" s="1"/>
      <c r="DY26" s="1"/>
    </row>
    <row r="27" spans="1:129" ht="23.1" customHeight="1" thickBot="1">
      <c r="A27" s="48"/>
      <c r="B27" s="48" t="s">
        <v>154</v>
      </c>
      <c r="C27" s="48"/>
      <c r="D27" s="48"/>
      <c r="E27" s="48"/>
      <c r="F27" s="307"/>
      <c r="G27" s="307"/>
      <c r="H27" s="307"/>
      <c r="I27" s="48"/>
      <c r="J27" s="340"/>
      <c r="K27" s="345"/>
      <c r="L27" s="340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01">
        <v>16</v>
      </c>
      <c r="X27" s="302"/>
      <c r="Y27" s="456" t="s">
        <v>118</v>
      </c>
      <c r="AA27" s="301">
        <v>16</v>
      </c>
      <c r="AB27" s="303"/>
      <c r="AC27" s="343">
        <f>IF(OR(AND($J$10&gt;189,$J$10&lt;210)),16,IF(OR(AND($J$10&gt;219,$J$10&lt;650)),16,0))</f>
        <v>16</v>
      </c>
      <c r="AD27" s="698"/>
      <c r="AE27" s="701"/>
      <c r="AF27" s="305" t="str">
        <f>IF(AG27="Office"," ","D")</f>
        <v>D</v>
      </c>
      <c r="AG27" s="320" t="str">
        <f>IF(ISNA(MATCH(AC27,$AA$12:$AA$91,0)),"OFFICE",INDEX($Y$12:$Y$104,MATCH(AC27,$AA$12:$AA$91,0)))</f>
        <v>D4-Jeanine</v>
      </c>
      <c r="AH27" s="48"/>
      <c r="AJ27" s="595"/>
      <c r="AK27" s="564">
        <f>+AE26</f>
        <v>8</v>
      </c>
      <c r="AL27" s="180" t="str">
        <f t="shared" si="0"/>
        <v>C4-Jean Louis</v>
      </c>
      <c r="AM27" s="273">
        <v>1</v>
      </c>
      <c r="AN27" s="489"/>
      <c r="AO27" s="595"/>
      <c r="AP27" s="564">
        <v>11</v>
      </c>
      <c r="AQ27" s="190"/>
      <c r="AR27" s="183" t="str">
        <f>IF(AM25=AM26,"résultat",IF(AM25&lt;AM26,AL25,AL26))</f>
        <v>B4-Gisèle</v>
      </c>
      <c r="AS27" s="273">
        <v>1</v>
      </c>
      <c r="AT27" s="491"/>
      <c r="AU27" s="562"/>
      <c r="AV27" s="560"/>
      <c r="AW27" s="192"/>
      <c r="AX27" s="293" t="str">
        <f>IF(AI26+AI27=30," ",IF(AI26+AI27=43," ",(IF(AI26+AI27=42,IF(AS27=AS28,"résultat",IF(AS27&gt;AS28,AR27,AR28)),(IF(AI26+AI27=32,IF(AS27=AS28,"résultat",IF(AS27&gt;AS28,AR27,AR28)),(IF(AI26+AI27=31,IF(AS27=AS28,"résultat",IF(AS27&gt;AS28,AR27,AR28))))))))))</f>
        <v>B4-Gisèle</v>
      </c>
      <c r="AY27" s="272">
        <v>0</v>
      </c>
      <c r="AZ27" s="440"/>
      <c r="BA27" s="493">
        <v>2</v>
      </c>
      <c r="BB27" s="113"/>
      <c r="BC27" s="461" t="str">
        <f>IF($AI26+$AI27=30," ",IF($AI26+$AI27=43,IF($AS25=$AS26,"résultat",IF($AS25&lt;$AS26,$AR25,$AR26)),(IF($AI26+$AI27=42,IF($AY26=$AY27,"résultat",IF($AY26&gt;$AY27,$AX26,$AX27)),(IF($AI26+$AI27=32,IF($AY26=$AY27,"résultat",IF($AY26&gt;$AY27,$AX26,$AX27))))))))</f>
        <v>C4-Jean Louis</v>
      </c>
      <c r="BD27" s="2"/>
      <c r="BF27" s="558"/>
      <c r="BG27" s="604" t="str">
        <f>IF(AO8=10,BC15,IF(AO8=12,BC19,IF(AO8,BC35)))</f>
        <v>C6-Christian</v>
      </c>
      <c r="BH27" s="605"/>
      <c r="BI27" s="606"/>
      <c r="BJ27" s="193">
        <v>3</v>
      </c>
      <c r="BK27" s="1"/>
      <c r="BL27" s="185"/>
      <c r="BM27" s="524"/>
      <c r="BN27" s="524"/>
      <c r="BO27" s="382"/>
      <c r="BP27" s="185"/>
      <c r="BQ27" s="502"/>
      <c r="BR27" s="185"/>
      <c r="BS27" s="185"/>
      <c r="BT27" s="185"/>
      <c r="BU27" s="378"/>
      <c r="BV27" s="185"/>
      <c r="BW27" s="450"/>
      <c r="BX27" s="558"/>
      <c r="BY27" s="687" t="str">
        <f>IF(OR(AND(CG11+CG12&gt;0,CG11+CG12&lt;3))," ",IF(BV22=BV23,"Perdant 1/2 A",IF(AND(CG11+CG12&gt;2,CG11+CG12&lt;9),IF(BV22&lt;BV23,BS22,BS23),0)))</f>
        <v>C1-Jean Claude</v>
      </c>
      <c r="BZ27" s="688"/>
      <c r="CA27" s="689"/>
      <c r="CB27" s="447">
        <v>0</v>
      </c>
      <c r="CC27" s="501"/>
      <c r="CD27" s="505">
        <v>7</v>
      </c>
      <c r="CE27" s="52"/>
      <c r="CF27" s="568" t="str">
        <f>IF(OR(AND(CG11+CG12&gt;6,CG11+CG12&lt;9)),CC40," ")</f>
        <v>C6-Christian</v>
      </c>
      <c r="CG27" s="569"/>
      <c r="CH27" s="570"/>
      <c r="CI27" s="1"/>
      <c r="CJ27" s="1"/>
      <c r="CL27" s="1"/>
      <c r="CS27" s="1"/>
      <c r="CV27" s="1"/>
      <c r="CX27" s="1"/>
      <c r="CY27" s="1"/>
      <c r="DB27" s="1"/>
      <c r="DD27" s="1"/>
      <c r="DH27" s="1"/>
      <c r="DI27" s="1"/>
      <c r="DJ27" s="1"/>
      <c r="DQ27" s="1"/>
      <c r="DU27" s="1"/>
      <c r="DY27" s="1"/>
    </row>
    <row r="28" spans="1:129" ht="23.1" customHeight="1" thickBo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344">
        <v>17</v>
      </c>
      <c r="X28" s="342"/>
      <c r="Y28" s="302" t="s">
        <v>119</v>
      </c>
      <c r="Z28" s="458"/>
      <c r="AA28" s="301">
        <v>17</v>
      </c>
      <c r="AB28" s="303"/>
      <c r="AC28" s="327">
        <f>IF(OR(AND($J$10&gt;169,$J$10&lt;180)),15,IF(OR(AND($J$10&gt;179,$J$10&lt;190)),16,IF(OR(AND($J$10&gt;189,$J$10&lt;210)),17,IF(OR(AND($J$10&gt;209,$J$10&lt;220)),16,IF(OR(AND($J$10&gt;219,$J$10&lt;650)),17,0)))))</f>
        <v>17</v>
      </c>
      <c r="AD28" s="696" t="s">
        <v>20</v>
      </c>
      <c r="AE28" s="699">
        <f>IF(OR(AND($J$10&gt;170,$J$10&lt;180)),7,IF(OR(AND($J$10&gt;180,$J$10&lt;190)),8,IF(OR(IF($J$10&gt;190,$J$10&lt;210)),9,IF(OR(AND(J10&gt;210,J10&lt;220)),8,IF(OR(AND(J10&gt;220,J10&lt;650)),9,0)))))</f>
        <v>9</v>
      </c>
      <c r="AF28" s="313" t="s">
        <v>8</v>
      </c>
      <c r="AG28" s="328" t="str">
        <f>IF(ISNA(MATCH(AC28,$AA$12:$AA$91,0)),"",INDEX($Y$12:$Y$104,MATCH(AC28,$AA$12:$AA$91,0)))</f>
        <v>A5-Gilbert</v>
      </c>
      <c r="AH28" s="48"/>
      <c r="AJ28" s="596"/>
      <c r="AK28" s="597"/>
      <c r="AL28" s="194" t="str">
        <f t="shared" si="0"/>
        <v>D4-Jeanine</v>
      </c>
      <c r="AM28" s="274">
        <v>0</v>
      </c>
      <c r="AN28" s="494"/>
      <c r="AO28" s="596"/>
      <c r="AP28" s="597"/>
      <c r="AQ28" s="195"/>
      <c r="AR28" s="300" t="str">
        <f>IF(AM27=AM28,"résultat",IF(AM27&lt;AM28,AL27,AL28))</f>
        <v>D4-Jeanine</v>
      </c>
      <c r="AS28" s="274">
        <v>0</v>
      </c>
      <c r="AT28" s="495"/>
      <c r="AU28" s="563"/>
      <c r="AV28" s="197"/>
      <c r="AW28" s="197"/>
      <c r="AX28" s="201"/>
      <c r="AY28" s="496"/>
      <c r="AZ28" s="210"/>
      <c r="BA28" s="210"/>
      <c r="BB28" s="210"/>
      <c r="BC28" s="518"/>
      <c r="BD28" s="210"/>
      <c r="BF28" s="202"/>
      <c r="BG28" s="521"/>
      <c r="BH28" s="377"/>
      <c r="BI28" s="377"/>
      <c r="BJ28" s="440"/>
      <c r="BK28" s="1"/>
      <c r="BL28" s="185"/>
      <c r="BM28" s="524"/>
      <c r="BN28" s="524"/>
      <c r="BO28" s="382"/>
      <c r="BP28" s="185"/>
      <c r="BQ28" s="502"/>
      <c r="BR28" s="185"/>
      <c r="BS28" s="185"/>
      <c r="BT28" s="185"/>
      <c r="BU28" s="378"/>
      <c r="BV28" s="185"/>
      <c r="BW28" s="450"/>
      <c r="BZ28" s="1"/>
      <c r="CB28" s="450"/>
      <c r="CC28" s="501"/>
      <c r="CD28" s="506">
        <v>8</v>
      </c>
      <c r="CE28" s="52"/>
      <c r="CF28" s="571" t="str">
        <f>IF(OR(AND(CG11+CG12&gt;7,CG11+CG12&lt;9)),CC41," ")</f>
        <v>C2-Robert</v>
      </c>
      <c r="CG28" s="572"/>
      <c r="CH28" s="573"/>
      <c r="CI28" s="1"/>
      <c r="CJ28" s="1"/>
      <c r="CL28" s="1"/>
      <c r="CS28" s="1"/>
      <c r="CV28" s="1"/>
      <c r="CX28" s="1"/>
      <c r="CY28" s="1"/>
      <c r="DB28" s="1"/>
      <c r="DD28" s="1"/>
      <c r="DH28" s="1"/>
      <c r="DI28" s="1"/>
      <c r="DJ28" s="1"/>
      <c r="DQ28" s="1"/>
      <c r="DU28" s="1"/>
      <c r="DY28" s="1"/>
    </row>
    <row r="29" spans="1:129" ht="23.1" customHeight="1" thickTop="1" thickBot="1">
      <c r="A29" s="48" t="s">
        <v>74</v>
      </c>
      <c r="B29" s="48"/>
      <c r="C29" s="48"/>
      <c r="D29" s="48"/>
      <c r="E29" s="307"/>
      <c r="F29" s="307"/>
      <c r="G29" s="307"/>
      <c r="H29" s="30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301">
        <v>18</v>
      </c>
      <c r="X29" s="302"/>
      <c r="Y29" s="342" t="s">
        <v>120</v>
      </c>
      <c r="Z29" s="457"/>
      <c r="AA29" s="301">
        <v>18</v>
      </c>
      <c r="AB29" s="303"/>
      <c r="AC29" s="335">
        <f>IF(OR(AND($J$10&gt;169,$J$10&lt;180)),16,IF(OR(AND($J$10&gt;178,$J$10&lt;190)),17,IF(OR(AND($J$10&gt;189,$J$10&lt;210)),18,IF(OR(AND($J$10&gt;219,$J$10&lt;230)),18,IF(OR(AND($J$10&gt;209,$J$10&lt;220)),17,IF(OR(AND($J$10&gt;229,$J$10&lt;650)),18,0))))))</f>
        <v>18</v>
      </c>
      <c r="AD29" s="697"/>
      <c r="AE29" s="701"/>
      <c r="AF29" s="305" t="s">
        <v>9</v>
      </c>
      <c r="AG29" s="306" t="str">
        <f>IF(ISNA(MATCH(AC29,$AA$12:$AA$91,0)),"",INDEX($Y$12:$Y$104,MATCH(AC29,$AA$12:$AA$91,0)))</f>
        <v>B5-Pierre</v>
      </c>
      <c r="AH29" s="48"/>
      <c r="AJ29" s="594">
        <v>5</v>
      </c>
      <c r="AK29" s="564">
        <f>+AE28</f>
        <v>9</v>
      </c>
      <c r="AL29" s="180" t="str">
        <f t="shared" si="0"/>
        <v>A5-Gilbert</v>
      </c>
      <c r="AM29" s="275">
        <v>1</v>
      </c>
      <c r="AN29" s="489"/>
      <c r="AO29" s="594">
        <v>5</v>
      </c>
      <c r="AP29" s="564">
        <v>12</v>
      </c>
      <c r="AQ29" s="182"/>
      <c r="AR29" s="183" t="str">
        <f>IF(AM29=AM30,"résultat",IF(AM29&gt;AM30,AL29,AL30))</f>
        <v>A5-Gilbert</v>
      </c>
      <c r="AS29" s="275">
        <v>1</v>
      </c>
      <c r="AT29" s="491"/>
      <c r="AU29" s="561">
        <v>5</v>
      </c>
      <c r="AV29" s="184"/>
      <c r="AW29" s="184"/>
      <c r="AX29" s="204"/>
      <c r="AY29" s="499"/>
      <c r="AZ29" s="208"/>
      <c r="BA29" s="179"/>
      <c r="BB29" s="179"/>
      <c r="BC29" s="519"/>
      <c r="BD29" s="208"/>
      <c r="BF29" s="185"/>
      <c r="BG29" s="382"/>
      <c r="BH29" s="520"/>
      <c r="BI29" s="77"/>
      <c r="BJ29" s="185"/>
      <c r="BK29" s="1"/>
      <c r="BL29" s="185"/>
      <c r="BM29" s="524"/>
      <c r="BN29" s="524"/>
      <c r="BO29" s="382"/>
      <c r="BP29" s="185"/>
      <c r="BQ29" s="502"/>
      <c r="BR29" s="185"/>
      <c r="BS29" s="185"/>
      <c r="BT29" s="185"/>
      <c r="BU29" s="378"/>
      <c r="BV29" s="185"/>
      <c r="BW29" s="450"/>
      <c r="BZ29" s="1"/>
      <c r="CB29" s="450"/>
      <c r="CC29" s="501"/>
      <c r="CD29" s="1"/>
      <c r="CI29" s="1"/>
      <c r="CJ29" s="1"/>
      <c r="CL29" s="1"/>
      <c r="CS29" s="1"/>
      <c r="CV29" s="1"/>
      <c r="CX29" s="1"/>
      <c r="CY29" s="1"/>
      <c r="DB29" s="1"/>
      <c r="DD29" s="1"/>
      <c r="DH29" s="1"/>
      <c r="DI29" s="1"/>
      <c r="DJ29" s="1"/>
      <c r="DQ29" s="1"/>
      <c r="DU29" s="1"/>
      <c r="DY29" s="1"/>
    </row>
    <row r="30" spans="1:129" ht="23.1" customHeight="1" thickTop="1" thickBot="1">
      <c r="A30" s="48"/>
      <c r="B30" s="326" t="s">
        <v>151</v>
      </c>
      <c r="C30" s="48"/>
      <c r="D30" s="48"/>
      <c r="E30" s="307"/>
      <c r="F30" s="307"/>
      <c r="G30" s="307"/>
      <c r="H30" s="30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344">
        <v>19</v>
      </c>
      <c r="X30" s="342"/>
      <c r="Y30" s="342" t="s">
        <v>121</v>
      </c>
      <c r="AA30" s="301">
        <v>19</v>
      </c>
      <c r="AB30" s="303"/>
      <c r="AC30" s="304">
        <f>IF(OR(AND($J$10&gt;169,$J$10&lt;180)),17,IF(OR(AND($J$10&gt;179,$J$10&lt;190)),18,IF(OR(AND($J$10&gt;189,$J$10&lt;210)),19,IF(OR(AND($J$10&gt;209,$J$10&lt;220)),18,IF(OR(AND($J$10&gt;219,$J$10&lt;650)),19,0)))))</f>
        <v>19</v>
      </c>
      <c r="AD30" s="697"/>
      <c r="AE30" s="708">
        <f>IF(OR(AND($J$10&gt;170,$J$10&lt;180))," ",IF(OR(AND($J$10&gt;180,$J$10&lt;200))," ",IF(OR(IF($J$10&gt;200,$J$10&lt;210)),10,IF(OR(AND(J10&gt;210,J10&lt;230))," ",IF(OR(AND(J10&gt;230,J10&lt;250)),10,IF(OR(AND(J10&gt;250,J10&lt;260))," ",IF(OR(AND(J10&gt;260,J10&lt;6500)),10,0)))))))</f>
        <v>10</v>
      </c>
      <c r="AF30" s="313" t="s">
        <v>44</v>
      </c>
      <c r="AG30" s="314" t="str">
        <f>IF(ISNA(MATCH(AC30,$AA$12:$AA$91,0)),"",INDEX($Y$12:$Y$104,MATCH(AC30,$AA$12:$AA$91,0)))</f>
        <v>C5-Manuel</v>
      </c>
      <c r="AH30" s="48"/>
      <c r="AI30" s="552" t="str">
        <f>CONCATENATE(I17,I18)</f>
        <v>42</v>
      </c>
      <c r="AJ30" s="595"/>
      <c r="AK30" s="560"/>
      <c r="AL30" s="186" t="str">
        <f t="shared" si="0"/>
        <v>B5-Pierre</v>
      </c>
      <c r="AM30" s="272">
        <v>0</v>
      </c>
      <c r="AN30" s="489"/>
      <c r="AO30" s="595"/>
      <c r="AP30" s="560"/>
      <c r="AQ30" s="187"/>
      <c r="AR30" s="283" t="str">
        <f>IF(AM31=AM32,"résultat",IF(AM31&gt;AM32,AL31,AL32))</f>
        <v>C5-Manuel</v>
      </c>
      <c r="AS30" s="272">
        <v>0</v>
      </c>
      <c r="AT30" s="491"/>
      <c r="AU30" s="562"/>
      <c r="AV30" s="564"/>
      <c r="AW30" s="189"/>
      <c r="AX30" s="291" t="str">
        <f>IF(AI30+AI31=30," ",IF(AI30+AI31=43," ",IF(AI30+AI31=42,IF(AS29=AS30,"résultat",IF(AS29&lt;AS30,AR29,AR30)),IF(AI30+AI31=32,IF(AS29=AS30,"résultat",IF(AS29&lt;AS30,AR29,AR30))))))</f>
        <v>C5-Manuel</v>
      </c>
      <c r="AY30" s="271">
        <v>1</v>
      </c>
      <c r="AZ30" s="440"/>
      <c r="BA30" s="492">
        <v>1</v>
      </c>
      <c r="BB30" s="169"/>
      <c r="BC30" s="387" t="str">
        <f>IF($AI30+$AI31=30," ",IF($AI30+$AI31=43,IF($AS29=$AS30,"résultat",IF($AS29&gt;$AS30,$AR29,$AR30)),(IF($AI30+$AI31=42,IF($AS29=$AS30,"résultat",IF($AS29&gt;$AS30,$AR29,$AR30)),(IF($AI30+$AI31=32,IF($AS29=$AS30,"résultat",IF($AS29&gt;$AS30,$AR29,$AR30))))))))</f>
        <v>A5-Gilbert</v>
      </c>
      <c r="BD30" s="2"/>
      <c r="BF30" s="557">
        <v>5</v>
      </c>
      <c r="BG30" s="598" t="str">
        <f>IF(AO8&gt;9,BC30,IF(#REF!=#REF!,"résultat",IF(#REF!&gt;#REF!,#REF!,#REF!)))</f>
        <v>A5-Gilbert</v>
      </c>
      <c r="BH30" s="599"/>
      <c r="BI30" s="600"/>
      <c r="BJ30" s="181">
        <v>1</v>
      </c>
      <c r="BK30" s="1"/>
      <c r="BL30" s="185"/>
      <c r="BM30" s="524"/>
      <c r="BN30" s="524"/>
      <c r="BO30" s="382"/>
      <c r="BP30" s="185"/>
      <c r="BQ30" s="502"/>
      <c r="BR30" s="686" t="s">
        <v>135</v>
      </c>
      <c r="BS30" s="686"/>
      <c r="BT30" s="686"/>
      <c r="BU30" s="686"/>
      <c r="BV30" s="686"/>
      <c r="BW30" s="686"/>
      <c r="BX30" s="686"/>
      <c r="BY30" s="686"/>
      <c r="BZ30" s="686"/>
      <c r="CA30" s="686"/>
      <c r="CB30" s="686"/>
      <c r="CC30" s="501"/>
      <c r="CD30" s="1"/>
      <c r="CI30" s="1"/>
      <c r="CJ30" s="1"/>
      <c r="CL30" s="1"/>
      <c r="CS30" s="1"/>
      <c r="CV30" s="1"/>
      <c r="CX30" s="1"/>
      <c r="CY30" s="1"/>
      <c r="DB30" s="1"/>
      <c r="DD30" s="1"/>
      <c r="DH30" s="1"/>
      <c r="DI30" s="1"/>
      <c r="DJ30" s="1"/>
      <c r="DQ30" s="1"/>
      <c r="DU30" s="1"/>
      <c r="DY30" s="1"/>
    </row>
    <row r="31" spans="1:129" ht="23.1" customHeight="1" thickBot="1">
      <c r="A31" s="48"/>
      <c r="B31" s="48"/>
      <c r="C31" s="48"/>
      <c r="D31" s="48"/>
      <c r="E31" s="307"/>
      <c r="F31" s="307"/>
      <c r="G31" s="307"/>
      <c r="H31" s="30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301">
        <v>20</v>
      </c>
      <c r="X31" s="302"/>
      <c r="Y31" s="435" t="s">
        <v>144</v>
      </c>
      <c r="AA31" s="301">
        <v>20</v>
      </c>
      <c r="AB31" s="303"/>
      <c r="AC31" s="343">
        <f>IF(OR(AND($J$10&gt;199,$J$10&lt;210)),20,IF(OR(AND($J$10&gt;229,$J$10&lt;250)),20,IF(OR(AND($J$10&gt;259,$J$10&lt;650)),20,0)))</f>
        <v>20</v>
      </c>
      <c r="AD31" s="698"/>
      <c r="AE31" s="700"/>
      <c r="AF31" s="305" t="str">
        <f>IF(AG31="Office"," ","D")</f>
        <v>D</v>
      </c>
      <c r="AG31" s="320" t="str">
        <f>IF(ISNA(MATCH(AC31,$AA$12:$AA$91,0)),"OFFICE",INDEX($Y$12:$Y$104,MATCH(AC31,$AA$12:$AA$91,0)))</f>
        <v>D5-Mauice</v>
      </c>
      <c r="AH31" s="48"/>
      <c r="AJ31" s="595"/>
      <c r="AK31" s="564">
        <f>+AE30</f>
        <v>10</v>
      </c>
      <c r="AL31" s="180" t="str">
        <f t="shared" si="0"/>
        <v>C5-Manuel</v>
      </c>
      <c r="AM31" s="273">
        <v>1</v>
      </c>
      <c r="AN31" s="489"/>
      <c r="AO31" s="595"/>
      <c r="AP31" s="564">
        <v>13</v>
      </c>
      <c r="AQ31" s="190"/>
      <c r="AR31" s="183" t="str">
        <f>IF(AM29=AM30,"résultat",IF(AM29&lt;AM30,AL29,AL30))</f>
        <v>B5-Pierre</v>
      </c>
      <c r="AS31" s="273">
        <v>1</v>
      </c>
      <c r="AT31" s="491"/>
      <c r="AU31" s="562"/>
      <c r="AV31" s="560"/>
      <c r="AW31" s="192"/>
      <c r="AX31" s="281" t="str">
        <f>IF(AI30+AI31=30," ",IF(AI30+AI31=43," ",(IF(AI30+AI31=42,IF(AS31=AS32,"résultat",IF(AS31&gt;AS32,AR31,AR32)),(IF(AI30+AI31=32,IF(AS31=AS32,"résultat",IF(AS31&gt;AS32,AR31,AR32))))))))</f>
        <v>B5-Pierre</v>
      </c>
      <c r="AY31" s="272">
        <v>0</v>
      </c>
      <c r="AZ31" s="440"/>
      <c r="BA31" s="507">
        <v>2</v>
      </c>
      <c r="BB31" s="113"/>
      <c r="BC31" s="461" t="str">
        <f>IF($AI30+$AI31=30," ",IF($AI30+$AI31=43,IF($AS29=$AS30,"résultat",IF($AS29&lt;$AS30,$AR29,$AR30)),(IF($AI30+$AI31=42,IF($AY30=$AY31,"résultat",IF($AY30&gt;$AY31,$AX30,$AX31)),(IF($AI30+$AI31=32,IF($AY30=$AY31,"résultat",IF($AY30&gt;$AY31,$AX30,$AX31))))))))</f>
        <v>C5-Manuel</v>
      </c>
      <c r="BD31" s="2"/>
      <c r="BF31" s="558"/>
      <c r="BG31" s="604" t="str">
        <f>IF(AND(AO8=10),BC19,IF(AND(AO8=12),BC23,IF(AND(AO8&gt;13,AO8&lt;17),BC39)))</f>
        <v>C7-Edmond</v>
      </c>
      <c r="BH31" s="605"/>
      <c r="BI31" s="606"/>
      <c r="BJ31" s="193">
        <v>3</v>
      </c>
      <c r="BK31" s="1"/>
      <c r="BL31" s="185"/>
      <c r="BM31" s="524"/>
      <c r="BN31" s="525" t="s">
        <v>44</v>
      </c>
      <c r="BO31" s="77"/>
      <c r="BP31" s="185"/>
      <c r="BQ31" s="502"/>
      <c r="BR31" s="178"/>
      <c r="BS31" s="178"/>
      <c r="BT31" s="178"/>
      <c r="BU31" s="375"/>
      <c r="BV31" s="178"/>
      <c r="BW31" s="450"/>
      <c r="BZ31" s="1"/>
      <c r="CB31" s="450"/>
      <c r="CC31" s="501"/>
      <c r="CD31" s="1"/>
      <c r="CI31" s="1"/>
      <c r="CJ31" s="1"/>
      <c r="CL31" s="1"/>
      <c r="CS31" s="1"/>
      <c r="CV31" s="1"/>
      <c r="CX31" s="1"/>
      <c r="CY31" s="1"/>
      <c r="DB31" s="1"/>
      <c r="DD31" s="1"/>
      <c r="DH31" s="1"/>
      <c r="DI31" s="1"/>
      <c r="DJ31" s="1"/>
      <c r="DQ31" s="1"/>
      <c r="DU31" s="1"/>
      <c r="DY31" s="1"/>
    </row>
    <row r="32" spans="1:129" ht="23.1" customHeight="1" thickBot="1">
      <c r="A32" s="48" t="s">
        <v>152</v>
      </c>
      <c r="B32" s="48"/>
      <c r="C32" s="48"/>
      <c r="D32" s="48"/>
      <c r="E32" s="307"/>
      <c r="F32" s="307"/>
      <c r="G32" s="307"/>
      <c r="H32" s="307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344">
        <v>21</v>
      </c>
      <c r="X32" s="342"/>
      <c r="Y32" s="302" t="s">
        <v>122</v>
      </c>
      <c r="Z32" s="458"/>
      <c r="AA32" s="301">
        <v>21</v>
      </c>
      <c r="AB32" s="48"/>
      <c r="AC32" s="347">
        <f>IF(OR(AND($J$10&gt;209,$J$10&lt;220)),19,IF(OR(AND(J10&gt;219,J10&lt;230)),20,IF(OR(AND($J$10&gt;230,$J$10&lt;250)),21,IF(OR(AND($J$10&gt;249,$J$10&lt;260)),20,IF(OR(AND($J$10&gt;259,$J$10&lt;650)),21,0)))))</f>
        <v>21</v>
      </c>
      <c r="AD32" s="696" t="s">
        <v>21</v>
      </c>
      <c r="AE32" s="699">
        <f>IF(OR(AND(J10&gt;170,J10&lt;210))," ",IF(OR(AND(J10&gt;210,J10&lt;220)),9,IF(OR(AND(J10&gt;220,J10&lt;230)),10,IF(OR(AND($J$10&gt;230,J10&lt;250)),11,IF(OR(AND(J10&gt;250,$J$10&lt;260)),10,IF(OR(AND(J10&gt;260,J10&lt;650)),11,0))))))</f>
        <v>11</v>
      </c>
      <c r="AF32" s="313" t="s">
        <v>8</v>
      </c>
      <c r="AG32" s="328" t="str">
        <f>IF(ISNA(MATCH(AC32,$AA$12:$AA$91,0)),"",INDEX($Y$12:$Y$104,MATCH(AC32,$AA$12:$AA$91,0)))</f>
        <v>A6-Raymond</v>
      </c>
      <c r="AH32" s="48"/>
      <c r="AJ32" s="596"/>
      <c r="AK32" s="597"/>
      <c r="AL32" s="194" t="str">
        <f t="shared" si="0"/>
        <v>D5-Mauice</v>
      </c>
      <c r="AM32" s="274">
        <v>0</v>
      </c>
      <c r="AN32" s="494"/>
      <c r="AO32" s="596"/>
      <c r="AP32" s="597"/>
      <c r="AQ32" s="195"/>
      <c r="AR32" s="196" t="str">
        <f>IF(AM31=AM32,"résultat",IF(AM31&lt;AM32,AL31,AL32))</f>
        <v>D5-Mauice</v>
      </c>
      <c r="AS32" s="274">
        <v>0</v>
      </c>
      <c r="AT32" s="495"/>
      <c r="AU32" s="563"/>
      <c r="AV32" s="197"/>
      <c r="AW32" s="197"/>
      <c r="AX32" s="277"/>
      <c r="AY32" s="496"/>
      <c r="AZ32" s="210"/>
      <c r="BA32" s="210"/>
      <c r="BB32" s="210"/>
      <c r="BC32" s="518"/>
      <c r="BD32" s="210"/>
      <c r="BF32" s="202"/>
      <c r="BG32" s="521"/>
      <c r="BH32" s="377"/>
      <c r="BI32" s="377"/>
      <c r="BJ32" s="440"/>
      <c r="BK32" s="1"/>
      <c r="BL32" s="557">
        <v>3</v>
      </c>
      <c r="BM32" s="580" t="str">
        <f>IF($BJ30=BJ31,"résultat",IF(BJ30&gt;BJ31,BG30,BG31))</f>
        <v>C7-Edmond</v>
      </c>
      <c r="BN32" s="581"/>
      <c r="BO32" s="582"/>
      <c r="BP32" s="181">
        <v>1</v>
      </c>
      <c r="BQ32" s="500"/>
      <c r="BR32" s="25"/>
      <c r="BS32" s="690" t="s">
        <v>42</v>
      </c>
      <c r="BT32" s="691"/>
      <c r="BU32" s="692"/>
      <c r="BV32" s="25"/>
      <c r="BW32" s="450"/>
      <c r="BX32" s="674" t="s">
        <v>86</v>
      </c>
      <c r="BY32" s="675"/>
      <c r="BZ32" s="675"/>
      <c r="CA32" s="675"/>
      <c r="CB32" s="676"/>
      <c r="CC32" s="501"/>
      <c r="CD32" s="1"/>
      <c r="CI32" s="1"/>
      <c r="CJ32" s="1"/>
      <c r="CL32" s="1"/>
      <c r="CS32" s="1"/>
      <c r="CV32" s="1"/>
      <c r="CX32" s="1"/>
      <c r="CY32" s="1"/>
      <c r="DB32" s="1"/>
      <c r="DD32" s="1"/>
      <c r="DH32" s="1"/>
      <c r="DI32" s="1"/>
      <c r="DJ32" s="1"/>
      <c r="DQ32" s="1"/>
      <c r="DU32" s="1"/>
      <c r="DY32" s="1"/>
    </row>
    <row r="33" spans="1:129" ht="23.1" customHeight="1" thickTop="1" thickBot="1">
      <c r="A33" s="48"/>
      <c r="B33" s="48"/>
      <c r="C33" s="48"/>
      <c r="D33" s="48"/>
      <c r="E33" s="307"/>
      <c r="F33" s="307"/>
      <c r="G33" s="307"/>
      <c r="H33" s="30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301">
        <v>22</v>
      </c>
      <c r="X33" s="302"/>
      <c r="Y33" s="342" t="s">
        <v>123</v>
      </c>
      <c r="Z33" s="459"/>
      <c r="AA33" s="301">
        <v>22</v>
      </c>
      <c r="AB33" s="48"/>
      <c r="AC33" s="304">
        <f>IF(OR(AND($J$10&gt;209,$J$10&lt;220)),20,IF(OR(AND(J10&gt;219,J10&lt;230)),21,IF(OR(AND($J$10&gt;230,$J$10&lt;250)),22,IF(OR(AND($J$10&gt;249,$J$10&lt;260)),21,IF(OR(AND($J$10&gt;259,$J$10&lt;650)),22,0)))))</f>
        <v>22</v>
      </c>
      <c r="AD33" s="697"/>
      <c r="AE33" s="700"/>
      <c r="AF33" s="305" t="s">
        <v>9</v>
      </c>
      <c r="AG33" s="306" t="str">
        <f>IF(ISNA(MATCH(AC33,$AA$12:$AA$91,0)),"",INDEX($Y$12:$Y$104,MATCH(AC33,$AA$12:$AA$91,0)))</f>
        <v>B6-Claudette</v>
      </c>
      <c r="AH33" s="48"/>
      <c r="AJ33" s="594">
        <v>6</v>
      </c>
      <c r="AK33" s="559">
        <f>+AE32</f>
        <v>11</v>
      </c>
      <c r="AL33" s="180" t="str">
        <f t="shared" si="0"/>
        <v>A6-Raymond</v>
      </c>
      <c r="AM33" s="275">
        <v>1</v>
      </c>
      <c r="AN33" s="489"/>
      <c r="AO33" s="594">
        <v>6</v>
      </c>
      <c r="AP33" s="559">
        <v>14</v>
      </c>
      <c r="AQ33" s="198"/>
      <c r="AR33" s="183" t="str">
        <f>IF(AM33=AM34,"résultat",IF(AM33&gt;AM34,AL33,AL34))</f>
        <v>A6-Raymond</v>
      </c>
      <c r="AS33" s="275">
        <v>2</v>
      </c>
      <c r="AT33" s="491"/>
      <c r="AU33" s="561">
        <v>6</v>
      </c>
      <c r="AV33" s="199"/>
      <c r="AW33" s="199"/>
      <c r="AX33" s="200"/>
      <c r="AY33" s="499"/>
      <c r="AZ33" s="208"/>
      <c r="BA33" s="197"/>
      <c r="BB33" s="197"/>
      <c r="BC33" s="517"/>
      <c r="BD33" s="208"/>
      <c r="BF33" s="185"/>
      <c r="BG33" s="382"/>
      <c r="BH33" s="520"/>
      <c r="BI33" s="77"/>
      <c r="BJ33" s="185"/>
      <c r="BK33" s="1"/>
      <c r="BL33" s="558"/>
      <c r="BM33" s="583" t="str">
        <f>IF(BJ34=BJ35,"résultat",IF(BJ34&gt;BJ35,BG34,BG35))</f>
        <v>B8-Thierry</v>
      </c>
      <c r="BN33" s="584"/>
      <c r="BO33" s="585"/>
      <c r="BP33" s="193">
        <v>0</v>
      </c>
      <c r="BQ33" s="500"/>
      <c r="BR33" s="25" t="s">
        <v>1</v>
      </c>
      <c r="BS33" s="25"/>
      <c r="BT33" s="25"/>
      <c r="BU33" s="379"/>
      <c r="BV33" s="25" t="s">
        <v>0</v>
      </c>
      <c r="BW33" s="450"/>
      <c r="BX33" s="25" t="s">
        <v>1</v>
      </c>
      <c r="BY33" s="25"/>
      <c r="BZ33" s="25"/>
      <c r="CA33" s="379"/>
      <c r="CB33" s="448" t="s">
        <v>0</v>
      </c>
      <c r="CC33" s="501"/>
      <c r="CD33" s="1"/>
      <c r="CI33" s="1"/>
      <c r="CJ33" s="1"/>
      <c r="CL33" s="1"/>
      <c r="CS33" s="1"/>
      <c r="CV33" s="1"/>
      <c r="CX33" s="1"/>
      <c r="CY33" s="1"/>
      <c r="DB33" s="1"/>
      <c r="DD33" s="1"/>
      <c r="DH33" s="1"/>
      <c r="DI33" s="1"/>
      <c r="DJ33" s="1"/>
      <c r="DQ33" s="1"/>
      <c r="DU33" s="1"/>
      <c r="DY33" s="1"/>
    </row>
    <row r="34" spans="1:129" ht="24.75" customHeight="1" thickTop="1" thickBot="1">
      <c r="A34" s="48"/>
      <c r="B34" s="48"/>
      <c r="C34" s="51"/>
      <c r="D34" s="48"/>
      <c r="E34" s="307"/>
      <c r="F34" s="307"/>
      <c r="G34" s="307"/>
      <c r="H34" s="30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344">
        <v>23</v>
      </c>
      <c r="X34" s="342"/>
      <c r="Y34" s="302" t="s">
        <v>124</v>
      </c>
      <c r="AA34" s="301">
        <v>23</v>
      </c>
      <c r="AB34" s="48"/>
      <c r="AC34" s="304">
        <f>IF(OR(AND($J$10&gt;209,$J$10&lt;220)),21,IF(OR(AND(J10&gt;219,J10&lt;230)),22,IF(OR(AND($J$10&gt;230,$J$10&lt;250)),23,IF(OR(AND($J$10&gt;249,$J$10&lt;260)),22,IF(OR(AND($J$10&gt;259,$J$10&lt;650)),23,0)))))</f>
        <v>23</v>
      </c>
      <c r="AD34" s="697"/>
      <c r="AE34" s="699">
        <f>IF(OR(AND(J10&gt;170,J10&lt;210))," ",IF(OR(AND(J10&gt;210,J10&lt;240))," ",IF(OR(AND($J$10&gt;240,J10&lt;250)),12,IF(OR(AND(J10&gt;250,$J$10&lt;270))," ",IF(OR(AND(J10&gt;270,J10&lt;290)),12,IF(OR(AND(J10&gt;290,J10&lt;300))," ",IF(OR(AND(J10&gt;300,J10&lt;650)),12,0)))))))</f>
        <v>12</v>
      </c>
      <c r="AF34" s="313" t="s">
        <v>44</v>
      </c>
      <c r="AG34" s="314" t="str">
        <f>IF(ISNA(MATCH(AC34,$AA$12:$AA$91,0)),"",INDEX($Y$12:$Y$104,MATCH(AC34,$AA$12:$AA$91,0)))</f>
        <v>C6-Christian</v>
      </c>
      <c r="AH34" s="48"/>
      <c r="AI34" s="552" t="str">
        <f>CONCATENATE(J17,J18)</f>
        <v>42</v>
      </c>
      <c r="AJ34" s="595"/>
      <c r="AK34" s="560"/>
      <c r="AL34" s="186" t="str">
        <f t="shared" si="0"/>
        <v>B6-Claudette</v>
      </c>
      <c r="AM34" s="272">
        <v>0</v>
      </c>
      <c r="AN34" s="489"/>
      <c r="AO34" s="595"/>
      <c r="AP34" s="560"/>
      <c r="AQ34" s="187"/>
      <c r="AR34" s="188" t="str">
        <f>IF(AM35=AM36,"résultat",IF(AM35&gt;AM36,AL35,AL36))</f>
        <v>C6-Christian</v>
      </c>
      <c r="AS34" s="272">
        <v>0</v>
      </c>
      <c r="AT34" s="491"/>
      <c r="AU34" s="562"/>
      <c r="AV34" s="564"/>
      <c r="AW34" s="189"/>
      <c r="AX34" s="280" t="str">
        <f>IF(AI34+AI35=0," ",IF(AI34+AI35=43,"&amp;",(IF(AI34+AI35=42,IF(AS33=AS34,"résultat",IF(AS33&lt;AS34,AR33,AR34)),IF(AI34+AI35=32,IF(AS33=AS34,"résultat",IF(AS33&lt;AS34,AR33,AR34)))))))</f>
        <v>C6-Christian</v>
      </c>
      <c r="AY34" s="271">
        <v>1</v>
      </c>
      <c r="AZ34" s="440"/>
      <c r="BA34" s="508">
        <v>1</v>
      </c>
      <c r="BB34" s="79"/>
      <c r="BC34" s="387" t="str">
        <f>IF(AI34+AI35=0," ",IF($AI34+$AI35=43,IF($AS33=$AS34,"résultat",IF($AS33&gt;$AS34,$AR33,$AR34)),(IF($AI34+$AI35=42,IF($AS33=$AS34,"résultat",IF($AS33&gt;$AS34,$AR33,$AR34)),(IF($AI34+$AI35=32,IF($AS33=$AS34,"résultat",IF($AS33&gt;$AS34,$AR33,$AR34))))))))</f>
        <v>A6-Raymond</v>
      </c>
      <c r="BD34" s="2"/>
      <c r="BF34" s="557">
        <v>6</v>
      </c>
      <c r="BG34" s="598" t="str">
        <f>IF(AO8=10,BC23,IF(AO8=12,BC34,IF(AO8=14,BC34,IF(AO8=16,BC34))))</f>
        <v>A6-Raymond</v>
      </c>
      <c r="BH34" s="599"/>
      <c r="BI34" s="600"/>
      <c r="BJ34" s="181">
        <v>1</v>
      </c>
      <c r="BK34" s="1"/>
      <c r="BL34" s="185"/>
      <c r="BM34" s="524"/>
      <c r="BN34" s="524"/>
      <c r="BO34" s="382"/>
      <c r="BP34" s="185"/>
      <c r="BQ34" s="502"/>
      <c r="BR34" s="586">
        <v>3</v>
      </c>
      <c r="BS34" s="588" t="str">
        <f>IF(OR(AND(CG11+CG12&gt;0,CG11+CG12&lt;5))," ",IF(BP16=BP17,"Perdant 1/4 A",IF(AND(CG11+CG12&gt;4,CG11+CG12&lt;9),IF(BP16&lt;BP17,BM16,BM17),0)))</f>
        <v>C4-Jean Louis</v>
      </c>
      <c r="BT34" s="589"/>
      <c r="BU34" s="590"/>
      <c r="BV34" s="181">
        <v>1</v>
      </c>
      <c r="BW34" s="501" t="str">
        <f>IF(BV34=BV35,"résultat",IF(BV34&gt;BV35,BS34,BS35))</f>
        <v>C4-Jean Louis</v>
      </c>
      <c r="BX34" s="654">
        <v>3</v>
      </c>
      <c r="BY34" s="680" t="str">
        <f>IF(OR(CG11+CG12=0),"OFFICE",IF(AND(BV34=BV35),"G. 1ère Part. Rep.A",IF(AND(CG11+CG12&gt;4,CG11+CG12&lt;9),BW34," ")))</f>
        <v>C4-Jean Louis</v>
      </c>
      <c r="BZ34" s="681"/>
      <c r="CA34" s="682"/>
      <c r="CB34" s="181">
        <v>1</v>
      </c>
      <c r="CC34" s="501" t="str">
        <f>IF(CB34=CB35,"résultat",IF(CB34&gt;CB35,BY34,BY35))</f>
        <v>C4-Jean Louis</v>
      </c>
      <c r="CD34" s="1"/>
      <c r="CI34" s="1"/>
      <c r="CJ34" s="1"/>
      <c r="CL34" s="1"/>
      <c r="CS34" s="1"/>
      <c r="CV34" s="1"/>
      <c r="CX34" s="1"/>
      <c r="CY34" s="1"/>
      <c r="DB34" s="1"/>
      <c r="DD34" s="1"/>
      <c r="DH34" s="1"/>
      <c r="DI34" s="1"/>
      <c r="DJ34" s="1"/>
      <c r="DQ34" s="1"/>
      <c r="DU34" s="1"/>
      <c r="DY34" s="1"/>
    </row>
    <row r="35" spans="1:129" ht="24.75" customHeight="1" thickBot="1">
      <c r="A35" s="48"/>
      <c r="B35" s="48"/>
      <c r="C35" s="48"/>
      <c r="D35" s="48"/>
      <c r="E35" s="307"/>
      <c r="F35" s="307"/>
      <c r="G35" s="307"/>
      <c r="H35" s="30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301">
        <v>24</v>
      </c>
      <c r="X35" s="302"/>
      <c r="Y35" s="434" t="s">
        <v>125</v>
      </c>
      <c r="Z35" s="48"/>
      <c r="AA35" s="301">
        <v>24</v>
      </c>
      <c r="AB35" s="48"/>
      <c r="AC35" s="348">
        <f>IF(OR(AND(J10&gt;240,J10&lt;250)),24,IF(OR(AND($J$10&gt;260,J10&lt;270)),0,IF(OR(AND(J10&gt;270,$J$10&lt;290)),24,IF(OR(AND($J$10&gt;299,$J$10&lt;650)),24,0))))</f>
        <v>24</v>
      </c>
      <c r="AD35" s="698"/>
      <c r="AE35" s="700"/>
      <c r="AF35" s="305" t="str">
        <f>IF(AG35="Office"," ","D")</f>
        <v>D</v>
      </c>
      <c r="AG35" s="320" t="str">
        <f>IF(ISNA(MATCH(AC35,$AA$12:$AA$91,0)),"OFFICE",INDEX($Y$12:$Y$104,MATCH(AC35,$AA$12:$AA$91,0)))</f>
        <v>D6-André</v>
      </c>
      <c r="AH35" s="48"/>
      <c r="AJ35" s="595"/>
      <c r="AK35" s="564">
        <f>+AE34</f>
        <v>12</v>
      </c>
      <c r="AL35" s="180" t="str">
        <f t="shared" si="0"/>
        <v>C6-Christian</v>
      </c>
      <c r="AM35" s="273">
        <v>1</v>
      </c>
      <c r="AN35" s="489"/>
      <c r="AO35" s="595"/>
      <c r="AP35" s="564">
        <v>15</v>
      </c>
      <c r="AQ35" s="190"/>
      <c r="AR35" s="191" t="str">
        <f>IF(AM33=AM34,"résultat",IF(AM33&lt;AM34,AL33,AL34))</f>
        <v>B6-Claudette</v>
      </c>
      <c r="AS35" s="273">
        <v>1</v>
      </c>
      <c r="AT35" s="491"/>
      <c r="AU35" s="562"/>
      <c r="AV35" s="560"/>
      <c r="AW35" s="192"/>
      <c r="AX35" s="281" t="str">
        <f>IF(AI34+AI35=0," ",IF(AI34+AI35=43,"&amp;",(IF(AI34+AI35=42,IF(AS35=AS36,"résultat",IF(AS35&gt;AS36,AR35,AR36)),(IF(AI34+AI35=32,IF(AS35=AS36,"résultat",IF(AS35&gt;AS36,AR35,AR36))))))))</f>
        <v>B6-Claudette</v>
      </c>
      <c r="AY35" s="272">
        <v>0</v>
      </c>
      <c r="AZ35" s="440"/>
      <c r="BA35" s="509">
        <v>2</v>
      </c>
      <c r="BB35" s="79"/>
      <c r="BC35" s="388" t="str">
        <f>IF(AI34+AI35=0," ",IF($AI34+$AI35=43,IF($AS33=$AS34,"résultat",IF($AS33&lt;$AS34,$AR33,$AR34)),(IF($AI34+$AI35=42,IF($AY34=$AY35,"résultat",IF($AY34&gt;$AY35,$AX34,$AX35)),(IF($AI34+$AI35=32,IF($AY34=$AY35,"résultat",IF($AY34&gt;$AY35,$AX34,$AX35))))))))</f>
        <v>C6-Christian</v>
      </c>
      <c r="BD35" s="2"/>
      <c r="BF35" s="558"/>
      <c r="BG35" s="604" t="str">
        <f>IF(AO8=10,"OFFICE",IF(AO8=12,BC27,IF(AO8=14,BC15,IF(AO8=16,BC43))))</f>
        <v>B8-Thierry</v>
      </c>
      <c r="BH35" s="605"/>
      <c r="BI35" s="606"/>
      <c r="BJ35" s="193">
        <v>3</v>
      </c>
      <c r="BK35" s="1"/>
      <c r="BL35" s="185"/>
      <c r="BM35" s="524"/>
      <c r="BN35" s="524"/>
      <c r="BO35" s="382"/>
      <c r="BP35" s="185"/>
      <c r="BQ35" s="502"/>
      <c r="BR35" s="587"/>
      <c r="BS35" s="668" t="str">
        <f>IF(OR(AND(CG11+CG12&gt;0,CG11+CG12&lt;5))," ",IF(BP24=BP25,"Perdant 1/4 B",IF(AND(CG11+CG12&gt;4,CG11+CG12&lt;9),IF(BP24&lt;BP25,BM24,BM25),0)))</f>
        <v>C6-Christian</v>
      </c>
      <c r="BT35" s="669"/>
      <c r="BU35" s="670"/>
      <c r="BV35" s="193">
        <v>0</v>
      </c>
      <c r="BW35" s="501" t="str">
        <f>IF(BV34=BV35,"résultat",IF(BV34&lt;BV35,BS34,BS35))</f>
        <v>C6-Christian</v>
      </c>
      <c r="BX35" s="655"/>
      <c r="BY35" s="591" t="str">
        <f>IF(OR(CG11+CG12=0),"OFFICE",IF(AND(BV40=BV41),"G. 1ère Part. Rep. B",IF(AND(CG11+CG12&gt;4,CG11+CG12&lt;9),BW40," ")))</f>
        <v>B8-Thierry</v>
      </c>
      <c r="BZ35" s="592"/>
      <c r="CA35" s="593"/>
      <c r="CB35" s="193">
        <v>0</v>
      </c>
      <c r="CC35" s="501" t="str">
        <f>IF(CB34=CB35,"résultat",IF(CB34&lt;CB35,BY34,BY35))</f>
        <v>B8-Thierry</v>
      </c>
      <c r="CD35" s="1"/>
      <c r="CI35" s="1"/>
      <c r="CJ35" s="1"/>
      <c r="CL35" s="1"/>
      <c r="CS35" s="1"/>
      <c r="CV35" s="1"/>
      <c r="CX35" s="1"/>
      <c r="CY35" s="1"/>
      <c r="DB35" s="1"/>
      <c r="DD35" s="1"/>
      <c r="DH35" s="1"/>
      <c r="DI35" s="1"/>
      <c r="DJ35" s="1"/>
      <c r="DQ35" s="1"/>
      <c r="DU35" s="1"/>
      <c r="DY35" s="1"/>
    </row>
    <row r="36" spans="1:129" ht="23.1" customHeight="1" thickBot="1">
      <c r="A36" s="48"/>
      <c r="B36" s="48"/>
      <c r="C36" s="48"/>
      <c r="D36" s="48"/>
      <c r="E36" s="307"/>
      <c r="F36" s="307"/>
      <c r="G36" s="307"/>
      <c r="H36" s="307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344">
        <v>25</v>
      </c>
      <c r="X36" s="342"/>
      <c r="Y36" s="302" t="s">
        <v>126</v>
      </c>
      <c r="Z36" s="458"/>
      <c r="AA36" s="301">
        <v>25</v>
      </c>
      <c r="AB36" s="48"/>
      <c r="AC36" s="349">
        <f>IF(OR(AND($J$10&gt;249,$J$10&lt;260)),23,IF(OR(AND($J$10&gt;259,$J$10&lt;270)),24,IF(OR(AND($J$10&gt;270,$J$10&lt;290)),25,IF(OR(AND($J$10&gt;289,$J$10&lt;300)),24,IF(OR(AND($J$10&gt;299,$J$10&lt;650)),25,0)))))</f>
        <v>25</v>
      </c>
      <c r="AD36" s="696" t="s">
        <v>22</v>
      </c>
      <c r="AE36" s="699">
        <f>IF(OR(AND(J10&gt;170,J10&lt;250))," ",IF(OR(AND(J10&gt;250,J10&lt;260)),11,IF(OR(AND($J$10&gt;260,J10&lt;270)),12,IF(OR(AND(J10&gt;270,$J$10&lt;290)),13,IF(OR(AND(J10&gt;290,J10&lt;300)),12,IF(OR(AND(J10&gt;300,J10&lt;650)),13,0))))))</f>
        <v>13</v>
      </c>
      <c r="AF36" s="313" t="s">
        <v>8</v>
      </c>
      <c r="AG36" s="328" t="str">
        <f>IF(ISNA(MATCH(AC36,$AA$12:$AA$91,0)),"",INDEX($Y$12:$Y$104,MATCH(AC36,$AA$12:$AA$91,0)))</f>
        <v>A7-Guy</v>
      </c>
      <c r="AH36" s="48"/>
      <c r="AJ36" s="596"/>
      <c r="AK36" s="597"/>
      <c r="AL36" s="194" t="str">
        <f t="shared" si="0"/>
        <v>D6-André</v>
      </c>
      <c r="AM36" s="274">
        <v>0</v>
      </c>
      <c r="AN36" s="494"/>
      <c r="AO36" s="596"/>
      <c r="AP36" s="597"/>
      <c r="AQ36" s="195"/>
      <c r="AR36" s="196" t="str">
        <f>IF(AM35=AM36,"résultat",IF(AM35&lt;AM36,AL35,AL36))</f>
        <v>D6-André</v>
      </c>
      <c r="AS36" s="274">
        <v>0</v>
      </c>
      <c r="AT36" s="495"/>
      <c r="AU36" s="563"/>
      <c r="AV36" s="197"/>
      <c r="AW36" s="197"/>
      <c r="AX36" s="277"/>
      <c r="AY36" s="496"/>
      <c r="AZ36" s="210"/>
      <c r="BA36" s="210"/>
      <c r="BB36" s="210"/>
      <c r="BC36" s="518"/>
      <c r="BD36" s="210"/>
      <c r="BF36" s="202"/>
      <c r="BG36" s="521"/>
      <c r="BH36" s="377"/>
      <c r="BI36" s="377"/>
      <c r="BJ36" s="440"/>
      <c r="BK36" s="1"/>
      <c r="BL36" s="185"/>
      <c r="BM36" s="524"/>
      <c r="BN36" s="524"/>
      <c r="BO36" s="382"/>
      <c r="BP36" s="185"/>
      <c r="BQ36" s="502"/>
      <c r="BR36" s="236"/>
      <c r="BS36" s="526"/>
      <c r="BT36" s="252"/>
      <c r="BU36" s="380"/>
      <c r="BV36" s="25" t="s">
        <v>70</v>
      </c>
      <c r="BW36" s="501"/>
      <c r="BX36" s="254"/>
      <c r="BY36" s="254"/>
      <c r="BZ36" s="1"/>
      <c r="CB36" s="449"/>
      <c r="CC36" s="501"/>
      <c r="CD36" s="1"/>
      <c r="CI36" s="1"/>
      <c r="CJ36" s="1"/>
      <c r="CL36" s="1"/>
      <c r="CS36" s="1"/>
      <c r="CV36" s="1"/>
      <c r="CX36" s="1"/>
      <c r="CY36" s="1"/>
      <c r="DB36" s="1"/>
      <c r="DD36" s="1"/>
      <c r="DH36" s="1"/>
      <c r="DI36" s="1"/>
      <c r="DJ36" s="1"/>
      <c r="DQ36" s="1"/>
      <c r="DU36" s="1"/>
      <c r="DY36" s="1"/>
    </row>
    <row r="37" spans="1:129" ht="23.1" customHeight="1" thickTop="1" thickBot="1">
      <c r="A37" s="48"/>
      <c r="B37" s="48"/>
      <c r="C37" s="48"/>
      <c r="D37" s="48"/>
      <c r="E37" s="307"/>
      <c r="F37" s="307"/>
      <c r="G37" s="307"/>
      <c r="H37" s="307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301">
        <v>26</v>
      </c>
      <c r="X37" s="302"/>
      <c r="Y37" s="302" t="s">
        <v>127</v>
      </c>
      <c r="Z37" s="459"/>
      <c r="AA37" s="301">
        <v>26</v>
      </c>
      <c r="AB37" s="48"/>
      <c r="AC37" s="304">
        <f>IF(OR(AND($J$10&gt;249,$J$10&lt;260)),24,IF(OR(AND($J$10&gt;259,$J$10&lt;270)),25,IF(OR(AND($J$10&gt;269,$J$10&lt;290)),26,IF(OR(AND($J$10&gt;289,$J$10&lt;300)),25,IF(OR(AND($J$10&gt;299,$J$10&lt;650)),26,0)))))</f>
        <v>26</v>
      </c>
      <c r="AD37" s="697"/>
      <c r="AE37" s="700"/>
      <c r="AF37" s="305" t="s">
        <v>9</v>
      </c>
      <c r="AG37" s="306" t="str">
        <f>IF(ISNA(MATCH(AC37,$AA$12:$AA$91,0)),"",INDEX($Y$12:$Y$104,MATCH(AC37,$AA$12:$AA$91,0)))</f>
        <v>B7-Dominique</v>
      </c>
      <c r="AH37" s="48"/>
      <c r="AJ37" s="594">
        <v>7</v>
      </c>
      <c r="AK37" s="559">
        <f>+AE36</f>
        <v>13</v>
      </c>
      <c r="AL37" s="180" t="str">
        <f t="shared" si="0"/>
        <v>A7-Guy</v>
      </c>
      <c r="AM37" s="275">
        <v>1</v>
      </c>
      <c r="AN37" s="489"/>
      <c r="AO37" s="594">
        <v>7</v>
      </c>
      <c r="AP37" s="559">
        <v>16</v>
      </c>
      <c r="AQ37" s="198"/>
      <c r="AR37" s="183" t="str">
        <f>IF(AM37=AM38,"résultat",IF(AM37&gt;AM38,AL37,AL38))</f>
        <v>A7-Guy</v>
      </c>
      <c r="AS37" s="275">
        <v>3</v>
      </c>
      <c r="AT37" s="491"/>
      <c r="AU37" s="561">
        <v>7</v>
      </c>
      <c r="AV37" s="199"/>
      <c r="AW37" s="199"/>
      <c r="AX37" s="200"/>
      <c r="AY37" s="499"/>
      <c r="AZ37" s="208"/>
      <c r="BA37" s="179"/>
      <c r="BB37" s="179"/>
      <c r="BC37" s="519"/>
      <c r="BD37" s="208"/>
      <c r="BF37" s="185"/>
      <c r="BG37" s="382"/>
      <c r="BH37" s="520"/>
      <c r="BI37" s="77"/>
      <c r="BJ37" s="185"/>
      <c r="BK37" s="1"/>
      <c r="BL37" s="185"/>
      <c r="BM37" s="524"/>
      <c r="BN37" s="524"/>
      <c r="BO37" s="382"/>
      <c r="BP37" s="185"/>
      <c r="BQ37" s="502"/>
      <c r="BR37" s="386"/>
      <c r="BS37" s="527"/>
      <c r="BT37" s="253"/>
      <c r="BU37" s="253"/>
      <c r="BV37" s="26"/>
      <c r="BW37" s="501"/>
      <c r="BX37" s="25"/>
      <c r="BY37" s="25"/>
      <c r="BZ37" s="45"/>
      <c r="CA37" s="381"/>
      <c r="CB37" s="448"/>
      <c r="CC37" s="510"/>
      <c r="CD37" s="1"/>
      <c r="CI37" s="1"/>
      <c r="CJ37" s="1"/>
      <c r="CL37" s="1"/>
      <c r="CS37" s="1"/>
      <c r="CV37" s="1"/>
      <c r="CX37" s="1"/>
      <c r="CY37" s="1"/>
      <c r="DB37" s="1"/>
      <c r="DD37" s="1"/>
      <c r="DH37" s="1"/>
      <c r="DI37" s="1"/>
      <c r="DJ37" s="1"/>
      <c r="DQ37" s="1"/>
      <c r="DU37" s="1"/>
      <c r="DY37" s="1"/>
    </row>
    <row r="38" spans="1:129" ht="23.1" customHeight="1" thickTop="1" thickBot="1">
      <c r="A38" s="48"/>
      <c r="B38" s="48"/>
      <c r="C38" s="48"/>
      <c r="D38" s="48"/>
      <c r="E38" s="307"/>
      <c r="F38" s="307"/>
      <c r="G38" s="307"/>
      <c r="H38" s="307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344">
        <v>27</v>
      </c>
      <c r="X38" s="342"/>
      <c r="Y38" s="342" t="s">
        <v>128</v>
      </c>
      <c r="Z38" s="48"/>
      <c r="AA38" s="301">
        <v>27</v>
      </c>
      <c r="AB38" s="48"/>
      <c r="AC38" s="350">
        <f>IF(OR(AND($J$10&gt;249,$J$10&lt;260)),25,IF(OR(AND($J$10&gt;259,$J$10&lt;270)),26,IF(OR(AND($J$10&gt;269,$J$10&lt;290)),27,IF(OR(AND($J$10&gt;289,$J$10&lt;300)),26,IF(OR(AND($J$10&gt;299,$J$10&lt;650)),27,0)))))</f>
        <v>27</v>
      </c>
      <c r="AD38" s="697"/>
      <c r="AE38" s="708" t="str">
        <f>IF(OR(AND(J10&gt;170,J10&lt;280))," ",IF(OR(AND($J$10&gt;280,J10&lt;290)),14,IF(OR(AND(J10&gt;290,$J$10&lt;310))," ",IF(OR(AND(J10&gt;310,J10&lt;330)),14,IF(OR(AND(J10&gt;330,J10&lt;340))," ",IF(OR(AND(J10&gt;340,J10&lt;650)),14,0))))))</f>
        <v xml:space="preserve"> </v>
      </c>
      <c r="AF38" s="313" t="s">
        <v>44</v>
      </c>
      <c r="AG38" s="314" t="str">
        <f>IF(ISNA(MATCH(AC38,$AA$12:$AA$91,0)),"",INDEX($Y$12:$Y$104,MATCH(AC38,$AA$12:$AA$91,0)))</f>
        <v>C7-Edmond</v>
      </c>
      <c r="AH38" s="48"/>
      <c r="AI38" s="515" t="str">
        <f>CONCATENATE(K17,K18)</f>
        <v>32</v>
      </c>
      <c r="AJ38" s="595"/>
      <c r="AK38" s="560"/>
      <c r="AL38" s="186" t="str">
        <f t="shared" si="0"/>
        <v>B7-Dominique</v>
      </c>
      <c r="AM38" s="272">
        <v>0</v>
      </c>
      <c r="AN38" s="489"/>
      <c r="AO38" s="595"/>
      <c r="AP38" s="560"/>
      <c r="AQ38" s="187"/>
      <c r="AR38" s="188" t="str">
        <f>IF(AM39=AM40,"résultat",IF(AM39&gt;AM40,AL39,AL40))</f>
        <v>C7-Edmond</v>
      </c>
      <c r="AS38" s="272">
        <v>0</v>
      </c>
      <c r="AT38" s="491"/>
      <c r="AU38" s="562"/>
      <c r="AV38" s="564"/>
      <c r="AW38" s="189"/>
      <c r="AX38" s="291" t="str">
        <f>IF(AI38+AI39=0," ",IF(AI38+AI39=43," ",(IF(AI38+AI39=42,IF(AS37=AS38,"résultat",IF(AS37&lt;AS38,AR37,AR38)),IF(AI38+AI39=32,IF(AS37=AS38,"résultat",IF(AS37&lt;AS38,AR37,AR38)))))))</f>
        <v>C7-Edmond</v>
      </c>
      <c r="AY38" s="271">
        <v>1</v>
      </c>
      <c r="AZ38" s="440"/>
      <c r="BA38" s="511">
        <v>1</v>
      </c>
      <c r="BB38" s="169"/>
      <c r="BC38" s="387" t="str">
        <f>IF(AI38+AI39=0," ",IF($AI38+$AI39=43,IF($AS37=$AS38,"résultat",IF($AS37&gt;$AS38,$AR37,$AR38)),(IF($AI38+$AI39=42,IF($AS37=$AS38,"résultat",IF($AS37&gt;$AS38,$AR37,$AR38)),(IF($AI38+$AI39=32,IF($AS37=$AS38,"résultat",IF($AS37&gt;$AS38,$AR37,$AR38))))))))</f>
        <v>A7-Guy</v>
      </c>
      <c r="BD38" s="2"/>
      <c r="BF38" s="557">
        <v>7</v>
      </c>
      <c r="BG38" s="598" t="str">
        <f>IF(AND(AO8=10),BC27,IF(AND(AO8=12),BC31,IF(AND(AO8=14),BC38,IF(AND(AO8=16),BC38))))</f>
        <v>A7-Guy</v>
      </c>
      <c r="BH38" s="599"/>
      <c r="BI38" s="600"/>
      <c r="BJ38" s="181">
        <v>1</v>
      </c>
      <c r="BK38" s="1"/>
      <c r="BL38" s="185"/>
      <c r="BM38" s="524"/>
      <c r="BN38" s="524"/>
      <c r="BO38" s="382"/>
      <c r="BP38" s="185"/>
      <c r="BQ38" s="502"/>
      <c r="BR38" s="386"/>
      <c r="BS38" s="527"/>
      <c r="BT38" s="253"/>
      <c r="BU38" s="253"/>
      <c r="BV38" s="469"/>
      <c r="BW38" s="501"/>
      <c r="BX38" s="677" t="s">
        <v>87</v>
      </c>
      <c r="BY38" s="678"/>
      <c r="BZ38" s="678"/>
      <c r="CA38" s="678"/>
      <c r="CB38" s="679"/>
      <c r="CC38" s="510"/>
      <c r="CD38" s="1"/>
      <c r="CI38" s="1"/>
      <c r="CJ38" s="1"/>
      <c r="CL38" s="1"/>
      <c r="CS38" s="1"/>
      <c r="CV38" s="1"/>
      <c r="CX38" s="1"/>
      <c r="CY38" s="1"/>
      <c r="DB38" s="1"/>
      <c r="DD38" s="1"/>
      <c r="DH38" s="1"/>
      <c r="DI38" s="1"/>
      <c r="DJ38" s="1"/>
      <c r="DQ38" s="1"/>
      <c r="DU38" s="1"/>
      <c r="DY38" s="1"/>
    </row>
    <row r="39" spans="1:129" ht="23.1" customHeight="1" thickBot="1">
      <c r="A39" s="48"/>
      <c r="B39" s="48"/>
      <c r="C39" s="48"/>
      <c r="D39" s="48"/>
      <c r="E39" s="307"/>
      <c r="F39" s="307"/>
      <c r="G39" s="307"/>
      <c r="H39" s="30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301">
        <v>28</v>
      </c>
      <c r="X39" s="302"/>
      <c r="Y39" s="435" t="s">
        <v>129</v>
      </c>
      <c r="Z39" s="48"/>
      <c r="AA39" s="301">
        <v>28</v>
      </c>
      <c r="AB39" s="48"/>
      <c r="AC39" s="348">
        <f>IF(OR(AND($J$10&gt;279,$J$10&lt;290)),28,IF(OR(AND($J$10&gt;309,J10&lt;330)),28,IF(OR(AND(J10&gt;339,$J$10&lt;650)),28,0)))</f>
        <v>0</v>
      </c>
      <c r="AD39" s="698"/>
      <c r="AE39" s="700"/>
      <c r="AF39" s="437" t="str">
        <f>IF(AG39="Office"," ","D")</f>
        <v xml:space="preserve"> </v>
      </c>
      <c r="AG39" s="320" t="str">
        <f>IF(ISNA(MATCH(AC39,$AA$12:$AA$91,0)),"OFFICE",INDEX($Y$12:$Y$104,MATCH(AC39,$AA$12:$AA$91,0)))</f>
        <v>OFFICE</v>
      </c>
      <c r="AH39" s="48"/>
      <c r="AJ39" s="595"/>
      <c r="AK39" s="564" t="str">
        <f>+AE38</f>
        <v xml:space="preserve"> </v>
      </c>
      <c r="AL39" s="180" t="str">
        <f t="shared" si="0"/>
        <v>C7-Edmond</v>
      </c>
      <c r="AM39" s="273">
        <v>1</v>
      </c>
      <c r="AN39" s="489"/>
      <c r="AO39" s="595"/>
      <c r="AP39" s="564">
        <v>17</v>
      </c>
      <c r="AQ39" s="190"/>
      <c r="AR39" s="191" t="str">
        <f>IF(AM37=AM38,"résultat",IF(AM37&lt;AM38,AL37,AL38))</f>
        <v>B7-Dominique</v>
      </c>
      <c r="AS39" s="273">
        <v>1</v>
      </c>
      <c r="AT39" s="491"/>
      <c r="AU39" s="562"/>
      <c r="AV39" s="560"/>
      <c r="AW39" s="192"/>
      <c r="AX39" s="281" t="str">
        <f>IF(AI38+AI39=0," ",IF(AI38+AI39=43,"&amp;",(IF(AI38+AI39=42,IF(AS39=AS40,"résultat",IF(AS39&gt;AS40,AR39,AR40)),(IF(AI38+AI39=32,IF(AS39=AS40,"résultat",IF(AS39&gt;AS40,AR39,AR40))))))))</f>
        <v>B7-Dominique</v>
      </c>
      <c r="AY39" s="272">
        <v>0</v>
      </c>
      <c r="AZ39" s="440"/>
      <c r="BA39" s="507">
        <v>2</v>
      </c>
      <c r="BB39" s="113"/>
      <c r="BC39" s="461" t="str">
        <f>IF(AI38+AI39=0," ",IF($AI38+$AI39=43,IF($AS37=$AS38,"résultat",IF($AS37&lt;$AS38,$AR37,$AR38)),(IF($AI38+$AI39=42,IF($AY38=$AY39,"résultat",IF($AY38&gt;$AY39,$AX38,$AX39)),(IF($AI38+$AI39=32,IF($AY38=$AY39,"résultat",IF($AY38&gt;$AY39,$AX38,$AX39))))))))</f>
        <v>C7-Edmond</v>
      </c>
      <c r="BD39" s="2"/>
      <c r="BF39" s="558"/>
      <c r="BG39" s="604" t="str">
        <f>IF(AND(AO8&gt;9,AO8&lt;13),"OFFICE",IF(AO8=14,BC19,IF(AO8=16,BC15)))</f>
        <v>C1-Jean Claude</v>
      </c>
      <c r="BH39" s="605"/>
      <c r="BI39" s="606"/>
      <c r="BJ39" s="193">
        <v>3</v>
      </c>
      <c r="BK39" s="1"/>
      <c r="BL39" s="185"/>
      <c r="BM39" s="524"/>
      <c r="BN39" s="525" t="s">
        <v>40</v>
      </c>
      <c r="BO39" s="77"/>
      <c r="BP39" s="185"/>
      <c r="BQ39" s="502"/>
      <c r="BR39" s="236"/>
      <c r="BS39" s="526"/>
      <c r="BT39" s="252"/>
      <c r="BU39" s="380"/>
      <c r="BV39" s="25"/>
      <c r="BW39" s="501"/>
      <c r="BX39" s="25" t="s">
        <v>1</v>
      </c>
      <c r="BY39" s="25"/>
      <c r="BZ39" s="45"/>
      <c r="CA39" s="381"/>
      <c r="CB39" s="448" t="s">
        <v>0</v>
      </c>
      <c r="CC39" s="501"/>
      <c r="CD39" s="1"/>
      <c r="CI39" s="1"/>
      <c r="CJ39" s="1"/>
      <c r="CL39" s="1"/>
      <c r="CS39" s="1"/>
      <c r="CV39" s="1"/>
      <c r="CX39" s="1"/>
      <c r="CY39" s="1"/>
      <c r="DB39" s="1"/>
      <c r="DD39" s="1"/>
      <c r="DH39" s="1"/>
      <c r="DI39" s="1"/>
      <c r="DJ39" s="1"/>
      <c r="DQ39" s="1"/>
      <c r="DU39" s="1"/>
      <c r="DY39" s="1"/>
    </row>
    <row r="40" spans="1:129" ht="23.1" customHeight="1" thickBot="1">
      <c r="W40" s="344">
        <v>29</v>
      </c>
      <c r="X40" s="342"/>
      <c r="Y40" s="302" t="s">
        <v>130</v>
      </c>
      <c r="Z40" s="458"/>
      <c r="AA40" s="301">
        <v>29</v>
      </c>
      <c r="AB40" s="48"/>
      <c r="AC40" s="349">
        <f>IF(OR(AND($J$10&gt;289,$J$10&lt;300)),27,IF(OR(AND($J$10&gt;300,$J$10&lt;310)),28,IF(OR(AND(J10&gt;310,J10&lt;330)),29,IF(OR(AND(J10&gt;330,J10&lt;340)),28,IF(OR(AND($J$10&gt;340,$J$10&lt;650)),29,0)))))</f>
        <v>28</v>
      </c>
      <c r="AD40" s="696" t="s">
        <v>23</v>
      </c>
      <c r="AE40" s="699">
        <f>IF(OR(AND(J10&gt;170,J10&lt;290))," ",IF(OR(AND(J10&gt;290,$J$10&lt;300)),13,IF(OR(AND(J10&gt;300,J10&lt;310)),14,IF(OR(AND(J10&gt;310,J10&lt;330)),15,IF(OR(AND(J10&gt;330,J10&lt;340)),14,IF(OR(AND(J10&gt;340,J10&lt;650)),15,0))))))</f>
        <v>14</v>
      </c>
      <c r="AF40" s="313" t="s">
        <v>8</v>
      </c>
      <c r="AG40" s="328" t="str">
        <f>IF(ISNA(MATCH(AC40,$AA$12:$AA$91,0)),"",INDEX($Y$12:$Y$104,MATCH(AC40,$AA$12:$AA$91,0)))</f>
        <v>D7-Marc</v>
      </c>
      <c r="AH40" s="48"/>
      <c r="AJ40" s="596"/>
      <c r="AK40" s="597"/>
      <c r="AL40" s="194" t="str">
        <f t="shared" si="0"/>
        <v>OFFICE</v>
      </c>
      <c r="AM40" s="274">
        <v>0</v>
      </c>
      <c r="AN40" s="494"/>
      <c r="AO40" s="596"/>
      <c r="AP40" s="597"/>
      <c r="AQ40" s="195"/>
      <c r="AR40" s="196" t="str">
        <f>IF(AM39=AM40,"résultat",IF(AM39&lt;AM40,AL39,AL40))</f>
        <v>OFFICE</v>
      </c>
      <c r="AS40" s="274">
        <v>0</v>
      </c>
      <c r="AT40" s="495"/>
      <c r="AU40" s="563"/>
      <c r="AV40" s="197"/>
      <c r="AW40" s="197"/>
      <c r="AX40" s="277"/>
      <c r="AY40" s="496"/>
      <c r="AZ40" s="210"/>
      <c r="BA40" s="210"/>
      <c r="BB40" s="210"/>
      <c r="BC40" s="518"/>
      <c r="BD40" s="210"/>
      <c r="BF40" s="202"/>
      <c r="BG40" s="521"/>
      <c r="BH40" s="377"/>
      <c r="BI40" s="377"/>
      <c r="BJ40" s="440"/>
      <c r="BK40" s="1"/>
      <c r="BL40" s="557">
        <v>4</v>
      </c>
      <c r="BM40" s="580" t="str">
        <f>IF($BJ38=BJ39,"résultat",IF(BJ38&gt;BJ39,BG38,BG39))</f>
        <v>C1-Jean Claude</v>
      </c>
      <c r="BN40" s="581"/>
      <c r="BO40" s="582"/>
      <c r="BP40" s="181">
        <v>1</v>
      </c>
      <c r="BQ40" s="500"/>
      <c r="BR40" s="654">
        <v>4</v>
      </c>
      <c r="BS40" s="588" t="str">
        <f>IF(OR(AND(CG11+CG12&gt;0,CG11+CG12&lt;5))," ",IF(BP32=BP33,"Perdant 1/4 A",IF(AND(CG11+CG12&gt;4,CG11+CG12&lt;9),IF(BP32&lt;BP33,BM32,BM33),0)))</f>
        <v>B8-Thierry</v>
      </c>
      <c r="BT40" s="589"/>
      <c r="BU40" s="590"/>
      <c r="BV40" s="181">
        <v>1</v>
      </c>
      <c r="BW40" s="501" t="str">
        <f>IF(BV40=BV41,"résultat",IF(BV40&gt;BV41,BS40,BS41))</f>
        <v>B8-Thierry</v>
      </c>
      <c r="BX40" s="654">
        <v>4</v>
      </c>
      <c r="BY40" s="683" t="str">
        <f>IF(OR(CG11+CG12=0),"OFFICE",IF(AND(BV34=BV35),"P. 1ère Part.Rep. A",IF(AND(CG11+CG12&gt;6,CG11+CG12&lt;9),BW35," ")))</f>
        <v>C6-Christian</v>
      </c>
      <c r="BZ40" s="684"/>
      <c r="CA40" s="685"/>
      <c r="CB40" s="181">
        <v>1</v>
      </c>
      <c r="CC40" s="501" t="str">
        <f>IF(CB40=CB41,"résultat",IF(CB40&gt;CB41,BY40,BY41))</f>
        <v>C6-Christian</v>
      </c>
      <c r="CD40" s="1"/>
      <c r="CI40" s="1"/>
      <c r="CJ40" s="1"/>
      <c r="CL40" s="1"/>
      <c r="CS40" s="1"/>
      <c r="CV40" s="1"/>
      <c r="CX40" s="1"/>
      <c r="CY40" s="1"/>
      <c r="DB40" s="1"/>
      <c r="DD40" s="1"/>
      <c r="DH40" s="1"/>
      <c r="DI40" s="1"/>
      <c r="DJ40" s="1"/>
      <c r="DQ40" s="1"/>
      <c r="DU40" s="1"/>
      <c r="DY40" s="1"/>
    </row>
    <row r="41" spans="1:129" ht="23.1" customHeight="1" thickTop="1" thickBot="1">
      <c r="W41" s="301">
        <v>30</v>
      </c>
      <c r="X41" s="302"/>
      <c r="Y41" s="342" t="s">
        <v>131</v>
      </c>
      <c r="Z41" s="459"/>
      <c r="AA41" s="301">
        <v>30</v>
      </c>
      <c r="AB41" s="48"/>
      <c r="AC41" s="304">
        <f>IF(OR(AND($J$10&gt;289,$J$10&lt;300)),28,IF(OR(AND($J$10&gt;299,$J$10&lt;310)),29,IF(OR(AND(J10&gt;310,J10&lt;330)),30,IF(OR(AND($J$10&gt;330,$J$10&lt;340)),29,IF(OR(AND($J$10&gt;340,$J$10&lt;650)),30,0)))))</f>
        <v>29</v>
      </c>
      <c r="AD41" s="697"/>
      <c r="AE41" s="700"/>
      <c r="AF41" s="305" t="s">
        <v>9</v>
      </c>
      <c r="AG41" s="306" t="str">
        <f>IF(ISNA(MATCH(AC41,$AA$12:$AA$91,0)),"",INDEX($Y$12:$Y$104,MATCH(AC41,$AA$12:$AA$91,0)))</f>
        <v>A8-Simone</v>
      </c>
      <c r="AH41" s="48"/>
      <c r="AJ41" s="594">
        <v>8</v>
      </c>
      <c r="AK41" s="559">
        <f>+AE40</f>
        <v>14</v>
      </c>
      <c r="AL41" s="180" t="str">
        <f t="shared" si="0"/>
        <v>D7-Marc</v>
      </c>
      <c r="AM41" s="275">
        <v>1</v>
      </c>
      <c r="AN41" s="489"/>
      <c r="AO41" s="594">
        <v>8</v>
      </c>
      <c r="AP41" s="559">
        <v>18</v>
      </c>
      <c r="AQ41" s="205"/>
      <c r="AR41" s="183" t="str">
        <f>IF(AM41=AM42,"résultat",IF(AM41&gt;AM42,AL41,AL42))</f>
        <v>D7-Marc</v>
      </c>
      <c r="AS41" s="275">
        <v>1</v>
      </c>
      <c r="AT41" s="491"/>
      <c r="AU41" s="561">
        <v>8</v>
      </c>
      <c r="AV41" s="199"/>
      <c r="AW41" s="199"/>
      <c r="AX41" s="200"/>
      <c r="AY41" s="499"/>
      <c r="AZ41" s="208"/>
      <c r="BA41" s="279"/>
      <c r="BB41" s="279"/>
      <c r="BC41" s="517"/>
      <c r="BD41" s="208"/>
      <c r="BF41" s="185"/>
      <c r="BG41" s="382"/>
      <c r="BH41" s="520"/>
      <c r="BI41" s="77"/>
      <c r="BJ41" s="185"/>
      <c r="BK41" s="1"/>
      <c r="BL41" s="558"/>
      <c r="BM41" s="583" t="str">
        <f>IF(BJ42=BJ43,"résultat",IF(BJ42&gt;BJ43,BG42,BG43))</f>
        <v>C2-Robert</v>
      </c>
      <c r="BN41" s="584"/>
      <c r="BO41" s="585"/>
      <c r="BP41" s="193">
        <v>0</v>
      </c>
      <c r="BQ41" s="500"/>
      <c r="BR41" s="655"/>
      <c r="BS41" s="668" t="str">
        <f>IF(OR(AND(CG11+CG12&gt;0,CG11+CG12&lt;5))," ",IF(BP40=BP41,"Perdant 1/4 B",IF(AND(CG11+CG12&gt;4,CG11+CG12&lt;9),IF(BP40&lt;BP41,BM40,BM41),0)))</f>
        <v>C2-Robert</v>
      </c>
      <c r="BT41" s="669"/>
      <c r="BU41" s="670"/>
      <c r="BV41" s="193">
        <v>0</v>
      </c>
      <c r="BW41" s="501" t="str">
        <f>IF(BV40=BV41,"résultat",IF(BV40&lt;BV41,BS40,BS41))</f>
        <v>C2-Robert</v>
      </c>
      <c r="BX41" s="655"/>
      <c r="BY41" s="665" t="str">
        <f>IF(OR(CG11+CG12=0),"OFFICE",IF(AND(BV40=BV41),"P. 1ère Part. Rep. B",IF(AND(CG11+CG12&gt;6,CG11+CG12&lt;9),BW41," ")))</f>
        <v>C2-Robert</v>
      </c>
      <c r="BZ41" s="666"/>
      <c r="CA41" s="667"/>
      <c r="CB41" s="193">
        <v>0</v>
      </c>
      <c r="CC41" s="501" t="str">
        <f>IF(CB40=CB41,"résultat",IF(CB40&lt;CB41,BY40,BY41))</f>
        <v>C2-Robert</v>
      </c>
      <c r="CD41" s="1"/>
      <c r="CI41" s="1"/>
      <c r="CJ41" s="1"/>
      <c r="CL41" s="1"/>
      <c r="CS41" s="1"/>
      <c r="CV41" s="1"/>
      <c r="CX41" s="1"/>
      <c r="CY41" s="1"/>
      <c r="DB41" s="1"/>
      <c r="DD41" s="1"/>
      <c r="DH41" s="1"/>
      <c r="DI41" s="1"/>
      <c r="DJ41" s="1"/>
      <c r="DQ41" s="1"/>
      <c r="DU41" s="1"/>
      <c r="DY41" s="1"/>
    </row>
    <row r="42" spans="1:129" ht="23.1" customHeight="1" thickTop="1" thickBot="1">
      <c r="W42" s="344">
        <v>31</v>
      </c>
      <c r="X42" s="342"/>
      <c r="Y42" s="342" t="s">
        <v>137</v>
      </c>
      <c r="Z42" s="457"/>
      <c r="AA42" s="301">
        <v>31</v>
      </c>
      <c r="AB42" s="48"/>
      <c r="AC42" s="304">
        <f>IF(OR(AND($J$10&gt;289,$J$10&lt;300)),29,IF(OR(AND($J$10&gt;299,$J$10&lt;310)),30,IF(OR(AND(J10&gt;310,J10&lt;330)),31,IF(OR(AND($J$10&gt;320,$J$10&lt;340)),30,IF(OR(AND($J$10&gt;340,$J$10&lt;650)),31,0)))))</f>
        <v>30</v>
      </c>
      <c r="AD42" s="697"/>
      <c r="AE42" s="708" t="str">
        <f>IF(OR(AND($J$10&gt;170,J10&lt;280))," ",IF(OR(AND(J10&gt;280,$J$10&lt;290)),0,IF(OR(AND(J10&gt;290,J10&lt;320))," ",IF(OR(AND(J10&gt;320,J10&lt;330)),16,IF(OR(AND(J10&gt;330,J10&lt;350))," ",IF(OR(AND(J10&gt;350,J10&lt;370)),16,IF(OR(AND(J10&gt;370,J10&lt;380))," ",IF(OR(AND(J10&gt;380,J10&lt;390)),16,IF(OR(AND(J10&gt;390,J10&lt;650)),16,0)))))))))</f>
        <v xml:space="preserve"> </v>
      </c>
      <c r="AF42" s="313" t="s">
        <v>44</v>
      </c>
      <c r="AG42" s="314" t="str">
        <f>IF(ISNA(MATCH(AC42,$AA$12:$AA$91,0)),"",INDEX($Y$12:$Y$104,MATCH(AC42,$AA$12:$AA$91,0)))</f>
        <v>B8-Thierry</v>
      </c>
      <c r="AH42" s="48"/>
      <c r="AI42" s="515" t="str">
        <f>CONCATENATE(L17,L18)</f>
        <v>32</v>
      </c>
      <c r="AJ42" s="595"/>
      <c r="AK42" s="560"/>
      <c r="AL42" s="186" t="str">
        <f t="shared" si="0"/>
        <v>A8-Simone</v>
      </c>
      <c r="AM42" s="272">
        <v>0</v>
      </c>
      <c r="AN42" s="489"/>
      <c r="AO42" s="595"/>
      <c r="AP42" s="560"/>
      <c r="AQ42" s="206"/>
      <c r="AR42" s="188" t="str">
        <f>IF(AM43=AM44,"résultat",IF(AM43&gt;AM44,AL43,AL44))</f>
        <v>B8-Thierry</v>
      </c>
      <c r="AS42" s="272">
        <v>0</v>
      </c>
      <c r="AT42" s="491"/>
      <c r="AU42" s="562"/>
      <c r="AV42" s="564"/>
      <c r="AW42" s="189"/>
      <c r="AX42" s="280" t="str">
        <f>IF(AI42+AI43=0," ",IF(AI42+AI43=43,"&amp;",(IF(AI42+AI43=42,IF(AS41=AS42,"résultat",IF(AS41&lt;AS42,AR41,AR42)),IF(AI42+AI43=32,IF(AS41=AS42,"résultat",IF(AS41&lt;AS42,AR41,AR42)))))))</f>
        <v>B8-Thierry</v>
      </c>
      <c r="AY42" s="271">
        <v>1</v>
      </c>
      <c r="AZ42" s="440"/>
      <c r="BA42" s="511">
        <v>1</v>
      </c>
      <c r="BB42" s="169"/>
      <c r="BC42" s="387" t="str">
        <f>IF(AI42+AI43=0," ",IF($AI42+$AI43=43,IF($AS41=$AS42,"résultat",IF($AS41&gt;$AS42,$AR41,$AR42)),(IF($AI42+$AI43=42,IF($AS41=$AS42,"résultat",IF($AS41&gt;$AS42,$AR41,$AR42)),(IF($AI42+$AI43=32,IF($AS41=$AS42,"résultat",IF($AS41&gt;$AS42,$AR41,$AR42))))))))</f>
        <v>D7-Marc</v>
      </c>
      <c r="BD42" s="2"/>
      <c r="BF42" s="557">
        <v>8</v>
      </c>
      <c r="BG42" s="598" t="str">
        <f>IF(AO8=10,BC31,IF(AO8=12,BC35,IF(AO8=14,BC23,IF(AO8=16,BC42))))</f>
        <v>D7-Marc</v>
      </c>
      <c r="BH42" s="599"/>
      <c r="BI42" s="600"/>
      <c r="BJ42" s="181">
        <v>1</v>
      </c>
      <c r="BK42" s="1"/>
      <c r="BL42" s="185"/>
      <c r="BM42" s="185"/>
      <c r="BN42" s="185"/>
      <c r="BO42" s="378"/>
      <c r="BP42" s="185"/>
      <c r="BQ42" s="261"/>
      <c r="BR42" s="178"/>
      <c r="BS42" s="178"/>
      <c r="BT42" s="178"/>
      <c r="BU42" s="375"/>
      <c r="BW42" s="450"/>
      <c r="BZ42" s="1"/>
      <c r="CB42" s="450"/>
      <c r="CC42" s="450"/>
      <c r="CD42" s="1"/>
      <c r="CI42" s="1"/>
      <c r="CJ42" s="1"/>
      <c r="CL42" s="1"/>
      <c r="CS42" s="1"/>
      <c r="CV42" s="1"/>
      <c r="CX42" s="1"/>
      <c r="CY42" s="1"/>
      <c r="DB42" s="1"/>
      <c r="DD42" s="1"/>
      <c r="DH42" s="1"/>
      <c r="DI42" s="1"/>
      <c r="DJ42" s="1"/>
      <c r="DQ42" s="1"/>
      <c r="DU42" s="1"/>
      <c r="DY42" s="1"/>
    </row>
    <row r="43" spans="1:129" ht="23.1" customHeight="1" thickBot="1">
      <c r="W43" s="352">
        <v>32</v>
      </c>
      <c r="X43" s="353"/>
      <c r="Y43" s="463" t="s">
        <v>132</v>
      </c>
      <c r="Z43" s="460"/>
      <c r="AA43" s="352">
        <v>32</v>
      </c>
      <c r="AB43" s="48"/>
      <c r="AC43" s="348">
        <f>IF(OR(AND($J$10&gt;309,$J$10&lt;330)),32,IF(OR(AND($J$10&gt;349,$J$10&lt;370)),32,IF(OR(AND($J$10&gt;379,$J$10&lt;650)),32,0)))</f>
        <v>0</v>
      </c>
      <c r="AD43" s="698"/>
      <c r="AE43" s="700"/>
      <c r="AF43" s="305" t="str">
        <f>IF(AG43="Office"," ","D")</f>
        <v xml:space="preserve"> </v>
      </c>
      <c r="AG43" s="320" t="str">
        <f>IF(ISNA(MATCH(AC43,$AA$12:$AA$91,0)),"OFFICE",INDEX($Y$12:$Y$104,MATCH(AC43,$AA$12:$AA$91,0)))</f>
        <v>OFFICE</v>
      </c>
      <c r="AH43" s="48"/>
      <c r="AJ43" s="595"/>
      <c r="AK43" s="564" t="str">
        <f>+AE42</f>
        <v xml:space="preserve"> </v>
      </c>
      <c r="AL43" s="180" t="str">
        <f>+AG42</f>
        <v>B8-Thierry</v>
      </c>
      <c r="AM43" s="273">
        <v>1</v>
      </c>
      <c r="AN43" s="489"/>
      <c r="AO43" s="595"/>
      <c r="AP43" s="564">
        <v>19</v>
      </c>
      <c r="AQ43" s="190"/>
      <c r="AR43" s="191" t="str">
        <f>IF(AM41=AM42,"résultat",IF(AM41&lt;AM42,AL41,AL42))</f>
        <v>A8-Simone</v>
      </c>
      <c r="AS43" s="273">
        <v>2</v>
      </c>
      <c r="AT43" s="491"/>
      <c r="AU43" s="562"/>
      <c r="AV43" s="560"/>
      <c r="AW43" s="192"/>
      <c r="AX43" s="281" t="str">
        <f>IF(AI42+AI43=0," ",IF(AI42+AI43=43,"&amp;",(IF(AI42+AI43=42,IF(AS43=AS44,"résultat",IF(AS43&gt;AS44,AR43,AR44)),(IF(AI42+AI43=32,IF(AS43=AS44,"résultat",IF(AS43&gt;AS44,AR43,AR44))))))))</f>
        <v>A8-Simone</v>
      </c>
      <c r="AY43" s="272">
        <v>0</v>
      </c>
      <c r="AZ43" s="440"/>
      <c r="BA43" s="507">
        <v>2</v>
      </c>
      <c r="BB43" s="113"/>
      <c r="BC43" s="461" t="str">
        <f>IF(AI42+AI43=0," ",IF($AI42+$AI43=43,IF($AS41=$AS42,"résultat",IF($AS41&lt;$AS42,$AR41,$AR42)),(IF($AI42+$AI43=42,IF($AY42=$AY43,"résultat",IF($AY42&gt;$AY43,$AX42,$AX43)),(IF($AI42+$AI43=32,IF($AY42=$AY43,"résultat",IF($AY42&gt;$AY43,$AX42,$AX43))))))))</f>
        <v>B8-Thierry</v>
      </c>
      <c r="BD43" s="2"/>
      <c r="BF43" s="558"/>
      <c r="BG43" s="601" t="str">
        <f>IF(AND(AO8&gt;9,AO8&lt;15),"OFFICE",IF(AO8=16,BC19))</f>
        <v>C2-Robert</v>
      </c>
      <c r="BH43" s="602"/>
      <c r="BI43" s="603"/>
      <c r="BJ43" s="193">
        <v>3</v>
      </c>
      <c r="BK43" s="1"/>
      <c r="BL43" s="185"/>
      <c r="BM43" s="185"/>
      <c r="BN43" s="185"/>
      <c r="BO43" s="378"/>
      <c r="BP43" s="185"/>
      <c r="BQ43" s="450"/>
      <c r="BR43" s="178"/>
      <c r="BS43" s="178"/>
      <c r="BT43" s="178"/>
      <c r="BU43" s="375"/>
      <c r="BV43" s="178"/>
      <c r="BW43" s="450"/>
      <c r="BZ43" s="1"/>
      <c r="CB43" s="450"/>
      <c r="CC43" s="450"/>
      <c r="CD43" s="1"/>
      <c r="CI43" s="1"/>
      <c r="CJ43" s="1"/>
      <c r="CL43" s="1"/>
      <c r="CS43" s="1"/>
      <c r="CV43" s="1"/>
      <c r="CX43" s="1"/>
      <c r="CY43" s="1"/>
      <c r="DB43" s="1"/>
      <c r="DD43" s="1"/>
      <c r="DH43" s="1"/>
      <c r="DI43" s="1"/>
      <c r="DJ43" s="1"/>
      <c r="DQ43" s="1"/>
      <c r="DU43" s="1"/>
      <c r="DY43" s="1"/>
    </row>
    <row r="44" spans="1:129" ht="23.1" customHeight="1" thickBot="1">
      <c r="W44"/>
      <c r="X44"/>
      <c r="Y44"/>
      <c r="Z44"/>
      <c r="AA44"/>
      <c r="AB44"/>
      <c r="AC44"/>
      <c r="AD44"/>
      <c r="AE44"/>
      <c r="AF44"/>
      <c r="AG44"/>
      <c r="AH44" s="48"/>
      <c r="AJ44" s="596"/>
      <c r="AK44" s="597"/>
      <c r="AL44" s="194" t="str">
        <f>AG43</f>
        <v>OFFICE</v>
      </c>
      <c r="AM44" s="274">
        <v>0</v>
      </c>
      <c r="AN44" s="494"/>
      <c r="AO44" s="596"/>
      <c r="AP44" s="597"/>
      <c r="AQ44" s="195"/>
      <c r="AR44" s="196" t="str">
        <f>IF(AM43=AM44,"résultat",IF(AM43&lt;AM44,AL43,AL44))</f>
        <v>OFFICE</v>
      </c>
      <c r="AS44" s="274">
        <v>0</v>
      </c>
      <c r="AT44" s="495"/>
      <c r="AU44" s="563"/>
      <c r="AV44" s="197"/>
      <c r="AW44" s="197"/>
      <c r="AX44" s="197"/>
      <c r="AY44" s="496"/>
      <c r="AZ44" s="210"/>
      <c r="BA44" s="210"/>
      <c r="BB44" s="210"/>
      <c r="BC44" s="210"/>
      <c r="BD44" s="210"/>
      <c r="BF44" s="450"/>
      <c r="BG44" s="450"/>
      <c r="BH44" s="450"/>
      <c r="BI44" s="450"/>
      <c r="BJ44" s="450"/>
      <c r="BK44" s="1"/>
      <c r="BL44" s="185"/>
      <c r="BM44" s="185"/>
      <c r="BN44" s="185"/>
      <c r="BO44" s="378"/>
      <c r="BP44" s="185"/>
      <c r="BQ44" s="450"/>
      <c r="BS44" s="1"/>
      <c r="BU44" s="2"/>
      <c r="BW44" s="450"/>
      <c r="BZ44" s="1"/>
      <c r="CB44" s="450"/>
      <c r="CC44" s="450"/>
      <c r="CD44" s="1"/>
      <c r="CI44" s="1"/>
      <c r="CJ44" s="1"/>
      <c r="CL44" s="1"/>
      <c r="CS44" s="1"/>
      <c r="CV44" s="1"/>
      <c r="CX44" s="1"/>
      <c r="CY44" s="1"/>
      <c r="DB44" s="1"/>
      <c r="DD44" s="1"/>
      <c r="DH44" s="1"/>
      <c r="DI44" s="1"/>
      <c r="DJ44" s="1"/>
      <c r="DQ44" s="1"/>
      <c r="DU44" s="1"/>
      <c r="DY44" s="1"/>
    </row>
    <row r="45" spans="1:129" ht="23.1" customHeight="1" thickTop="1">
      <c r="W45"/>
      <c r="X45"/>
      <c r="Y45"/>
      <c r="Z45"/>
      <c r="AA45"/>
      <c r="AB45"/>
      <c r="AC45"/>
      <c r="AD45"/>
      <c r="AE45"/>
      <c r="AF45"/>
      <c r="AG45"/>
      <c r="AH45" s="48"/>
      <c r="AN45" s="1"/>
      <c r="AY45" s="207"/>
      <c r="AZ45" s="208"/>
      <c r="BA45" s="208"/>
      <c r="BB45" s="208"/>
      <c r="BC45" s="499"/>
      <c r="BD45" s="178"/>
      <c r="BE45" s="514"/>
      <c r="BF45" s="514"/>
      <c r="BG45" s="514"/>
      <c r="BH45" s="514"/>
      <c r="BI45" s="514"/>
      <c r="BJ45" s="475"/>
      <c r="BK45" s="513"/>
      <c r="BM45" s="513"/>
      <c r="BN45" s="450"/>
      <c r="BP45" s="450"/>
      <c r="BQ45" s="450"/>
      <c r="BR45" s="450"/>
      <c r="BS45" s="450"/>
      <c r="BT45" s="178"/>
      <c r="BU45" s="178"/>
      <c r="BV45" s="178"/>
      <c r="BW45" s="375"/>
      <c r="BX45" s="178"/>
      <c r="BY45" s="450"/>
      <c r="BZ45" s="1"/>
      <c r="CA45" s="450"/>
      <c r="CC45" s="2"/>
      <c r="CD45" s="1"/>
      <c r="CE45" s="476"/>
      <c r="CG45" s="450"/>
      <c r="CJ45" s="450"/>
      <c r="CK45" s="450"/>
      <c r="CL45" s="1"/>
      <c r="CS45" s="1"/>
      <c r="CV45" s="1"/>
      <c r="CX45" s="1"/>
      <c r="CY45" s="1"/>
      <c r="DB45" s="1"/>
      <c r="DD45" s="1"/>
      <c r="DH45" s="1"/>
      <c r="DI45" s="1"/>
      <c r="DJ45" s="1"/>
      <c r="DQ45" s="1"/>
      <c r="DU45" s="1"/>
      <c r="DY45" s="1"/>
    </row>
    <row r="46" spans="1:129" ht="16.5" customHeight="1">
      <c r="W46"/>
      <c r="X46"/>
      <c r="Y46"/>
      <c r="Z46"/>
      <c r="AA46"/>
      <c r="AB46"/>
      <c r="AC46"/>
      <c r="AD46"/>
      <c r="AE46"/>
      <c r="AF46"/>
      <c r="AG46"/>
      <c r="AH46" s="48"/>
      <c r="AN46" s="1"/>
      <c r="BE46" s="440"/>
      <c r="BO46" s="472"/>
      <c r="BP46" s="1"/>
      <c r="BS46" s="1"/>
      <c r="CA46" s="1"/>
      <c r="CC46" s="473"/>
      <c r="CD46" s="1"/>
      <c r="CH46" s="179"/>
      <c r="CI46" s="440"/>
      <c r="CJ46" s="1"/>
      <c r="CK46" s="440"/>
      <c r="CL46" s="440"/>
      <c r="CM46" s="440"/>
      <c r="CN46" s="440"/>
      <c r="CO46" s="440"/>
      <c r="CP46" s="440"/>
      <c r="CQ46" s="440"/>
      <c r="CU46" s="2"/>
      <c r="CV46" s="1"/>
      <c r="CX46" s="1"/>
      <c r="DA46" s="2"/>
      <c r="DB46" s="1"/>
      <c r="DC46" s="476"/>
      <c r="DD46" s="1"/>
      <c r="DG46" s="2"/>
      <c r="DH46" s="450"/>
      <c r="DJ46" s="178"/>
      <c r="DK46" s="450"/>
      <c r="DL46" s="178"/>
      <c r="DM46" s="178"/>
      <c r="DN46" s="178"/>
      <c r="DO46" s="450"/>
      <c r="DQ46" s="1"/>
      <c r="DS46" s="450"/>
      <c r="DU46" s="1"/>
      <c r="DY46" s="1"/>
    </row>
    <row r="47" spans="1:129" ht="16.5" customHeight="1">
      <c r="AN47" s="1"/>
      <c r="BM47" s="440"/>
      <c r="BN47" s="440"/>
      <c r="BO47" s="472"/>
      <c r="BP47" s="1"/>
      <c r="BS47" s="1"/>
      <c r="CA47" s="1"/>
      <c r="CC47" s="473"/>
      <c r="CD47" s="1"/>
      <c r="CH47" s="2"/>
      <c r="CI47" s="474"/>
      <c r="CJ47" s="1"/>
      <c r="CK47" s="440"/>
      <c r="CL47" s="440"/>
      <c r="CM47" s="440"/>
      <c r="CN47" s="440"/>
      <c r="CO47" s="440"/>
      <c r="CP47" s="440"/>
      <c r="CQ47" s="440"/>
      <c r="CR47" s="440"/>
      <c r="CS47" s="442"/>
      <c r="CT47" s="440"/>
      <c r="CU47" s="179"/>
      <c r="CV47" s="440"/>
      <c r="CW47" s="440"/>
      <c r="CX47" s="1"/>
      <c r="DA47" s="2"/>
      <c r="DB47" s="1"/>
      <c r="DC47" s="476"/>
      <c r="DD47" s="1"/>
      <c r="DG47" s="2"/>
      <c r="DH47" s="450"/>
      <c r="DJ47" s="440"/>
      <c r="DK47" s="440"/>
      <c r="DL47" s="440"/>
      <c r="DM47" s="178"/>
      <c r="DN47" s="178"/>
      <c r="DO47" s="178"/>
      <c r="DP47" s="450"/>
      <c r="DQ47" s="178"/>
      <c r="DR47" s="178"/>
      <c r="DS47" s="178"/>
      <c r="DT47" s="450"/>
      <c r="DU47" s="1"/>
      <c r="DX47" s="450"/>
      <c r="DY47" s="1"/>
    </row>
    <row r="48" spans="1:129" ht="16.5" customHeight="1">
      <c r="BS48" s="1"/>
      <c r="CA48" s="1"/>
      <c r="CL48" s="211"/>
      <c r="CM48" s="211"/>
      <c r="CN48" s="211"/>
      <c r="CO48" s="211"/>
      <c r="CP48" s="211"/>
      <c r="CQ48" s="211"/>
      <c r="CR48" s="211"/>
      <c r="CS48" s="533"/>
      <c r="CT48" s="211"/>
      <c r="CU48" s="211"/>
      <c r="CV48" s="179"/>
      <c r="CW48" s="211"/>
      <c r="CX48" s="211"/>
      <c r="CY48" s="442"/>
      <c r="CZ48" s="440"/>
      <c r="DA48" s="440"/>
      <c r="DB48" s="179"/>
      <c r="DC48" s="440"/>
      <c r="DD48" s="441"/>
      <c r="DE48" s="440"/>
      <c r="DF48" s="440"/>
      <c r="DG48" s="440"/>
      <c r="DH48" s="179"/>
      <c r="DI48" s="443"/>
      <c r="DK48" s="440"/>
      <c r="DL48" s="440"/>
      <c r="DM48" s="440"/>
      <c r="DN48" s="178"/>
      <c r="DO48" s="178"/>
      <c r="DP48" s="178"/>
      <c r="DR48" s="178"/>
      <c r="DS48" s="178"/>
      <c r="DT48" s="178"/>
    </row>
    <row r="49" spans="71:124" ht="17.25" customHeight="1">
      <c r="BS49" s="1"/>
      <c r="CA49" s="1"/>
      <c r="CL49" s="212"/>
      <c r="CM49" s="212"/>
      <c r="CN49" s="212"/>
      <c r="CO49" s="212"/>
      <c r="CP49" s="212"/>
      <c r="CQ49" s="212"/>
      <c r="CR49" s="212"/>
      <c r="CS49" s="534"/>
      <c r="CT49" s="212"/>
      <c r="CU49" s="212"/>
      <c r="CV49" s="209"/>
      <c r="CW49" s="212"/>
      <c r="CX49" s="278"/>
      <c r="CY49" s="442"/>
      <c r="CZ49" s="440"/>
      <c r="DG49" s="440"/>
      <c r="DH49" s="179"/>
      <c r="DI49" s="442"/>
      <c r="DJ49" s="443"/>
      <c r="DN49" s="178"/>
      <c r="DO49" s="178"/>
      <c r="DP49" s="178"/>
      <c r="DR49" s="178"/>
      <c r="DS49" s="178"/>
      <c r="DT49" s="178"/>
    </row>
    <row r="50" spans="71:124" ht="16.5" customHeight="1">
      <c r="BS50" s="1"/>
      <c r="CA50" s="1"/>
      <c r="CL50" s="440"/>
      <c r="CM50" s="440"/>
      <c r="CN50" s="440"/>
      <c r="CO50" s="440"/>
      <c r="CP50" s="440"/>
      <c r="CQ50" s="440"/>
      <c r="CR50" s="440"/>
      <c r="CS50" s="442"/>
      <c r="CT50" s="440"/>
      <c r="CU50" s="440"/>
      <c r="CV50" s="179"/>
      <c r="CW50" s="440"/>
      <c r="CX50" s="440"/>
      <c r="CY50" s="533"/>
      <c r="CZ50" s="211"/>
      <c r="DG50" s="440"/>
      <c r="DH50" s="179"/>
      <c r="DI50" s="442"/>
      <c r="DJ50" s="442"/>
      <c r="DK50" s="440"/>
      <c r="DL50" s="440"/>
      <c r="DM50" s="440"/>
      <c r="DN50" s="178"/>
      <c r="DO50" s="178"/>
      <c r="DP50" s="178"/>
      <c r="DR50" s="178"/>
      <c r="DS50" s="178"/>
      <c r="DT50" s="178"/>
    </row>
    <row r="51" spans="71:124" ht="16.5" customHeight="1">
      <c r="BS51" s="1"/>
      <c r="CA51" s="1"/>
      <c r="CL51" s="440"/>
      <c r="CM51" s="440"/>
      <c r="CN51" s="440"/>
      <c r="CO51" s="440"/>
      <c r="CP51" s="440"/>
      <c r="CQ51" s="440"/>
      <c r="CR51" s="440"/>
      <c r="CS51" s="442"/>
      <c r="CT51" s="440"/>
      <c r="CU51" s="440"/>
      <c r="CV51" s="179"/>
      <c r="CW51" s="440"/>
      <c r="CX51" s="440"/>
      <c r="CY51" s="534"/>
      <c r="CZ51" s="212"/>
      <c r="DJ51" s="442"/>
      <c r="DK51" s="440"/>
      <c r="DL51" s="440"/>
      <c r="DM51" s="440"/>
      <c r="DN51" s="178"/>
      <c r="DO51" s="178"/>
      <c r="DP51" s="178"/>
      <c r="DR51" s="178"/>
      <c r="DS51" s="178"/>
      <c r="DT51" s="178"/>
    </row>
    <row r="52" spans="71:124" ht="16.5" customHeight="1">
      <c r="BS52" s="1"/>
      <c r="CA52" s="1"/>
      <c r="CL52" s="211"/>
      <c r="CM52" s="211"/>
      <c r="CN52" s="211"/>
      <c r="CO52" s="211"/>
      <c r="CP52" s="211"/>
      <c r="CQ52" s="211"/>
      <c r="CR52" s="211"/>
      <c r="CS52" s="533"/>
      <c r="CT52" s="211"/>
      <c r="CU52" s="211"/>
      <c r="CV52" s="179"/>
      <c r="CW52" s="211"/>
      <c r="CX52" s="211"/>
      <c r="CY52" s="442"/>
      <c r="CZ52" s="440"/>
      <c r="DG52" s="440"/>
      <c r="DH52" s="179"/>
      <c r="DI52" s="442"/>
      <c r="DK52" s="440"/>
      <c r="DL52" s="440"/>
      <c r="DM52" s="440"/>
      <c r="DN52" s="178"/>
      <c r="DO52" s="178"/>
      <c r="DP52" s="178"/>
      <c r="DR52" s="178"/>
      <c r="DS52" s="178"/>
      <c r="DT52" s="178"/>
    </row>
    <row r="53" spans="71:124" ht="17.25" customHeight="1">
      <c r="BS53" s="1"/>
      <c r="CA53" s="1"/>
      <c r="CL53" s="212"/>
      <c r="CM53" s="212"/>
      <c r="CN53" s="212"/>
      <c r="CO53" s="212"/>
      <c r="CP53" s="212"/>
      <c r="CQ53" s="212"/>
      <c r="CR53" s="212"/>
      <c r="CS53" s="534"/>
      <c r="CT53" s="212"/>
      <c r="CU53" s="212"/>
      <c r="CV53" s="209"/>
      <c r="CW53" s="212"/>
      <c r="CX53" s="278"/>
      <c r="CY53" s="442"/>
      <c r="CZ53" s="440"/>
      <c r="DG53" s="440"/>
      <c r="DH53" s="179"/>
      <c r="DI53" s="442"/>
      <c r="DJ53" s="442"/>
      <c r="DN53" s="178"/>
      <c r="DO53" s="178"/>
      <c r="DP53" s="178"/>
      <c r="DR53" s="178"/>
      <c r="DS53" s="178"/>
      <c r="DT53" s="178"/>
    </row>
    <row r="54" spans="71:124" ht="16.5" customHeight="1">
      <c r="BS54" s="1"/>
      <c r="CA54" s="1"/>
      <c r="CL54" s="440"/>
      <c r="CM54" s="440"/>
      <c r="CN54" s="440"/>
      <c r="CO54" s="440"/>
      <c r="CP54" s="440"/>
      <c r="CQ54" s="440"/>
      <c r="CR54" s="440"/>
      <c r="CS54" s="442"/>
      <c r="CT54" s="440"/>
      <c r="CU54" s="440"/>
      <c r="CV54" s="179"/>
      <c r="CW54" s="440"/>
      <c r="CX54" s="440"/>
      <c r="CY54" s="533"/>
      <c r="CZ54" s="211"/>
      <c r="DG54" s="440"/>
      <c r="DH54" s="179"/>
      <c r="DI54" s="442"/>
      <c r="DJ54" s="442"/>
      <c r="DK54" s="440"/>
      <c r="DL54" s="440"/>
      <c r="DM54" s="440"/>
      <c r="DR54" s="178"/>
      <c r="DS54" s="178"/>
      <c r="DT54" s="178"/>
    </row>
    <row r="55" spans="71:124" ht="16.5" customHeight="1">
      <c r="BS55" s="1"/>
      <c r="CA55" s="1"/>
      <c r="CL55" s="440"/>
      <c r="CM55" s="440"/>
      <c r="CN55" s="440"/>
      <c r="CO55" s="440"/>
      <c r="CP55" s="440"/>
      <c r="CQ55" s="440"/>
      <c r="CR55" s="440"/>
      <c r="CS55" s="442"/>
      <c r="CT55" s="440"/>
      <c r="CU55" s="440"/>
      <c r="CV55" s="179"/>
      <c r="CW55" s="440"/>
      <c r="CX55" s="440"/>
      <c r="CY55" s="534"/>
      <c r="CZ55" s="212"/>
      <c r="DJ55" s="442"/>
      <c r="DK55" s="440"/>
      <c r="DL55" s="440"/>
      <c r="DM55" s="440"/>
    </row>
    <row r="56" spans="71:124" ht="16.5" customHeight="1">
      <c r="BS56" s="1"/>
      <c r="CA56" s="1"/>
      <c r="CL56" s="211"/>
      <c r="CM56" s="211"/>
      <c r="CN56" s="211"/>
      <c r="CO56" s="211"/>
      <c r="CP56" s="211"/>
      <c r="CQ56" s="211"/>
      <c r="CR56" s="211"/>
      <c r="CS56" s="533"/>
      <c r="CT56" s="211"/>
      <c r="CU56" s="211"/>
      <c r="CV56" s="179"/>
      <c r="CW56" s="211"/>
      <c r="CX56" s="211"/>
      <c r="CY56" s="442"/>
      <c r="CZ56" s="440"/>
      <c r="DG56" s="440"/>
      <c r="DH56" s="179"/>
      <c r="DI56" s="442"/>
      <c r="DK56" s="440"/>
      <c r="DL56" s="440"/>
      <c r="DM56" s="440"/>
    </row>
    <row r="57" spans="71:124" ht="17.25" customHeight="1">
      <c r="BS57" s="1"/>
      <c r="CA57" s="1"/>
      <c r="CL57" s="212"/>
      <c r="CM57" s="212"/>
      <c r="CN57" s="212"/>
      <c r="CO57" s="212"/>
      <c r="CP57" s="212"/>
      <c r="CQ57" s="212"/>
      <c r="CR57" s="212"/>
      <c r="CS57" s="534"/>
      <c r="CT57" s="212"/>
      <c r="CU57" s="212"/>
      <c r="CV57" s="209"/>
      <c r="CW57" s="212"/>
      <c r="CX57" s="278"/>
      <c r="CY57" s="442"/>
      <c r="CZ57" s="440"/>
      <c r="DG57" s="440"/>
      <c r="DH57" s="179"/>
      <c r="DI57" s="442"/>
      <c r="DJ57" s="442"/>
    </row>
    <row r="58" spans="71:124" ht="16.5" customHeight="1">
      <c r="BS58" s="1"/>
      <c r="CA58" s="1"/>
      <c r="CL58" s="440"/>
      <c r="CM58" s="440"/>
      <c r="CN58" s="440"/>
      <c r="CO58" s="440"/>
      <c r="CP58" s="440"/>
      <c r="CQ58" s="440"/>
      <c r="CR58" s="440"/>
      <c r="CS58" s="442"/>
      <c r="CT58" s="440"/>
      <c r="CU58" s="440"/>
      <c r="CV58" s="179"/>
      <c r="CW58" s="440"/>
      <c r="CX58" s="440"/>
      <c r="CY58" s="533"/>
      <c r="CZ58" s="211"/>
      <c r="DG58" s="440"/>
      <c r="DH58" s="179"/>
      <c r="DI58" s="442"/>
      <c r="DJ58" s="442"/>
      <c r="DK58" s="440"/>
      <c r="DL58" s="440"/>
      <c r="DM58" s="440"/>
    </row>
    <row r="59" spans="71:124" ht="16.5" customHeight="1">
      <c r="BS59" s="1"/>
      <c r="CA59" s="1"/>
      <c r="CL59" s="440"/>
      <c r="CM59" s="440"/>
      <c r="CN59" s="440"/>
      <c r="CO59" s="440"/>
      <c r="CP59" s="440"/>
      <c r="CQ59" s="440"/>
      <c r="CR59" s="440"/>
      <c r="CS59" s="442"/>
      <c r="CT59" s="440"/>
      <c r="CU59" s="440"/>
      <c r="CV59" s="179"/>
      <c r="CW59" s="440"/>
      <c r="CX59" s="440"/>
      <c r="CY59" s="534"/>
      <c r="CZ59" s="212"/>
      <c r="DJ59" s="442"/>
      <c r="DK59" s="440"/>
      <c r="DL59" s="440"/>
      <c r="DM59" s="440"/>
    </row>
    <row r="60" spans="71:124" ht="16.5" customHeight="1">
      <c r="BS60" s="1"/>
      <c r="CA60" s="1"/>
      <c r="CL60" s="440"/>
      <c r="CM60" s="440"/>
      <c r="CN60" s="440"/>
      <c r="CO60" s="440"/>
      <c r="CP60" s="440"/>
      <c r="CQ60" s="440"/>
      <c r="CR60" s="440"/>
      <c r="CS60" s="442"/>
      <c r="CT60" s="440"/>
      <c r="CU60" s="440"/>
      <c r="CV60" s="179"/>
      <c r="CW60" s="440"/>
      <c r="CX60" s="440"/>
      <c r="CY60" s="442"/>
      <c r="CZ60" s="440"/>
      <c r="DG60" s="440"/>
      <c r="DH60" s="179"/>
      <c r="DI60" s="442"/>
      <c r="DK60" s="440"/>
      <c r="DL60" s="440"/>
      <c r="DM60" s="440"/>
    </row>
    <row r="61" spans="71:124" ht="17.25" customHeight="1">
      <c r="BS61" s="1"/>
      <c r="CA61" s="1"/>
      <c r="CL61" s="209"/>
      <c r="CM61" s="209"/>
      <c r="CN61" s="209"/>
      <c r="CO61" s="209"/>
      <c r="CP61" s="209"/>
      <c r="CQ61" s="209"/>
      <c r="CR61" s="209"/>
      <c r="CS61" s="535"/>
      <c r="CT61" s="209"/>
      <c r="CU61" s="209"/>
      <c r="CV61" s="209"/>
      <c r="CW61" s="209"/>
      <c r="CX61" s="276"/>
      <c r="CY61" s="442"/>
      <c r="CZ61" s="440"/>
      <c r="DG61" s="440"/>
      <c r="DH61" s="179"/>
      <c r="DI61" s="442"/>
      <c r="DJ61" s="442"/>
    </row>
    <row r="62" spans="71:124" ht="16.5" customHeight="1">
      <c r="BS62" s="1"/>
      <c r="CA62" s="1"/>
      <c r="CL62" s="440"/>
      <c r="CM62" s="440"/>
      <c r="CN62" s="440"/>
      <c r="CO62" s="440"/>
      <c r="CP62" s="440"/>
      <c r="CQ62" s="440"/>
      <c r="CR62" s="440"/>
      <c r="CS62" s="442"/>
      <c r="CT62" s="440"/>
      <c r="CU62" s="440"/>
      <c r="CV62" s="179"/>
      <c r="CW62" s="440"/>
      <c r="CX62" s="440"/>
      <c r="CY62" s="442"/>
      <c r="CZ62" s="440"/>
      <c r="DG62" s="440"/>
      <c r="DH62" s="179"/>
      <c r="DI62" s="442"/>
      <c r="DJ62" s="442"/>
      <c r="DK62" s="440"/>
      <c r="DL62" s="440"/>
      <c r="DM62" s="440"/>
    </row>
    <row r="63" spans="71:124" ht="16.5" customHeight="1">
      <c r="BS63" s="1"/>
      <c r="CA63" s="1"/>
      <c r="CL63" s="440"/>
      <c r="CM63" s="440"/>
      <c r="CN63" s="440"/>
      <c r="CO63" s="440"/>
      <c r="CP63" s="440"/>
      <c r="CQ63" s="440"/>
      <c r="CR63" s="440"/>
      <c r="CS63" s="442"/>
      <c r="CT63" s="440"/>
      <c r="CU63" s="440"/>
      <c r="CV63" s="179"/>
      <c r="CW63" s="440"/>
      <c r="CX63" s="440"/>
      <c r="CY63" s="535"/>
      <c r="CZ63" s="209"/>
      <c r="DJ63" s="442"/>
      <c r="DK63" s="440"/>
      <c r="DL63" s="440"/>
      <c r="DM63" s="440"/>
    </row>
    <row r="64" spans="71:124" ht="16.5" customHeight="1">
      <c r="BS64" s="1"/>
      <c r="CA64" s="1"/>
      <c r="CL64" s="211"/>
      <c r="CM64" s="211"/>
      <c r="CN64" s="211"/>
      <c r="CO64" s="211"/>
      <c r="CP64" s="211"/>
      <c r="CQ64" s="211"/>
      <c r="CR64" s="211"/>
      <c r="CS64" s="533"/>
      <c r="CT64" s="211"/>
      <c r="CU64" s="211"/>
      <c r="CV64" s="179"/>
      <c r="CW64" s="211"/>
      <c r="CX64" s="211"/>
      <c r="CY64" s="442"/>
      <c r="CZ64" s="440"/>
      <c r="DG64" s="440"/>
      <c r="DH64" s="179"/>
      <c r="DI64" s="442"/>
      <c r="DK64" s="440"/>
      <c r="DL64" s="440"/>
      <c r="DM64" s="440"/>
    </row>
    <row r="65" spans="55:117" ht="17.25" customHeight="1">
      <c r="BS65" s="1"/>
      <c r="CA65" s="1"/>
      <c r="CL65" s="212"/>
      <c r="CM65" s="212"/>
      <c r="CN65" s="212"/>
      <c r="CO65" s="212"/>
      <c r="CP65" s="212"/>
      <c r="CQ65" s="212"/>
      <c r="CR65" s="212"/>
      <c r="CS65" s="534"/>
      <c r="CT65" s="212"/>
      <c r="CU65" s="212"/>
      <c r="CV65" s="209"/>
      <c r="CW65" s="212"/>
      <c r="CX65" s="278"/>
      <c r="CY65" s="442"/>
      <c r="CZ65" s="440"/>
      <c r="DG65" s="440"/>
      <c r="DH65" s="179"/>
      <c r="DI65" s="442"/>
      <c r="DJ65" s="442"/>
    </row>
    <row r="66" spans="55:117" ht="16.5" customHeight="1">
      <c r="BS66" s="1"/>
      <c r="CA66" s="1"/>
      <c r="CL66" s="440"/>
      <c r="CM66" s="440"/>
      <c r="CN66" s="440"/>
      <c r="CO66" s="440"/>
      <c r="CP66" s="440"/>
      <c r="CQ66" s="440"/>
      <c r="CR66" s="440"/>
      <c r="CS66" s="442"/>
      <c r="CT66" s="440"/>
      <c r="CU66" s="440"/>
      <c r="CV66" s="179"/>
      <c r="CW66" s="440"/>
      <c r="CX66" s="440"/>
      <c r="CY66" s="533"/>
      <c r="CZ66" s="211"/>
      <c r="DG66" s="440"/>
      <c r="DH66" s="179"/>
      <c r="DI66" s="442"/>
      <c r="DJ66" s="442"/>
      <c r="DK66" s="440"/>
      <c r="DL66" s="440"/>
      <c r="DM66" s="440"/>
    </row>
    <row r="67" spans="55:117" ht="16.5" customHeight="1">
      <c r="BS67" s="1"/>
      <c r="CA67" s="1"/>
      <c r="CL67" s="440"/>
      <c r="CM67" s="440"/>
      <c r="CN67" s="440"/>
      <c r="CO67" s="440"/>
      <c r="CP67" s="440"/>
      <c r="CQ67" s="440"/>
      <c r="CR67" s="440"/>
      <c r="CS67" s="442"/>
      <c r="CT67" s="440"/>
      <c r="CU67" s="440"/>
      <c r="CV67" s="179"/>
      <c r="CW67" s="440"/>
      <c r="CX67" s="440"/>
      <c r="CY67" s="534"/>
      <c r="CZ67" s="212"/>
      <c r="DJ67" s="442"/>
      <c r="DK67" s="440"/>
      <c r="DL67" s="440"/>
      <c r="DM67" s="440"/>
    </row>
    <row r="68" spans="55:117" ht="16.5" customHeight="1">
      <c r="BS68" s="1"/>
      <c r="CA68" s="1"/>
      <c r="CL68" s="211"/>
      <c r="CM68" s="211"/>
      <c r="CN68" s="211"/>
      <c r="CO68" s="211"/>
      <c r="CP68" s="211"/>
      <c r="CQ68" s="211"/>
      <c r="CR68" s="211"/>
      <c r="CS68" s="533"/>
      <c r="CT68" s="211"/>
      <c r="CU68" s="211"/>
      <c r="CV68" s="179"/>
      <c r="CW68" s="211"/>
      <c r="CX68" s="211"/>
      <c r="CY68" s="442"/>
      <c r="CZ68" s="440"/>
      <c r="DG68" s="440"/>
      <c r="DH68" s="179"/>
      <c r="DI68" s="442"/>
      <c r="DK68" s="440"/>
      <c r="DL68" s="440"/>
      <c r="DM68" s="440"/>
    </row>
    <row r="69" spans="55:117" ht="17.25" customHeight="1">
      <c r="BS69" s="1"/>
      <c r="CA69" s="1"/>
      <c r="CL69" s="212"/>
      <c r="CM69" s="212"/>
      <c r="CN69" s="212"/>
      <c r="CO69" s="212"/>
      <c r="CP69" s="212"/>
      <c r="CQ69" s="212"/>
      <c r="CR69" s="212"/>
      <c r="CS69" s="534"/>
      <c r="CT69" s="212"/>
      <c r="CU69" s="212"/>
      <c r="CV69" s="209"/>
      <c r="CW69" s="212"/>
      <c r="CX69" s="278"/>
      <c r="CY69" s="442"/>
      <c r="CZ69" s="440"/>
      <c r="DG69" s="440"/>
      <c r="DH69" s="179"/>
      <c r="DI69" s="442"/>
      <c r="DJ69" s="442"/>
    </row>
    <row r="70" spans="55:117" ht="16.5" customHeight="1">
      <c r="BS70" s="240"/>
      <c r="BT70" s="240"/>
      <c r="BU70" s="240"/>
      <c r="BV70" s="240"/>
      <c r="BW70" s="240"/>
      <c r="BX70" s="240"/>
      <c r="BY70" s="240"/>
      <c r="BZ70" s="248"/>
      <c r="CA70" s="240"/>
      <c r="CB70" s="240"/>
      <c r="CC70" s="240"/>
      <c r="CD70" s="241"/>
      <c r="CE70" s="248"/>
      <c r="CF70" s="240"/>
      <c r="CH70" s="240"/>
      <c r="CL70" s="440"/>
      <c r="CM70" s="440"/>
      <c r="CN70" s="440"/>
      <c r="CO70" s="440"/>
      <c r="CP70" s="440"/>
      <c r="CQ70" s="440"/>
      <c r="CR70" s="440"/>
      <c r="CS70" s="442"/>
      <c r="CT70" s="440"/>
      <c r="CU70" s="440"/>
      <c r="CV70" s="179"/>
      <c r="CW70" s="440"/>
      <c r="CX70" s="440"/>
      <c r="CY70" s="533"/>
      <c r="CZ70" s="211"/>
      <c r="DG70" s="440"/>
      <c r="DH70" s="179"/>
      <c r="DI70" s="442"/>
      <c r="DJ70" s="442"/>
      <c r="DK70" s="440"/>
      <c r="DL70" s="440"/>
      <c r="DM70" s="440"/>
    </row>
    <row r="71" spans="55:117" ht="16.5" customHeight="1">
      <c r="CL71" s="440"/>
      <c r="CM71" s="440"/>
      <c r="CN71" s="440"/>
      <c r="CO71" s="440"/>
      <c r="CP71" s="440"/>
      <c r="CQ71" s="440"/>
      <c r="CR71" s="440"/>
      <c r="CS71" s="442"/>
      <c r="CT71" s="440"/>
      <c r="CU71" s="440"/>
      <c r="CV71" s="179"/>
      <c r="CW71" s="440"/>
      <c r="CX71" s="440"/>
      <c r="CY71" s="534"/>
      <c r="CZ71" s="212"/>
      <c r="DJ71" s="442"/>
      <c r="DK71" s="440"/>
      <c r="DL71" s="440"/>
      <c r="DM71" s="440"/>
    </row>
    <row r="72" spans="55:117" ht="16.5" customHeight="1">
      <c r="CL72" s="211"/>
      <c r="CM72" s="211"/>
      <c r="CN72" s="211"/>
      <c r="CO72" s="211"/>
      <c r="CP72" s="211"/>
      <c r="CQ72" s="211"/>
      <c r="CR72" s="211"/>
      <c r="CS72" s="533"/>
      <c r="CT72" s="211"/>
      <c r="CU72" s="211"/>
      <c r="CV72" s="179"/>
      <c r="CW72" s="211"/>
      <c r="CX72" s="211"/>
      <c r="CY72" s="442"/>
      <c r="CZ72" s="440"/>
      <c r="DG72" s="440"/>
      <c r="DH72" s="179"/>
      <c r="DI72" s="442"/>
      <c r="DK72" s="440"/>
      <c r="DL72" s="440"/>
      <c r="DM72" s="440"/>
    </row>
    <row r="73" spans="55:117" ht="17.25" customHeight="1">
      <c r="CL73" s="212"/>
      <c r="CM73" s="212"/>
      <c r="CN73" s="212"/>
      <c r="CO73" s="212"/>
      <c r="CP73" s="212"/>
      <c r="CQ73" s="212"/>
      <c r="CR73" s="212"/>
      <c r="CS73" s="534"/>
      <c r="CT73" s="212"/>
      <c r="CU73" s="212"/>
      <c r="CV73" s="209"/>
      <c r="CW73" s="212"/>
      <c r="CX73" s="278"/>
      <c r="CY73" s="442"/>
      <c r="CZ73" s="440"/>
      <c r="DG73" s="440"/>
      <c r="DH73" s="179"/>
      <c r="DI73" s="442"/>
      <c r="DJ73" s="442"/>
    </row>
    <row r="74" spans="55:117" ht="16.5" customHeight="1">
      <c r="CL74" s="440"/>
      <c r="CM74" s="440"/>
      <c r="CN74" s="440"/>
      <c r="CO74" s="440"/>
      <c r="CP74" s="440"/>
      <c r="CQ74" s="440"/>
      <c r="CR74" s="440"/>
      <c r="CS74" s="442"/>
      <c r="CT74" s="440"/>
      <c r="CU74" s="440"/>
      <c r="CV74" s="179"/>
      <c r="CW74" s="440"/>
      <c r="CX74" s="440"/>
      <c r="CY74" s="533"/>
      <c r="CZ74" s="211"/>
      <c r="DG74" s="440"/>
      <c r="DH74" s="179"/>
      <c r="DI74" s="442"/>
      <c r="DJ74" s="442"/>
      <c r="DK74" s="440"/>
      <c r="DL74" s="440"/>
      <c r="DM74" s="440"/>
    </row>
    <row r="75" spans="55:117" ht="16.5" customHeight="1">
      <c r="CL75" s="440"/>
      <c r="CM75" s="440"/>
      <c r="CN75" s="440"/>
      <c r="CO75" s="440"/>
      <c r="CP75" s="440"/>
      <c r="CQ75" s="440"/>
      <c r="CR75" s="440"/>
      <c r="CS75" s="442"/>
      <c r="CT75" s="440"/>
      <c r="CU75" s="440"/>
      <c r="CV75" s="179"/>
      <c r="CW75" s="440"/>
      <c r="CX75" s="440"/>
      <c r="CY75" s="534"/>
      <c r="CZ75" s="212"/>
      <c r="DJ75" s="442"/>
      <c r="DK75" s="440"/>
      <c r="DL75" s="440"/>
      <c r="DM75" s="440"/>
    </row>
    <row r="76" spans="55:117" ht="16.5" customHeight="1">
      <c r="CL76" s="440"/>
      <c r="CM76" s="440"/>
      <c r="CN76" s="440"/>
      <c r="CO76" s="440"/>
      <c r="CP76" s="440"/>
      <c r="CQ76" s="440"/>
      <c r="CR76" s="440"/>
      <c r="CS76" s="442"/>
      <c r="CT76" s="440"/>
      <c r="CU76" s="440"/>
      <c r="CV76" s="179"/>
      <c r="CW76" s="440"/>
      <c r="CX76" s="440"/>
      <c r="CY76" s="442"/>
      <c r="CZ76" s="440"/>
      <c r="DG76" s="440"/>
      <c r="DH76" s="179"/>
      <c r="DI76" s="442"/>
      <c r="DK76" s="185"/>
      <c r="DL76" s="185"/>
      <c r="DM76" s="185"/>
    </row>
    <row r="77" spans="55:117">
      <c r="CL77" s="178"/>
      <c r="CM77" s="178"/>
      <c r="CN77" s="178"/>
      <c r="CO77" s="178"/>
      <c r="CP77" s="178"/>
      <c r="CQ77" s="178"/>
      <c r="CR77" s="178"/>
      <c r="CS77" s="443"/>
      <c r="CT77" s="178"/>
      <c r="CU77" s="178"/>
      <c r="CV77" s="375"/>
      <c r="CW77" s="178"/>
      <c r="CX77" s="178"/>
      <c r="CY77" s="442"/>
      <c r="CZ77" s="440"/>
      <c r="DG77" s="440"/>
      <c r="DH77" s="179"/>
      <c r="DI77" s="442"/>
      <c r="DJ77" s="442"/>
      <c r="DK77" s="178"/>
      <c r="DL77" s="178"/>
      <c r="DM77" s="178"/>
    </row>
    <row r="78" spans="55:117">
      <c r="CL78" s="178"/>
      <c r="CM78" s="178"/>
      <c r="CN78" s="178"/>
      <c r="CO78" s="178"/>
      <c r="CP78" s="178"/>
      <c r="CQ78" s="178"/>
      <c r="CR78" s="178"/>
      <c r="CS78" s="443"/>
      <c r="CT78" s="178"/>
      <c r="CU78" s="178"/>
      <c r="CV78" s="375"/>
      <c r="CW78" s="178"/>
      <c r="CX78" s="178"/>
      <c r="CY78" s="442"/>
      <c r="CZ78" s="440"/>
      <c r="DG78" s="185"/>
      <c r="DH78" s="378"/>
      <c r="DI78" s="451"/>
      <c r="DJ78" s="442"/>
      <c r="DK78" s="178"/>
      <c r="DL78" s="178"/>
      <c r="DM78" s="178"/>
    </row>
    <row r="79" spans="55:117">
      <c r="BC79" s="178"/>
      <c r="BD79" s="179"/>
      <c r="BE79" s="178"/>
      <c r="BF79" s="178"/>
      <c r="BG79" s="178"/>
      <c r="BH79" s="178"/>
      <c r="BI79" s="178"/>
      <c r="BJ79" s="178"/>
      <c r="BK79" s="178"/>
      <c r="BL79" s="178"/>
      <c r="BN79" s="178"/>
      <c r="BO79" s="178"/>
      <c r="CL79" s="178"/>
      <c r="CM79" s="178"/>
      <c r="CN79" s="178"/>
      <c r="CO79" s="178"/>
      <c r="CP79" s="178"/>
      <c r="CQ79" s="178"/>
      <c r="CR79" s="178"/>
      <c r="CS79" s="443"/>
      <c r="CT79" s="178"/>
      <c r="CU79" s="178"/>
      <c r="CV79" s="375"/>
      <c r="CW79" s="178"/>
      <c r="CX79" s="178"/>
      <c r="CY79" s="443"/>
      <c r="CZ79" s="178"/>
      <c r="DA79" s="178"/>
      <c r="DB79" s="375"/>
      <c r="DC79" s="178"/>
      <c r="DD79" s="444"/>
      <c r="DE79" s="178"/>
      <c r="DF79" s="178"/>
      <c r="DG79" s="178"/>
      <c r="DH79" s="375"/>
      <c r="DI79" s="443"/>
      <c r="DJ79" s="451"/>
      <c r="DK79" s="178"/>
      <c r="DL79" s="178"/>
      <c r="DM79" s="178"/>
    </row>
    <row r="80" spans="55:117">
      <c r="BC80" s="178"/>
      <c r="BD80" s="179"/>
      <c r="BE80" s="178"/>
      <c r="BF80" s="178"/>
      <c r="BG80" s="178"/>
      <c r="BH80" s="178"/>
      <c r="BI80" s="178"/>
      <c r="BJ80" s="178"/>
      <c r="BK80" s="178"/>
      <c r="BL80" s="178"/>
      <c r="BN80" s="178"/>
      <c r="BO80" s="178"/>
      <c r="CL80" s="178"/>
      <c r="CM80" s="178"/>
      <c r="CN80" s="178"/>
      <c r="CO80" s="178"/>
      <c r="CP80" s="178"/>
      <c r="CQ80" s="178"/>
      <c r="CR80" s="178"/>
      <c r="CS80" s="443"/>
      <c r="CT80" s="178"/>
      <c r="CU80" s="178"/>
      <c r="CV80" s="375"/>
      <c r="CW80" s="178"/>
      <c r="CX80" s="178"/>
      <c r="CY80" s="443"/>
      <c r="CZ80" s="178"/>
      <c r="DA80" s="178"/>
      <c r="DB80" s="375"/>
      <c r="DC80" s="178"/>
      <c r="DD80" s="444"/>
      <c r="DE80" s="178"/>
      <c r="DF80" s="178"/>
      <c r="DG80" s="178"/>
      <c r="DH80" s="375"/>
      <c r="DI80" s="443"/>
      <c r="DJ80" s="443"/>
      <c r="DK80" s="178"/>
      <c r="DL80" s="178"/>
      <c r="DM80" s="178"/>
    </row>
    <row r="81" spans="55:117">
      <c r="BC81" s="178"/>
      <c r="BD81" s="179"/>
      <c r="BE81" s="178"/>
      <c r="BF81" s="178"/>
      <c r="BG81" s="178"/>
      <c r="BH81" s="178"/>
      <c r="BI81" s="178"/>
      <c r="BJ81" s="178"/>
      <c r="BK81" s="178"/>
      <c r="BL81" s="178"/>
      <c r="BN81" s="178"/>
      <c r="BO81" s="178"/>
      <c r="BQ81" s="179"/>
      <c r="BR81" s="179"/>
      <c r="BS81" s="179"/>
      <c r="BT81" s="178"/>
      <c r="BU81" s="178"/>
      <c r="BV81" s="178"/>
      <c r="BW81" s="178"/>
      <c r="BX81" s="178"/>
      <c r="BY81" s="178"/>
      <c r="BZ81" s="178"/>
      <c r="CA81" s="375"/>
      <c r="CB81" s="178"/>
      <c r="CC81" s="178"/>
      <c r="CD81" s="440"/>
      <c r="CE81" s="178"/>
      <c r="CF81" s="178"/>
      <c r="CH81" s="178"/>
      <c r="CI81" s="375"/>
      <c r="CL81" s="178"/>
      <c r="CM81" s="178"/>
      <c r="CN81" s="178"/>
      <c r="CO81" s="178"/>
      <c r="CP81" s="178"/>
      <c r="CQ81" s="178"/>
      <c r="CR81" s="178"/>
      <c r="CS81" s="443"/>
      <c r="CT81" s="178"/>
      <c r="CU81" s="178"/>
      <c r="CV81" s="375"/>
      <c r="CW81" s="178"/>
      <c r="CX81" s="178"/>
      <c r="CY81" s="443"/>
      <c r="CZ81" s="178"/>
      <c r="DA81" s="178"/>
      <c r="DB81" s="375"/>
      <c r="DC81" s="178"/>
      <c r="DD81" s="444"/>
      <c r="DE81" s="178"/>
      <c r="DF81" s="178"/>
      <c r="DG81" s="178"/>
      <c r="DH81" s="375"/>
      <c r="DI81" s="443"/>
      <c r="DJ81" s="443"/>
      <c r="DK81" s="178"/>
      <c r="DL81" s="178"/>
      <c r="DM81" s="178"/>
    </row>
    <row r="82" spans="55:117">
      <c r="BC82" s="178"/>
      <c r="BD82" s="179"/>
      <c r="BE82" s="178"/>
      <c r="BF82" s="178"/>
      <c r="BG82" s="178"/>
      <c r="BH82" s="178"/>
      <c r="BI82" s="178"/>
      <c r="BJ82" s="178"/>
      <c r="BK82" s="178"/>
      <c r="BL82" s="178"/>
      <c r="BN82" s="178"/>
      <c r="BO82" s="178"/>
      <c r="BQ82" s="179"/>
      <c r="BR82" s="179"/>
      <c r="BS82" s="179"/>
      <c r="BT82" s="178"/>
      <c r="BU82" s="178"/>
      <c r="BV82" s="178"/>
      <c r="BW82" s="178"/>
      <c r="BX82" s="178"/>
      <c r="BY82" s="178"/>
      <c r="BZ82" s="178"/>
      <c r="CA82" s="375"/>
      <c r="CB82" s="178"/>
      <c r="CC82" s="178"/>
      <c r="CD82" s="440"/>
      <c r="CE82" s="178"/>
      <c r="CF82" s="178"/>
      <c r="CH82" s="178"/>
      <c r="CI82" s="375"/>
      <c r="CL82" s="178"/>
      <c r="CM82" s="178"/>
      <c r="CN82" s="178"/>
      <c r="CO82" s="178"/>
      <c r="CP82" s="178"/>
      <c r="CQ82" s="178"/>
      <c r="CR82" s="178"/>
      <c r="CS82" s="443"/>
      <c r="CT82" s="178"/>
      <c r="CU82" s="178"/>
      <c r="CV82" s="375"/>
      <c r="CW82" s="178"/>
      <c r="CX82" s="178"/>
      <c r="CY82" s="443"/>
      <c r="CZ82" s="178"/>
      <c r="DA82" s="178"/>
      <c r="DB82" s="375"/>
      <c r="DC82" s="178"/>
      <c r="DD82" s="444"/>
      <c r="DE82" s="178"/>
      <c r="DF82" s="178"/>
      <c r="DG82" s="178"/>
      <c r="DH82" s="375"/>
      <c r="DI82" s="443"/>
      <c r="DJ82" s="443"/>
      <c r="DK82" s="178"/>
      <c r="DL82" s="178"/>
      <c r="DM82" s="178"/>
    </row>
    <row r="83" spans="55:117">
      <c r="BC83" s="178"/>
      <c r="BD83" s="179"/>
      <c r="BE83" s="178"/>
      <c r="BF83" s="178"/>
      <c r="BG83" s="178"/>
      <c r="BH83" s="178"/>
      <c r="BI83" s="178"/>
      <c r="BJ83" s="178"/>
      <c r="BK83" s="178"/>
      <c r="BL83" s="178"/>
      <c r="BN83" s="178"/>
      <c r="BO83" s="178"/>
      <c r="BQ83" s="179"/>
      <c r="BR83" s="179"/>
      <c r="BS83" s="179"/>
      <c r="BT83" s="178"/>
      <c r="BU83" s="178"/>
      <c r="BV83" s="178"/>
      <c r="BW83" s="178"/>
      <c r="BX83" s="178"/>
      <c r="BY83" s="178"/>
      <c r="BZ83" s="178"/>
      <c r="CA83" s="375"/>
      <c r="CB83" s="178"/>
      <c r="CC83" s="178"/>
      <c r="CD83" s="440"/>
      <c r="CE83" s="178"/>
      <c r="CF83" s="178"/>
      <c r="CH83" s="178"/>
      <c r="CI83" s="375"/>
      <c r="CL83" s="178"/>
      <c r="CM83" s="178"/>
      <c r="CN83" s="178"/>
      <c r="CO83" s="178"/>
      <c r="CP83" s="178"/>
      <c r="CQ83" s="178"/>
      <c r="CR83" s="178"/>
      <c r="CS83" s="443"/>
      <c r="CT83" s="178"/>
      <c r="CU83" s="178"/>
      <c r="CV83" s="375"/>
      <c r="CW83" s="178"/>
      <c r="CX83" s="178"/>
      <c r="CY83" s="443"/>
      <c r="CZ83" s="178"/>
      <c r="DA83" s="178"/>
      <c r="DB83" s="375"/>
      <c r="DC83" s="178"/>
      <c r="DD83" s="444"/>
      <c r="DE83" s="178"/>
      <c r="DF83" s="178"/>
      <c r="DG83" s="178"/>
      <c r="DH83" s="375"/>
      <c r="DI83" s="443"/>
      <c r="DJ83" s="443"/>
      <c r="DK83" s="178"/>
      <c r="DL83" s="178"/>
      <c r="DM83" s="178"/>
    </row>
    <row r="84" spans="55:117">
      <c r="CY84" s="443"/>
      <c r="CZ84" s="178"/>
      <c r="DA84" s="178"/>
      <c r="DB84" s="375"/>
      <c r="DC84" s="178"/>
      <c r="DD84" s="444"/>
      <c r="DE84" s="178"/>
      <c r="DF84" s="178"/>
      <c r="DG84" s="178"/>
      <c r="DH84" s="375"/>
      <c r="DI84" s="443"/>
      <c r="DJ84" s="443"/>
    </row>
    <row r="85" spans="55:117">
      <c r="CY85" s="443"/>
      <c r="CZ85" s="178"/>
      <c r="DA85" s="178"/>
      <c r="DB85" s="375"/>
      <c r="DC85" s="178"/>
      <c r="DD85" s="444"/>
      <c r="DE85" s="178"/>
      <c r="DF85" s="178"/>
      <c r="DG85" s="178"/>
      <c r="DH85" s="375"/>
      <c r="DI85" s="443"/>
      <c r="DJ85" s="443"/>
    </row>
    <row r="86" spans="55:117">
      <c r="DJ86" s="443"/>
    </row>
  </sheetData>
  <sheetProtection formatCells="0" formatColumns="0" formatRows="0" insertColumns="0" insertRows="0" insertHyperlinks="0" deleteColumns="0" deleteRows="0" sort="0"/>
  <mergeCells count="203">
    <mergeCell ref="AK17:AK18"/>
    <mergeCell ref="G3:I3"/>
    <mergeCell ref="AD40:AD43"/>
    <mergeCell ref="AE40:AE41"/>
    <mergeCell ref="AE42:AE43"/>
    <mergeCell ref="AD28:AD31"/>
    <mergeCell ref="AE28:AE29"/>
    <mergeCell ref="AE30:AE31"/>
    <mergeCell ref="AD16:AD19"/>
    <mergeCell ref="AE16:AE17"/>
    <mergeCell ref="AD32:AD35"/>
    <mergeCell ref="AE32:AE33"/>
    <mergeCell ref="AE34:AE35"/>
    <mergeCell ref="AD36:AD39"/>
    <mergeCell ref="AE36:AE37"/>
    <mergeCell ref="AE38:AE39"/>
    <mergeCell ref="AE18:AE19"/>
    <mergeCell ref="AD20:AD23"/>
    <mergeCell ref="AE20:AE21"/>
    <mergeCell ref="AE22:AE23"/>
    <mergeCell ref="J3:M3"/>
    <mergeCell ref="AK31:AK32"/>
    <mergeCell ref="AK25:AK26"/>
    <mergeCell ref="A17:C17"/>
    <mergeCell ref="AD24:AD27"/>
    <mergeCell ref="AE24:AE25"/>
    <mergeCell ref="A18:C18"/>
    <mergeCell ref="AE26:AE27"/>
    <mergeCell ref="B20:F20"/>
    <mergeCell ref="AJ21:AJ24"/>
    <mergeCell ref="AJ25:AJ28"/>
    <mergeCell ref="A1:F1"/>
    <mergeCell ref="I1:P1"/>
    <mergeCell ref="D3:E3"/>
    <mergeCell ref="E5:G5"/>
    <mergeCell ref="AD12:AD15"/>
    <mergeCell ref="AE12:AE13"/>
    <mergeCell ref="AE14:AE15"/>
    <mergeCell ref="P8:S8"/>
    <mergeCell ref="A10:F10"/>
    <mergeCell ref="J10:K11"/>
    <mergeCell ref="P10:Q11"/>
    <mergeCell ref="R10:S11"/>
    <mergeCell ref="A11:F11"/>
    <mergeCell ref="J7:M7"/>
    <mergeCell ref="J5:L5"/>
    <mergeCell ref="C15:D15"/>
    <mergeCell ref="BY41:CA41"/>
    <mergeCell ref="BS41:BU41"/>
    <mergeCell ref="BS35:BU35"/>
    <mergeCell ref="BX40:BX41"/>
    <mergeCell ref="BX24:CB24"/>
    <mergeCell ref="BX32:CB32"/>
    <mergeCell ref="BX38:CB38"/>
    <mergeCell ref="BY34:CA34"/>
    <mergeCell ref="BY40:CA40"/>
    <mergeCell ref="BX34:BX35"/>
    <mergeCell ref="BR30:CB30"/>
    <mergeCell ref="BY27:CA27"/>
    <mergeCell ref="BX26:BX27"/>
    <mergeCell ref="BS32:BU32"/>
    <mergeCell ref="BL40:BL41"/>
    <mergeCell ref="AP1:AU1"/>
    <mergeCell ref="BS40:BU40"/>
    <mergeCell ref="BM16:BO16"/>
    <mergeCell ref="BR40:BR41"/>
    <mergeCell ref="BM41:BO41"/>
    <mergeCell ref="BG31:BI31"/>
    <mergeCell ref="BG34:BI34"/>
    <mergeCell ref="BG35:BI35"/>
    <mergeCell ref="BG38:BI38"/>
    <mergeCell ref="BG26:BI26"/>
    <mergeCell ref="BS17:BU17"/>
    <mergeCell ref="BS18:BU18"/>
    <mergeCell ref="BL32:BL33"/>
    <mergeCell ref="BM40:BO40"/>
    <mergeCell ref="BG30:BI30"/>
    <mergeCell ref="BR11:BV11"/>
    <mergeCell ref="AP3:AQ3"/>
    <mergeCell ref="AS3:AW3"/>
    <mergeCell ref="AP29:AP30"/>
    <mergeCell ref="AV30:AV31"/>
    <mergeCell ref="AN5:AP5"/>
    <mergeCell ref="AM3:AN3"/>
    <mergeCell ref="AI1:AM1"/>
    <mergeCell ref="AK29:AK30"/>
    <mergeCell ref="AK15:AK16"/>
    <mergeCell ref="BG27:BI27"/>
    <mergeCell ref="BM17:BO17"/>
    <mergeCell ref="BR17:BR18"/>
    <mergeCell ref="BG22:BI22"/>
    <mergeCell ref="BL16:BL17"/>
    <mergeCell ref="BL24:BL25"/>
    <mergeCell ref="BM24:BO24"/>
    <mergeCell ref="BM25:BO25"/>
    <mergeCell ref="BF22:BF23"/>
    <mergeCell ref="AO17:AO20"/>
    <mergeCell ref="AK23:AK24"/>
    <mergeCell ref="AP27:AP28"/>
    <mergeCell ref="AV14:AV15"/>
    <mergeCell ref="AP15:AP16"/>
    <mergeCell ref="AU17:AU20"/>
    <mergeCell ref="AK21:AK22"/>
    <mergeCell ref="AP17:AP18"/>
    <mergeCell ref="AV18:AV19"/>
    <mergeCell ref="AU13:AU16"/>
    <mergeCell ref="AO13:AO16"/>
    <mergeCell ref="AU25:AU28"/>
    <mergeCell ref="AP23:AP24"/>
    <mergeCell ref="AO21:AO24"/>
    <mergeCell ref="AO25:AO28"/>
    <mergeCell ref="AP13:AP14"/>
    <mergeCell ref="AP21:AP22"/>
    <mergeCell ref="BG14:BI14"/>
    <mergeCell ref="BX16:CB16"/>
    <mergeCell ref="BS22:BU22"/>
    <mergeCell ref="BG23:BI23"/>
    <mergeCell ref="BS23:BU23"/>
    <mergeCell ref="BY20:CA20"/>
    <mergeCell ref="AJ8:AL8"/>
    <mergeCell ref="AS8:AT9"/>
    <mergeCell ref="AS7:AU7"/>
    <mergeCell ref="AZ8:BA9"/>
    <mergeCell ref="AO7:AP7"/>
    <mergeCell ref="AO8:AP9"/>
    <mergeCell ref="BX9:BZ9"/>
    <mergeCell ref="BG15:BI15"/>
    <mergeCell ref="BG19:BI19"/>
    <mergeCell ref="BX11:CB11"/>
    <mergeCell ref="BX19:BX20"/>
    <mergeCell ref="BF14:BF15"/>
    <mergeCell ref="BF11:BJ11"/>
    <mergeCell ref="BL11:BP11"/>
    <mergeCell ref="AJ13:AJ16"/>
    <mergeCell ref="AK19:AK20"/>
    <mergeCell ref="AP19:AP20"/>
    <mergeCell ref="AK13:AK14"/>
    <mergeCell ref="AJ11:AM11"/>
    <mergeCell ref="AU11:AY11"/>
    <mergeCell ref="AO11:AS11"/>
    <mergeCell ref="AY7:BA7"/>
    <mergeCell ref="AY8:AY9"/>
    <mergeCell ref="AJ17:AJ20"/>
    <mergeCell ref="BF42:BF43"/>
    <mergeCell ref="AK41:AK42"/>
    <mergeCell ref="AK43:AK44"/>
    <mergeCell ref="AJ37:AJ40"/>
    <mergeCell ref="AK37:AK38"/>
    <mergeCell ref="AK39:AK40"/>
    <mergeCell ref="AO37:AO40"/>
    <mergeCell ref="AJ33:AJ36"/>
    <mergeCell ref="AJ41:AJ44"/>
    <mergeCell ref="AK33:AK34"/>
    <mergeCell ref="AK35:AK36"/>
    <mergeCell ref="AO41:AO44"/>
    <mergeCell ref="AJ29:AJ32"/>
    <mergeCell ref="AK27:AK28"/>
    <mergeCell ref="AO29:AO32"/>
    <mergeCell ref="AO33:AO36"/>
    <mergeCell ref="BG42:BI42"/>
    <mergeCell ref="BG43:BI43"/>
    <mergeCell ref="BG18:BI18"/>
    <mergeCell ref="BF18:BF19"/>
    <mergeCell ref="BG39:BI39"/>
    <mergeCell ref="AU29:AU32"/>
    <mergeCell ref="AU33:AU36"/>
    <mergeCell ref="AV38:AV39"/>
    <mergeCell ref="AP31:AP32"/>
    <mergeCell ref="AV26:AV27"/>
    <mergeCell ref="AP25:AP26"/>
    <mergeCell ref="AV34:AV35"/>
    <mergeCell ref="AP35:AP36"/>
    <mergeCell ref="AP39:AP40"/>
    <mergeCell ref="AU37:AU40"/>
    <mergeCell ref="AP33:AP34"/>
    <mergeCell ref="AP43:AP44"/>
    <mergeCell ref="AU41:AU44"/>
    <mergeCell ref="AP41:AP42"/>
    <mergeCell ref="AV42:AV43"/>
    <mergeCell ref="CD19:CH19"/>
    <mergeCell ref="BF38:BF39"/>
    <mergeCell ref="BF34:BF35"/>
    <mergeCell ref="BF30:BF31"/>
    <mergeCell ref="AP37:AP38"/>
    <mergeCell ref="BF26:BF27"/>
    <mergeCell ref="AU21:AU24"/>
    <mergeCell ref="AV22:AV23"/>
    <mergeCell ref="CF21:CH21"/>
    <mergeCell ref="CF22:CH22"/>
    <mergeCell ref="CF23:CH23"/>
    <mergeCell ref="CF24:CH24"/>
    <mergeCell ref="CF25:CH25"/>
    <mergeCell ref="CF26:CH26"/>
    <mergeCell ref="CF27:CH27"/>
    <mergeCell ref="CF28:CH28"/>
    <mergeCell ref="BR22:BR23"/>
    <mergeCell ref="BY26:CA26"/>
    <mergeCell ref="BY19:CA19"/>
    <mergeCell ref="BM32:BO32"/>
    <mergeCell ref="BM33:BO33"/>
    <mergeCell ref="BR34:BR35"/>
    <mergeCell ref="BS34:BU34"/>
    <mergeCell ref="BY35:CA35"/>
  </mergeCells>
  <conditionalFormatting sqref="BJ14:BJ15">
    <cfRule type="iconSet" priority="1341">
      <iconSet>
        <cfvo type="percent" val="0"/>
        <cfvo type="percent" val="12"/>
        <cfvo type="percent" val="13"/>
      </iconSet>
    </cfRule>
  </conditionalFormatting>
  <conditionalFormatting sqref="BP16:BP19 BL20:BQ20">
    <cfRule type="duplicateValues" dxfId="584" priority="1338"/>
    <cfRule type="iconSet" priority="1339">
      <iconSet>
        <cfvo type="percent" val="0"/>
        <cfvo type="percent" val="12"/>
        <cfvo type="percent" val="13"/>
      </iconSet>
    </cfRule>
  </conditionalFormatting>
  <conditionalFormatting sqref="BV17:BV18">
    <cfRule type="duplicateValues" dxfId="583" priority="1336"/>
    <cfRule type="iconSet" priority="1337">
      <iconSet>
        <cfvo type="percent" val="0"/>
        <cfvo type="percent" val="12"/>
        <cfvo type="percent" val="13"/>
      </iconSet>
    </cfRule>
  </conditionalFormatting>
  <conditionalFormatting sqref="BP24:BP25">
    <cfRule type="duplicateValues" dxfId="582" priority="1320"/>
    <cfRule type="iconSet" priority="1321">
      <iconSet>
        <cfvo type="percent" val="0"/>
        <cfvo type="percent" val="12"/>
        <cfvo type="percent" val="13"/>
      </iconSet>
    </cfRule>
  </conditionalFormatting>
  <conditionalFormatting sqref="BP32:BP33">
    <cfRule type="duplicateValues" dxfId="581" priority="1294"/>
    <cfRule type="iconSet" priority="1295">
      <iconSet>
        <cfvo type="percent" val="0"/>
        <cfvo type="percent" val="12"/>
        <cfvo type="percent" val="13"/>
      </iconSet>
    </cfRule>
  </conditionalFormatting>
  <conditionalFormatting sqref="BP40:BP41">
    <cfRule type="duplicateValues" dxfId="580" priority="1292"/>
    <cfRule type="iconSet" priority="1293">
      <iconSet>
        <cfvo type="percent" val="0"/>
        <cfvo type="percent" val="12"/>
        <cfvo type="percent" val="13"/>
      </iconSet>
    </cfRule>
  </conditionalFormatting>
  <conditionalFormatting sqref="BV22:BV23">
    <cfRule type="duplicateValues" dxfId="579" priority="1290"/>
    <cfRule type="iconSet" priority="1291">
      <iconSet>
        <cfvo type="percent" val="0"/>
        <cfvo type="percent" val="12"/>
        <cfvo type="percent" val="13"/>
      </iconSet>
    </cfRule>
  </conditionalFormatting>
  <conditionalFormatting sqref="CB19:CB20">
    <cfRule type="duplicateValues" dxfId="578" priority="1158"/>
    <cfRule type="iconSet" priority="1159">
      <iconSet>
        <cfvo type="percent" val="0"/>
        <cfvo type="percent" val="12"/>
        <cfvo type="percent" val="13"/>
      </iconSet>
    </cfRule>
  </conditionalFormatting>
  <conditionalFormatting sqref="AX18:AX19 AX22:AX23 AX26:AX27 AX30:AX31 AX34:AX35 AX38:AX39 AX42:AX43 AR13:AR44 AX14:AX15">
    <cfRule type="containsText" dxfId="577" priority="1128" operator="containsText" text="résultat">
      <formula>NOT(ISERROR(SEARCH("résultat",AR13)))</formula>
    </cfRule>
    <cfRule type="containsText" dxfId="576" priority="1131" operator="containsText" text="OFFICE">
      <formula>NOT(ISERROR(SEARCH("OFFICE",AR13)))</formula>
    </cfRule>
  </conditionalFormatting>
  <conditionalFormatting sqref="AX14:AX15 AX18:AX19 AX22:AX23 AX26:AX27 AX30:AX31 AX34:AX35 AX38:AX39 AX42:AX43">
    <cfRule type="containsText" dxfId="575" priority="1127" operator="containsText" text="résultat">
      <formula>NOT(ISERROR(SEARCH("résultat",AX14)))</formula>
    </cfRule>
  </conditionalFormatting>
  <conditionalFormatting sqref="CB26:CB27">
    <cfRule type="duplicateValues" dxfId="574" priority="1122"/>
    <cfRule type="iconSet" priority="1123">
      <iconSet>
        <cfvo type="percent" val="0"/>
        <cfvo type="percent" val="12"/>
        <cfvo type="percent" val="13"/>
      </iconSet>
    </cfRule>
  </conditionalFormatting>
  <conditionalFormatting sqref="CF21">
    <cfRule type="expression" dxfId="573" priority="1121">
      <formula>(OR($CG$11+$CG$12=8,$CG$11+$CG$12=7,$CG$11+$CG$12=6,$CG$11+$CG$12=5,$CG$11+$CG$12=4,$CG$11+$CG$12=3,$CG$11+$CG$12=2,$CG$11+$CG$12=1))</formula>
    </cfRule>
  </conditionalFormatting>
  <conditionalFormatting sqref="CF22">
    <cfRule type="expression" dxfId="572" priority="434">
      <formula>(OR($CG$11+$CG$12=8,$CG$11+$CG$12=7,$CG$11+$CG$12=6,$CG$11+$CG$12=5,$CG$11+$CG$12=4,$CG$11+$CG$12=3,$CG$11+$CG$12=2))</formula>
    </cfRule>
  </conditionalFormatting>
  <conditionalFormatting sqref="CF24">
    <cfRule type="expression" dxfId="571" priority="1119">
      <formula>(OR($CG$11+$CG$12=8,$CG$11+$CG$12=7,$CG$11+$CG$12=6,$CG$11+$CG$12=5,$CG$11+$CG$12=4))</formula>
    </cfRule>
  </conditionalFormatting>
  <conditionalFormatting sqref="CF25">
    <cfRule type="expression" dxfId="570" priority="1118">
      <formula>(OR($CG$11+$CG$12=8,$CG$11+$CG$12=7,$CG$11+$CG$12=6,$CG$11+$CG$12=5))</formula>
    </cfRule>
  </conditionalFormatting>
  <conditionalFormatting sqref="CF27">
    <cfRule type="expression" dxfId="569" priority="1116">
      <formula>(OR($CG$11+$CG$12=8,$CG$11+$CG$12=7))</formula>
    </cfRule>
  </conditionalFormatting>
  <conditionalFormatting sqref="CF28">
    <cfRule type="expression" dxfId="568" priority="1115">
      <formula>(OR($CG$11+$CG$12=8))</formula>
    </cfRule>
  </conditionalFormatting>
  <conditionalFormatting sqref="CF23">
    <cfRule type="expression" dxfId="567" priority="1114">
      <formula>-(OR($CG$11+$CG$12=8,$CG$11+$CG$12=7,$CG$11+$CG$12=6,$CG$11+$CG$12=5,$CG$11+$CG$12=4,$CG$11+$CG$12=3))</formula>
    </cfRule>
  </conditionalFormatting>
  <conditionalFormatting sqref="CD21:CD28">
    <cfRule type="expression" dxfId="566" priority="1113">
      <formula>"SI(OU(AG3=9;AG3=8;AG3=7;AG3=6;AG3=5;AG3=4;AG3=3;AG3=2))"</formula>
    </cfRule>
  </conditionalFormatting>
  <conditionalFormatting sqref="CD21">
    <cfRule type="expression" dxfId="565" priority="1112">
      <formula>(OR(#REF!=9,#REF!=8,#REF!=7,#REF!=6,#REF!=5,#REF!=4,#REF!=3,#REF!=2,#REF!=1))</formula>
    </cfRule>
  </conditionalFormatting>
  <conditionalFormatting sqref="CD22">
    <cfRule type="expression" dxfId="564" priority="1111">
      <formula>(OR(#REF!=9,#REF!=8,#REF!=7,#REF!=6,#REF!=5,#REF!=4,#REF!=3,#REF!=2))</formula>
    </cfRule>
  </conditionalFormatting>
  <conditionalFormatting sqref="CD23">
    <cfRule type="expression" dxfId="563" priority="1110">
      <formula>(OR(#REF!=9,#REF!=8,#REF!=7,#REF!=6,#REF!=5,#REF!=4,#REF!=3))</formula>
    </cfRule>
  </conditionalFormatting>
  <conditionalFormatting sqref="CD24">
    <cfRule type="expression" dxfId="562" priority="1109">
      <formula>(OR(#REF!=9,#REF!=8,#REF!=7,#REF!=6,#REF!=5,#REF!=4))</formula>
    </cfRule>
  </conditionalFormatting>
  <conditionalFormatting sqref="CD25">
    <cfRule type="expression" dxfId="561" priority="1108">
      <formula>(OR(#REF!=9,#REF!=8,#REF!=7,#REF!=6,#REF!=5))</formula>
    </cfRule>
  </conditionalFormatting>
  <conditionalFormatting sqref="CD26">
    <cfRule type="expression" dxfId="560" priority="1107">
      <formula>(OR(#REF!=9,#REF!=8,#REF!=7,#REF!=6))</formula>
    </cfRule>
  </conditionalFormatting>
  <conditionalFormatting sqref="CD27">
    <cfRule type="expression" dxfId="559" priority="1106">
      <formula>(OR(#REF!=9,#REF!=8,#REF!=7))</formula>
    </cfRule>
  </conditionalFormatting>
  <conditionalFormatting sqref="CD28">
    <cfRule type="expression" dxfId="558" priority="1105">
      <formula>(OR(#REF!=9,#REF!=8))</formula>
    </cfRule>
  </conditionalFormatting>
  <conditionalFormatting sqref="CD21">
    <cfRule type="expression" dxfId="557" priority="1096">
      <formula>(OR(#REF!=9,#REF!=8,#REF!=7,#REF!=6,#REF!=5,#REF!=4,#REF!=3,#REF!=2,#REF!=1))</formula>
    </cfRule>
  </conditionalFormatting>
  <conditionalFormatting sqref="CD22">
    <cfRule type="expression" dxfId="556" priority="1095">
      <formula>(OR(#REF!=9,#REF!=8,#REF!=7,#REF!=6,#REF!=5,#REF!=4,#REF!=3,#REF!=2))</formula>
    </cfRule>
  </conditionalFormatting>
  <conditionalFormatting sqref="CD23">
    <cfRule type="expression" dxfId="555" priority="1094">
      <formula>(OR(#REF!=9,#REF!=8,#REF!=7,#REF!=6,#REF!=5,#REF!=4,#REF!=3))</formula>
    </cfRule>
  </conditionalFormatting>
  <conditionalFormatting sqref="CD24">
    <cfRule type="expression" dxfId="554" priority="1093">
      <formula>(OR(#REF!=9,#REF!=8,#REF!=7,#REF!=6,#REF!=5,#REF!=4))</formula>
    </cfRule>
  </conditionalFormatting>
  <conditionalFormatting sqref="CD25">
    <cfRule type="expression" dxfId="553" priority="1092">
      <formula>(OR(#REF!=9,#REF!=8,#REF!=7,#REF!=6,#REF!=5))</formula>
    </cfRule>
  </conditionalFormatting>
  <conditionalFormatting sqref="CD26">
    <cfRule type="expression" dxfId="552" priority="1091">
      <formula>(OR(#REF!=9,#REF!=8,#REF!=7,#REF!=6))</formula>
    </cfRule>
  </conditionalFormatting>
  <conditionalFormatting sqref="AS13:AS14">
    <cfRule type="iconSet" priority="1089">
      <iconSet iconSet="3Signs">
        <cfvo type="percent" val="0"/>
        <cfvo type="percent" val="12"/>
        <cfvo type="percent" val="13" gte="0"/>
      </iconSet>
    </cfRule>
  </conditionalFormatting>
  <conditionalFormatting sqref="AS15:AS16">
    <cfRule type="iconSet" priority="1088">
      <iconSet iconSet="3Signs">
        <cfvo type="percent" val="0"/>
        <cfvo type="percent" val="12"/>
        <cfvo type="percent" val="13" gte="0"/>
      </iconSet>
    </cfRule>
  </conditionalFormatting>
  <conditionalFormatting sqref="AS17:AS18">
    <cfRule type="iconSet" priority="1087">
      <iconSet iconSet="3Signs">
        <cfvo type="percent" val="0"/>
        <cfvo type="percent" val="12"/>
        <cfvo type="percent" val="13" gte="0"/>
      </iconSet>
    </cfRule>
  </conditionalFormatting>
  <conditionalFormatting sqref="AS19:AS20">
    <cfRule type="iconSet" priority="1086">
      <iconSet iconSet="3Signs">
        <cfvo type="percent" val="0"/>
        <cfvo type="percent" val="12"/>
        <cfvo type="percent" val="13" gte="0"/>
      </iconSet>
    </cfRule>
  </conditionalFormatting>
  <conditionalFormatting sqref="AS21:AS22">
    <cfRule type="iconSet" priority="1085">
      <iconSet iconSet="3Signs">
        <cfvo type="percent" val="0"/>
        <cfvo type="percent" val="12"/>
        <cfvo type="percent" val="13" gte="0"/>
      </iconSet>
    </cfRule>
  </conditionalFormatting>
  <conditionalFormatting sqref="AS23:AS24">
    <cfRule type="iconSet" priority="1083">
      <iconSet iconSet="3Signs">
        <cfvo type="percent" val="0"/>
        <cfvo type="percent" val="12"/>
        <cfvo type="percent" val="13" gte="0"/>
      </iconSet>
    </cfRule>
  </conditionalFormatting>
  <conditionalFormatting sqref="AS25:AS26">
    <cfRule type="iconSet" priority="1082">
      <iconSet iconSet="3Signs">
        <cfvo type="percent" val="0"/>
        <cfvo type="percent" val="12"/>
        <cfvo type="percent" val="13" gte="0"/>
      </iconSet>
    </cfRule>
  </conditionalFormatting>
  <conditionalFormatting sqref="AS27:AS28">
    <cfRule type="iconSet" priority="1081">
      <iconSet iconSet="3Signs">
        <cfvo type="percent" val="0"/>
        <cfvo type="percent" val="12"/>
        <cfvo type="percent" val="13" gte="0"/>
      </iconSet>
    </cfRule>
  </conditionalFormatting>
  <conditionalFormatting sqref="AM15:AM16">
    <cfRule type="iconSet" priority="972">
      <iconSet iconSet="3Signs">
        <cfvo type="percent" val="0"/>
        <cfvo type="percent" val="12"/>
        <cfvo type="percent" val="13" gte="0"/>
      </iconSet>
    </cfRule>
  </conditionalFormatting>
  <conditionalFormatting sqref="BC14 BC18">
    <cfRule type="expression" dxfId="551" priority="1003" stopIfTrue="1">
      <formula>(OR(CL1048569="1",CL1048569="2",CL1048569="3"))</formula>
    </cfRule>
  </conditionalFormatting>
  <conditionalFormatting sqref="BC15 BC19">
    <cfRule type="expression" dxfId="550" priority="1002">
      <formula>(OR(CL1048569="2",CL1048569="3"))</formula>
    </cfRule>
  </conditionalFormatting>
  <conditionalFormatting sqref="AS29:AS30">
    <cfRule type="iconSet" priority="999">
      <iconSet iconSet="3Signs">
        <cfvo type="percent" val="0"/>
        <cfvo type="percent" val="12"/>
        <cfvo type="percent" val="23" gte="0"/>
      </iconSet>
    </cfRule>
  </conditionalFormatting>
  <conditionalFormatting sqref="AS31:AS32">
    <cfRule type="iconSet" priority="998">
      <iconSet iconSet="3Signs">
        <cfvo type="percent" val="0"/>
        <cfvo type="percent" val="12"/>
        <cfvo type="percent" val="13" gte="0"/>
      </iconSet>
    </cfRule>
  </conditionalFormatting>
  <conditionalFormatting sqref="AS33:AS34">
    <cfRule type="iconSet" priority="997">
      <iconSet iconSet="3Signs">
        <cfvo type="percent" val="0"/>
        <cfvo type="percent" val="12"/>
        <cfvo type="percent" val="13" gte="0"/>
      </iconSet>
    </cfRule>
  </conditionalFormatting>
  <conditionalFormatting sqref="AS35:AS36">
    <cfRule type="iconSet" priority="996">
      <iconSet iconSet="3Signs">
        <cfvo type="percent" val="0"/>
        <cfvo type="percent" val="12"/>
        <cfvo type="percent" val="13" gte="0"/>
      </iconSet>
    </cfRule>
  </conditionalFormatting>
  <conditionalFormatting sqref="AS37:AS38">
    <cfRule type="iconSet" priority="995">
      <iconSet iconSet="3Signs">
        <cfvo type="percent" val="0"/>
        <cfvo type="percent" val="12"/>
        <cfvo type="percent" val="13" gte="0"/>
      </iconSet>
    </cfRule>
  </conditionalFormatting>
  <conditionalFormatting sqref="AS39:AS40">
    <cfRule type="iconSet" priority="994">
      <iconSet iconSet="3Signs">
        <cfvo type="percent" val="0"/>
        <cfvo type="percent" val="12"/>
        <cfvo type="percent" val="13" gte="0"/>
      </iconSet>
    </cfRule>
  </conditionalFormatting>
  <conditionalFormatting sqref="AS41:AS42">
    <cfRule type="iconSet" priority="993">
      <iconSet iconSet="3Signs">
        <cfvo type="percent" val="0"/>
        <cfvo type="percent" val="12"/>
        <cfvo type="percent" val="13" gte="0"/>
      </iconSet>
    </cfRule>
  </conditionalFormatting>
  <conditionalFormatting sqref="AS43:AS44">
    <cfRule type="iconSet" priority="992">
      <iconSet iconSet="3Signs">
        <cfvo type="percent" val="0"/>
        <cfvo type="percent" val="12"/>
        <cfvo type="percent" val="13" gte="0"/>
      </iconSet>
    </cfRule>
  </conditionalFormatting>
  <conditionalFormatting sqref="AM13:AM14">
    <cfRule type="iconSet" priority="954">
      <iconSet iconSet="3Signs">
        <cfvo type="percent" val="0"/>
        <cfvo type="percent" val="12"/>
        <cfvo type="percent" val="13" gte="0"/>
      </iconSet>
    </cfRule>
  </conditionalFormatting>
  <conditionalFormatting sqref="AM17:AM18">
    <cfRule type="iconSet" priority="970">
      <iconSet iconSet="3Signs">
        <cfvo type="percent" val="0"/>
        <cfvo type="percent" val="12"/>
        <cfvo type="percent" val="13" gte="0"/>
      </iconSet>
    </cfRule>
  </conditionalFormatting>
  <conditionalFormatting sqref="AM19:AM20">
    <cfRule type="iconSet" priority="969">
      <iconSet iconSet="3Signs">
        <cfvo type="percent" val="0"/>
        <cfvo type="percent" val="12"/>
        <cfvo type="percent" val="13" gte="0"/>
      </iconSet>
    </cfRule>
  </conditionalFormatting>
  <conditionalFormatting sqref="AM21:AM22">
    <cfRule type="iconSet" priority="968">
      <iconSet iconSet="3Signs">
        <cfvo type="percent" val="0"/>
        <cfvo type="percent" val="12"/>
        <cfvo type="percent" val="13" gte="0"/>
      </iconSet>
    </cfRule>
  </conditionalFormatting>
  <conditionalFormatting sqref="AM23:AM24">
    <cfRule type="iconSet" priority="967">
      <iconSet iconSet="3Signs">
        <cfvo type="percent" val="0"/>
        <cfvo type="percent" val="12"/>
        <cfvo type="percent" val="13" gte="0"/>
      </iconSet>
    </cfRule>
  </conditionalFormatting>
  <conditionalFormatting sqref="AM25:AM26">
    <cfRule type="iconSet" priority="966">
      <iconSet iconSet="3Signs">
        <cfvo type="percent" val="0"/>
        <cfvo type="percent" val="12"/>
        <cfvo type="percent" val="13" gte="0"/>
      </iconSet>
    </cfRule>
  </conditionalFormatting>
  <conditionalFormatting sqref="AM27:AM28">
    <cfRule type="iconSet" priority="964">
      <iconSet iconSet="3Signs">
        <cfvo type="percent" val="0"/>
        <cfvo type="percent" val="12"/>
        <cfvo type="percent" val="13" gte="0"/>
      </iconSet>
    </cfRule>
    <cfRule type="iconSet" priority="965">
      <iconSet iconSet="3Signs">
        <cfvo type="percent" val="0"/>
        <cfvo type="percent" val="12"/>
        <cfvo type="percent" val="13" gte="0"/>
      </iconSet>
    </cfRule>
  </conditionalFormatting>
  <conditionalFormatting sqref="AM29:AM30">
    <cfRule type="iconSet" priority="963">
      <iconSet iconSet="3Signs">
        <cfvo type="percent" val="0"/>
        <cfvo type="percent" val="12"/>
        <cfvo type="percent" val="13" gte="0"/>
      </iconSet>
    </cfRule>
  </conditionalFormatting>
  <conditionalFormatting sqref="AM31:AM32">
    <cfRule type="iconSet" priority="961">
      <iconSet iconSet="3Signs">
        <cfvo type="percent" val="0"/>
        <cfvo type="percent" val="12"/>
        <cfvo type="percent" val="13" gte="0"/>
      </iconSet>
    </cfRule>
    <cfRule type="iconSet" priority="962">
      <iconSet iconSet="3Signs">
        <cfvo type="percent" val="0"/>
        <cfvo type="percent" val="12"/>
        <cfvo type="percent" val="13"/>
      </iconSet>
    </cfRule>
  </conditionalFormatting>
  <conditionalFormatting sqref="AM33:AM34">
    <cfRule type="iconSet" priority="960">
      <iconSet iconSet="3Signs">
        <cfvo type="percent" val="0"/>
        <cfvo type="percent" val="12"/>
        <cfvo type="percent" val="13" gte="0"/>
      </iconSet>
    </cfRule>
  </conditionalFormatting>
  <conditionalFormatting sqref="AM35:AM36">
    <cfRule type="iconSet" priority="959">
      <iconSet iconSet="3Signs">
        <cfvo type="percent" val="0"/>
        <cfvo type="percent" val="12"/>
        <cfvo type="percent" val="13" gte="0"/>
      </iconSet>
    </cfRule>
  </conditionalFormatting>
  <conditionalFormatting sqref="AM37:AM38">
    <cfRule type="iconSet" priority="958">
      <iconSet iconSet="3Signs">
        <cfvo type="percent" val="0"/>
        <cfvo type="percent" val="12"/>
        <cfvo type="percent" val="13" gte="0"/>
      </iconSet>
    </cfRule>
  </conditionalFormatting>
  <conditionalFormatting sqref="AM39:AM40">
    <cfRule type="iconSet" priority="957">
      <iconSet iconSet="3Signs">
        <cfvo type="percent" val="0"/>
        <cfvo type="percent" val="12"/>
        <cfvo type="percent" val="13" gte="0"/>
      </iconSet>
    </cfRule>
  </conditionalFormatting>
  <conditionalFormatting sqref="AM41:AM42">
    <cfRule type="iconSet" priority="956">
      <iconSet>
        <cfvo type="percent" val="0"/>
        <cfvo type="percent" val="12"/>
        <cfvo type="percent" val="13" gte="0"/>
      </iconSet>
    </cfRule>
  </conditionalFormatting>
  <conditionalFormatting sqref="AM43:AM44">
    <cfRule type="iconSet" priority="955">
      <iconSet iconSet="3Signs">
        <cfvo type="percent" val="0"/>
        <cfvo type="percent" val="12"/>
        <cfvo type="percent" val="13" gte="0"/>
      </iconSet>
    </cfRule>
  </conditionalFormatting>
  <conditionalFormatting sqref="BC30">
    <cfRule type="expression" dxfId="549" priority="831" stopIfTrue="1">
      <formula>(OR(#REF!="1",#REF!="2",#REF!="3"))</formula>
    </cfRule>
  </conditionalFormatting>
  <conditionalFormatting sqref="BC31">
    <cfRule type="expression" dxfId="548" priority="830">
      <formula>(OR(#REF!="2",#REF!="3"))</formula>
    </cfRule>
  </conditionalFormatting>
  <conditionalFormatting sqref="BJ18:BJ19">
    <cfRule type="duplicateValues" dxfId="547" priority="2978"/>
    <cfRule type="iconSet" priority="2979">
      <iconSet>
        <cfvo type="percent" val="0"/>
        <cfvo type="percent" val="12"/>
        <cfvo type="percent" val="13"/>
      </iconSet>
    </cfRule>
  </conditionalFormatting>
  <conditionalFormatting sqref="BJ42:BJ43">
    <cfRule type="duplicateValues" dxfId="546" priority="2980"/>
    <cfRule type="iconSet" priority="2981">
      <iconSet>
        <cfvo type="percent" val="0"/>
        <cfvo type="percent" val="12"/>
        <cfvo type="percent" val="13"/>
      </iconSet>
    </cfRule>
  </conditionalFormatting>
  <conditionalFormatting sqref="CK47:CW47 CY49:CZ49 CH46:CI46 CK46:CQ46">
    <cfRule type="iconSet" priority="3006">
      <iconSet>
        <cfvo type="percent" val="0"/>
        <cfvo type="percent" val="12"/>
        <cfvo type="percent" val="13"/>
      </iconSet>
    </cfRule>
  </conditionalFormatting>
  <conditionalFormatting sqref="CY52:CZ53 CL50:CX51">
    <cfRule type="iconSet" priority="3010">
      <iconSet>
        <cfvo type="percent" val="0"/>
        <cfvo type="percent" val="12"/>
        <cfvo type="percent" val="13"/>
      </iconSet>
    </cfRule>
  </conditionalFormatting>
  <conditionalFormatting sqref="CY56:CZ57 CL54:CX55">
    <cfRule type="iconSet" priority="3012">
      <iconSet>
        <cfvo type="percent" val="0"/>
        <cfvo type="percent" val="12"/>
        <cfvo type="percent" val="13"/>
      </iconSet>
    </cfRule>
  </conditionalFormatting>
  <conditionalFormatting sqref="CY60:CZ61 CL58:CX59">
    <cfRule type="iconSet" priority="3014">
      <iconSet>
        <cfvo type="percent" val="0"/>
        <cfvo type="percent" val="12"/>
        <cfvo type="percent" val="13"/>
      </iconSet>
    </cfRule>
  </conditionalFormatting>
  <conditionalFormatting sqref="CK47:CW47 CY49:CZ49 CH46:CI46 CK46:CQ46">
    <cfRule type="duplicateValues" dxfId="545" priority="3016"/>
    <cfRule type="iconSet" priority="3017">
      <iconSet>
        <cfvo type="percent" val="0"/>
        <cfvo type="percent" val="12"/>
        <cfvo type="percent" val="13"/>
      </iconSet>
    </cfRule>
  </conditionalFormatting>
  <conditionalFormatting sqref="CY52:CZ53 CL50:CX51">
    <cfRule type="duplicateValues" dxfId="544" priority="3024"/>
    <cfRule type="iconSet" priority="3025">
      <iconSet>
        <cfvo type="percent" val="0"/>
        <cfvo type="percent" val="12"/>
        <cfvo type="percent" val="13"/>
      </iconSet>
    </cfRule>
  </conditionalFormatting>
  <conditionalFormatting sqref="CY56:CZ57 CL54:CX55">
    <cfRule type="duplicateValues" dxfId="543" priority="3028"/>
    <cfRule type="iconSet" priority="3029">
      <iconSet>
        <cfvo type="percent" val="0"/>
        <cfvo type="percent" val="12"/>
        <cfvo type="percent" val="13"/>
      </iconSet>
    </cfRule>
  </conditionalFormatting>
  <conditionalFormatting sqref="CY60:CZ61 CL58:CX59">
    <cfRule type="duplicateValues" dxfId="542" priority="3032"/>
    <cfRule type="iconSet" priority="3033">
      <iconSet>
        <cfvo type="percent" val="0"/>
        <cfvo type="percent" val="12"/>
        <cfvo type="percent" val="13"/>
      </iconSet>
    </cfRule>
  </conditionalFormatting>
  <conditionalFormatting sqref="CY64:CZ65 CL62:CX63">
    <cfRule type="iconSet" priority="3036">
      <iconSet>
        <cfvo type="percent" val="0"/>
        <cfvo type="percent" val="12"/>
        <cfvo type="percent" val="13"/>
      </iconSet>
    </cfRule>
  </conditionalFormatting>
  <conditionalFormatting sqref="CY68:CZ69 CL66:CX67">
    <cfRule type="iconSet" priority="3038">
      <iconSet>
        <cfvo type="percent" val="0"/>
        <cfvo type="percent" val="12"/>
        <cfvo type="percent" val="13"/>
      </iconSet>
    </cfRule>
  </conditionalFormatting>
  <conditionalFormatting sqref="CY72:CZ73 CL70:CX71">
    <cfRule type="iconSet" priority="3040">
      <iconSet>
        <cfvo type="percent" val="0"/>
        <cfvo type="percent" val="12"/>
        <cfvo type="percent" val="13"/>
      </iconSet>
    </cfRule>
  </conditionalFormatting>
  <conditionalFormatting sqref="CY76:CZ77 CL74:CX75">
    <cfRule type="iconSet" priority="3042">
      <iconSet>
        <cfvo type="percent" val="0"/>
        <cfvo type="percent" val="12"/>
        <cfvo type="percent" val="13"/>
      </iconSet>
    </cfRule>
  </conditionalFormatting>
  <conditionalFormatting sqref="CY64:CZ65 CL62:CX63">
    <cfRule type="duplicateValues" dxfId="541" priority="3044"/>
    <cfRule type="iconSet" priority="3045">
      <iconSet>
        <cfvo type="percent" val="0"/>
        <cfvo type="percent" val="12"/>
        <cfvo type="percent" val="13"/>
      </iconSet>
    </cfRule>
  </conditionalFormatting>
  <conditionalFormatting sqref="CY68:CZ69 CL66:CX67">
    <cfRule type="duplicateValues" dxfId="540" priority="3048"/>
    <cfRule type="iconSet" priority="3049">
      <iconSet>
        <cfvo type="percent" val="0"/>
        <cfvo type="percent" val="12"/>
        <cfvo type="percent" val="13"/>
      </iconSet>
    </cfRule>
  </conditionalFormatting>
  <conditionalFormatting sqref="CY72:CZ73 CL70:CX71">
    <cfRule type="duplicateValues" dxfId="539" priority="3052"/>
    <cfRule type="iconSet" priority="3053">
      <iconSet>
        <cfvo type="percent" val="0"/>
        <cfvo type="percent" val="12"/>
        <cfvo type="percent" val="13"/>
      </iconSet>
    </cfRule>
  </conditionalFormatting>
  <conditionalFormatting sqref="CY76:CZ77 CL74:CX75">
    <cfRule type="duplicateValues" dxfId="538" priority="3056"/>
    <cfRule type="iconSet" priority="3057">
      <iconSet>
        <cfvo type="percent" val="0"/>
        <cfvo type="percent" val="12"/>
        <cfvo type="percent" val="13"/>
      </iconSet>
    </cfRule>
  </conditionalFormatting>
  <conditionalFormatting sqref="BJ22:BJ24">
    <cfRule type="duplicateValues" dxfId="537" priority="3060"/>
    <cfRule type="iconSet" priority="3061">
      <iconSet>
        <cfvo type="percent" val="0"/>
        <cfvo type="percent" val="12"/>
        <cfvo type="percent" val="13"/>
      </iconSet>
    </cfRule>
  </conditionalFormatting>
  <conditionalFormatting sqref="BJ26:BJ28">
    <cfRule type="duplicateValues" dxfId="536" priority="3062"/>
    <cfRule type="iconSet" priority="3063">
      <iconSet>
        <cfvo type="percent" val="0"/>
        <cfvo type="percent" val="12"/>
        <cfvo type="percent" val="13"/>
      </iconSet>
    </cfRule>
  </conditionalFormatting>
  <conditionalFormatting sqref="BJ30:BJ32">
    <cfRule type="duplicateValues" dxfId="535" priority="3064"/>
    <cfRule type="iconSet" priority="3065">
      <iconSet>
        <cfvo type="percent" val="0"/>
        <cfvo type="percent" val="12"/>
        <cfvo type="percent" val="13"/>
      </iconSet>
    </cfRule>
  </conditionalFormatting>
  <conditionalFormatting sqref="BJ34:BJ36">
    <cfRule type="duplicateValues" dxfId="534" priority="3066"/>
    <cfRule type="iconSet" priority="3067">
      <iconSet>
        <cfvo type="percent" val="0"/>
        <cfvo type="percent" val="12"/>
        <cfvo type="percent" val="13"/>
      </iconSet>
    </cfRule>
  </conditionalFormatting>
  <conditionalFormatting sqref="BJ38:BJ40">
    <cfRule type="duplicateValues" dxfId="533" priority="3068"/>
    <cfRule type="iconSet" priority="3069">
      <iconSet>
        <cfvo type="percent" val="0"/>
        <cfvo type="percent" val="12"/>
        <cfvo type="percent" val="13"/>
      </iconSet>
    </cfRule>
  </conditionalFormatting>
  <conditionalFormatting sqref="BC22 BC18">
    <cfRule type="expression" dxfId="532" priority="3070" stopIfTrue="1">
      <formula>(OR(#REF!="1",#REF!="2",#REF!="3"))</formula>
    </cfRule>
  </conditionalFormatting>
  <conditionalFormatting sqref="BC23 BC19">
    <cfRule type="expression" dxfId="531" priority="3072">
      <formula>(OR(#REF!="2",#REF!="3"))</formula>
    </cfRule>
  </conditionalFormatting>
  <conditionalFormatting sqref="BC22">
    <cfRule type="expression" dxfId="530" priority="603" stopIfTrue="1">
      <formula>(OR(CI5="1",CI5="2",CI5="3"))</formula>
    </cfRule>
  </conditionalFormatting>
  <conditionalFormatting sqref="BC23">
    <cfRule type="expression" dxfId="529" priority="602">
      <formula>(OR(CI5="2",CI5="3"))</formula>
    </cfRule>
  </conditionalFormatting>
  <conditionalFormatting sqref="BC22">
    <cfRule type="expression" dxfId="528" priority="599" stopIfTrue="1">
      <formula>(OR(CI5="1",CI5="2",CI5="3"))</formula>
    </cfRule>
  </conditionalFormatting>
  <conditionalFormatting sqref="BC23">
    <cfRule type="expression" dxfId="527" priority="598">
      <formula>(OR(CI5="2",CI5="3"))</formula>
    </cfRule>
  </conditionalFormatting>
  <conditionalFormatting sqref="BC22">
    <cfRule type="expression" dxfId="526" priority="595" stopIfTrue="1">
      <formula>(OR(CI5="1",CI5="2",CI5="3"))</formula>
    </cfRule>
  </conditionalFormatting>
  <conditionalFormatting sqref="BC23">
    <cfRule type="expression" dxfId="525" priority="594">
      <formula>(OR(CI5="2",CI5="3"))</formula>
    </cfRule>
  </conditionalFormatting>
  <conditionalFormatting sqref="BC22">
    <cfRule type="expression" dxfId="524" priority="591" stopIfTrue="1">
      <formula>(OR(CI5="1",CI5="2",CI5="3"))</formula>
    </cfRule>
  </conditionalFormatting>
  <conditionalFormatting sqref="BC23">
    <cfRule type="expression" dxfId="523" priority="590">
      <formula>(OR(CI5="2",CI5="3"))</formula>
    </cfRule>
  </conditionalFormatting>
  <conditionalFormatting sqref="BC26 BC30 BC34 BC38 BC42">
    <cfRule type="expression" dxfId="522" priority="587" stopIfTrue="1">
      <formula>(OR(#REF!="1",#REF!="2",#REF!="3"))</formula>
    </cfRule>
  </conditionalFormatting>
  <conditionalFormatting sqref="BC27 BC31 BC35 BC39 BC43">
    <cfRule type="expression" dxfId="521" priority="586">
      <formula>(OR(#REF!="2",#REF!="3"))</formula>
    </cfRule>
  </conditionalFormatting>
  <conditionalFormatting sqref="BC26">
    <cfRule type="expression" dxfId="520" priority="583" stopIfTrue="1">
      <formula>(OR(CG7="1",CG7="2",CG7="3"))</formula>
    </cfRule>
  </conditionalFormatting>
  <conditionalFormatting sqref="BC27">
    <cfRule type="expression" dxfId="519" priority="582">
      <formula>(OR(CG7="2",CG7="3"))</formula>
    </cfRule>
  </conditionalFormatting>
  <conditionalFormatting sqref="BC26">
    <cfRule type="expression" dxfId="518" priority="579" stopIfTrue="1">
      <formula>(OR(CG7="1",CG7="2",CG7="3"))</formula>
    </cfRule>
  </conditionalFormatting>
  <conditionalFormatting sqref="BC27">
    <cfRule type="expression" dxfId="517" priority="578">
      <formula>(OR(CG7="2",CG7="3"))</formula>
    </cfRule>
  </conditionalFormatting>
  <conditionalFormatting sqref="BC26">
    <cfRule type="expression" dxfId="516" priority="575" stopIfTrue="1">
      <formula>(OR(CG7="1",CG7="2",CG7="3"))</formula>
    </cfRule>
  </conditionalFormatting>
  <conditionalFormatting sqref="BC27">
    <cfRule type="expression" dxfId="515" priority="574">
      <formula>(OR(CG7="2",CG7="3"))</formula>
    </cfRule>
  </conditionalFormatting>
  <conditionalFormatting sqref="BC26">
    <cfRule type="expression" dxfId="514" priority="571" stopIfTrue="1">
      <formula>(OR(CG7="1",CG7="2",CG7="3"))</formula>
    </cfRule>
  </conditionalFormatting>
  <conditionalFormatting sqref="BC27">
    <cfRule type="expression" dxfId="513" priority="570">
      <formula>(OR(CG7="2",CG7="3"))</formula>
    </cfRule>
  </conditionalFormatting>
  <conditionalFormatting sqref="CF26">
    <cfRule type="expression" dxfId="512" priority="3581">
      <formula>(OR($CG$11+$CG$12=8,$CG$11+$CG$12=7,$CG$11+$CG$12=6))</formula>
    </cfRule>
  </conditionalFormatting>
  <conditionalFormatting sqref="BC22">
    <cfRule type="expression" dxfId="511" priority="416" stopIfTrue="1">
      <formula>(OR(CK1="1",CK1="2",CK1="3"))</formula>
    </cfRule>
  </conditionalFormatting>
  <conditionalFormatting sqref="BC23">
    <cfRule type="expression" dxfId="510" priority="415">
      <formula>(OR(CK1="2",CK1="3"))</formula>
    </cfRule>
  </conditionalFormatting>
  <conditionalFormatting sqref="BC22">
    <cfRule type="expression" dxfId="509" priority="412" stopIfTrue="1">
      <formula>(OR(CK1="1",CK1="2",CK1="3"))</formula>
    </cfRule>
  </conditionalFormatting>
  <conditionalFormatting sqref="BC23">
    <cfRule type="expression" dxfId="508" priority="411">
      <formula>(OR(CK1="2",CK1="3"))</formula>
    </cfRule>
  </conditionalFormatting>
  <conditionalFormatting sqref="BC22">
    <cfRule type="expression" dxfId="507" priority="408" stopIfTrue="1">
      <formula>(OR(CK1="1",CK1="2",CK1="3"))</formula>
    </cfRule>
  </conditionalFormatting>
  <conditionalFormatting sqref="BC23">
    <cfRule type="expression" dxfId="506" priority="407">
      <formula>(OR(CK1="2",CK1="3"))</formula>
    </cfRule>
  </conditionalFormatting>
  <conditionalFormatting sqref="BC22">
    <cfRule type="expression" dxfId="505" priority="404" stopIfTrue="1">
      <formula>(OR(CK1="1",CK1="2",CK1="3"))</formula>
    </cfRule>
  </conditionalFormatting>
  <conditionalFormatting sqref="BC23">
    <cfRule type="expression" dxfId="504" priority="403">
      <formula>(OR(CK1="2",CK1="3"))</formula>
    </cfRule>
  </conditionalFormatting>
  <conditionalFormatting sqref="BC26">
    <cfRule type="expression" dxfId="503" priority="400" stopIfTrue="1">
      <formula>(OR(CI5="1",CI5="2",CI5="3"))</formula>
    </cfRule>
  </conditionalFormatting>
  <conditionalFormatting sqref="BC27">
    <cfRule type="expression" dxfId="502" priority="399">
      <formula>(OR(CI5="2",CI5="3"))</formula>
    </cfRule>
  </conditionalFormatting>
  <conditionalFormatting sqref="BC26">
    <cfRule type="expression" dxfId="501" priority="396" stopIfTrue="1">
      <formula>(OR(CI5="1",CI5="2",CI5="3"))</formula>
    </cfRule>
  </conditionalFormatting>
  <conditionalFormatting sqref="BC27">
    <cfRule type="expression" dxfId="500" priority="395">
      <formula>(OR(CI5="2",CI5="3"))</formula>
    </cfRule>
  </conditionalFormatting>
  <conditionalFormatting sqref="BC30">
    <cfRule type="expression" dxfId="499" priority="392" stopIfTrue="1">
      <formula>(OR(BT9="1",BT9="2",BT9="3"))</formula>
    </cfRule>
  </conditionalFormatting>
  <conditionalFormatting sqref="BC31">
    <cfRule type="expression" dxfId="498" priority="391">
      <formula>(OR(BT9="2",BT9="3"))</formula>
    </cfRule>
  </conditionalFormatting>
  <conditionalFormatting sqref="BC30">
    <cfRule type="expression" dxfId="497" priority="388" stopIfTrue="1">
      <formula>(OR(BT9="1",BT9="2",BT9="3"))</formula>
    </cfRule>
  </conditionalFormatting>
  <conditionalFormatting sqref="BC31">
    <cfRule type="expression" dxfId="496" priority="387">
      <formula>(OR(BT9="2",BT9="3"))</formula>
    </cfRule>
  </conditionalFormatting>
  <conditionalFormatting sqref="BC22">
    <cfRule type="expression" dxfId="495" priority="376" stopIfTrue="1">
      <formula>(OR(CK1="1",CK1="2",CK1="3"))</formula>
    </cfRule>
  </conditionalFormatting>
  <conditionalFormatting sqref="BC23">
    <cfRule type="expression" dxfId="494" priority="375">
      <formula>(OR(CK1="2",CK1="3"))</formula>
    </cfRule>
  </conditionalFormatting>
  <conditionalFormatting sqref="BC22">
    <cfRule type="expression" dxfId="493" priority="372" stopIfTrue="1">
      <formula>(OR(CK1="1",CK1="2",CK1="3"))</formula>
    </cfRule>
  </conditionalFormatting>
  <conditionalFormatting sqref="BC23">
    <cfRule type="expression" dxfId="492" priority="371">
      <formula>(OR(CK1="2",CK1="3"))</formula>
    </cfRule>
  </conditionalFormatting>
  <conditionalFormatting sqref="BC22">
    <cfRule type="expression" dxfId="491" priority="368" stopIfTrue="1">
      <formula>(OR(CK1="1",CK1="2",CK1="3"))</formula>
    </cfRule>
  </conditionalFormatting>
  <conditionalFormatting sqref="BC23">
    <cfRule type="expression" dxfId="490" priority="367">
      <formula>(OR(CK1="2",CK1="3"))</formula>
    </cfRule>
  </conditionalFormatting>
  <conditionalFormatting sqref="BC22">
    <cfRule type="expression" dxfId="489" priority="364" stopIfTrue="1">
      <formula>(OR(CK1="1",CK1="2",CK1="3"))</formula>
    </cfRule>
  </conditionalFormatting>
  <conditionalFormatting sqref="BC23">
    <cfRule type="expression" dxfId="488" priority="363">
      <formula>(OR(CK1="2",CK1="3"))</formula>
    </cfRule>
  </conditionalFormatting>
  <conditionalFormatting sqref="BC26">
    <cfRule type="expression" dxfId="487" priority="360" stopIfTrue="1">
      <formula>(OR(CI5="1",CI5="2",CI5="3"))</formula>
    </cfRule>
  </conditionalFormatting>
  <conditionalFormatting sqref="BC27">
    <cfRule type="expression" dxfId="486" priority="359">
      <formula>(OR(CI5="2",CI5="3"))</formula>
    </cfRule>
  </conditionalFormatting>
  <conditionalFormatting sqref="BC26">
    <cfRule type="expression" dxfId="485" priority="356" stopIfTrue="1">
      <formula>(OR(CI5="1",CI5="2",CI5="3"))</formula>
    </cfRule>
  </conditionalFormatting>
  <conditionalFormatting sqref="BC27">
    <cfRule type="expression" dxfId="484" priority="355">
      <formula>(OR(CI5="2",CI5="3"))</formula>
    </cfRule>
  </conditionalFormatting>
  <conditionalFormatting sqref="BC30">
    <cfRule type="expression" dxfId="483" priority="352" stopIfTrue="1">
      <formula>(OR(BT9="1",BT9="2",BT9="3"))</formula>
    </cfRule>
  </conditionalFormatting>
  <conditionalFormatting sqref="BC31">
    <cfRule type="expression" dxfId="482" priority="351">
      <formula>(OR(BT9="2",BT9="3"))</formula>
    </cfRule>
  </conditionalFormatting>
  <conditionalFormatting sqref="BC30">
    <cfRule type="expression" dxfId="481" priority="348" stopIfTrue="1">
      <formula>(OR(BT9="1",BT9="2",BT9="3"))</formula>
    </cfRule>
  </conditionalFormatting>
  <conditionalFormatting sqref="BC31">
    <cfRule type="expression" dxfId="480" priority="347">
      <formula>(OR(BT9="2",BT9="3"))</formula>
    </cfRule>
  </conditionalFormatting>
  <conditionalFormatting sqref="BC22">
    <cfRule type="expression" dxfId="479" priority="336" stopIfTrue="1">
      <formula>(OR(CK1="1",CK1="2",CK1="3"))</formula>
    </cfRule>
  </conditionalFormatting>
  <conditionalFormatting sqref="BC23">
    <cfRule type="expression" dxfId="478" priority="335">
      <formula>(OR(CK1="2",CK1="3"))</formula>
    </cfRule>
  </conditionalFormatting>
  <conditionalFormatting sqref="BC22">
    <cfRule type="expression" dxfId="477" priority="332" stopIfTrue="1">
      <formula>(OR(CK1="1",CK1="2",CK1="3"))</formula>
    </cfRule>
  </conditionalFormatting>
  <conditionalFormatting sqref="BC23">
    <cfRule type="expression" dxfId="476" priority="331">
      <formula>(OR(CK1="2",CK1="3"))</formula>
    </cfRule>
  </conditionalFormatting>
  <conditionalFormatting sqref="BC26">
    <cfRule type="expression" dxfId="475" priority="328" stopIfTrue="1">
      <formula>(OR(CI5="1",CI5="2",CI5="3"))</formula>
    </cfRule>
  </conditionalFormatting>
  <conditionalFormatting sqref="BC27">
    <cfRule type="expression" dxfId="474" priority="327">
      <formula>(OR(CI5="2",CI5="3"))</formula>
    </cfRule>
  </conditionalFormatting>
  <conditionalFormatting sqref="BC26">
    <cfRule type="expression" dxfId="473" priority="324" stopIfTrue="1">
      <formula>(OR(CI5="1",CI5="2",CI5="3"))</formula>
    </cfRule>
  </conditionalFormatting>
  <conditionalFormatting sqref="BC27">
    <cfRule type="expression" dxfId="472" priority="323">
      <formula>(OR(CI5="2",CI5="3"))</formula>
    </cfRule>
  </conditionalFormatting>
  <conditionalFormatting sqref="BC30">
    <cfRule type="expression" dxfId="471" priority="320" stopIfTrue="1">
      <formula>(OR(BT9="1",BT9="2",BT9="3"))</formula>
    </cfRule>
  </conditionalFormatting>
  <conditionalFormatting sqref="BC31">
    <cfRule type="expression" dxfId="470" priority="319">
      <formula>(OR(BT9="2",BT9="3"))</formula>
    </cfRule>
  </conditionalFormatting>
  <conditionalFormatting sqref="BC30">
    <cfRule type="expression" dxfId="469" priority="316" stopIfTrue="1">
      <formula>(OR(BT9="1",BT9="2",BT9="3"))</formula>
    </cfRule>
  </conditionalFormatting>
  <conditionalFormatting sqref="BC31">
    <cfRule type="expression" dxfId="468" priority="315">
      <formula>(OR(BT9="2",BT9="3"))</formula>
    </cfRule>
  </conditionalFormatting>
  <conditionalFormatting sqref="BG14:BI14">
    <cfRule type="expression" dxfId="467" priority="181">
      <formula>(OR(AO8=16))</formula>
    </cfRule>
  </conditionalFormatting>
  <conditionalFormatting sqref="BG18:BI18">
    <cfRule type="expression" dxfId="466" priority="179">
      <formula>(OR(AO8=16))</formula>
    </cfRule>
  </conditionalFormatting>
  <conditionalFormatting sqref="BG22:BI22">
    <cfRule type="expression" dxfId="465" priority="177">
      <formula>(OR(AO8=16))</formula>
    </cfRule>
  </conditionalFormatting>
  <conditionalFormatting sqref="BG26:BI26">
    <cfRule type="expression" dxfId="464" priority="175">
      <formula>(OR(AO8=16))</formula>
    </cfRule>
  </conditionalFormatting>
  <conditionalFormatting sqref="BG27:BI27">
    <cfRule type="expression" dxfId="463" priority="174">
      <formula>(OR(AO8=16))</formula>
    </cfRule>
  </conditionalFormatting>
  <conditionalFormatting sqref="BG30:BI30">
    <cfRule type="expression" dxfId="462" priority="173">
      <formula>(OR(AO8=16))</formula>
    </cfRule>
  </conditionalFormatting>
  <conditionalFormatting sqref="BG31:BI31">
    <cfRule type="expression" dxfId="461" priority="172">
      <formula>(OR(AO8=16))</formula>
    </cfRule>
  </conditionalFormatting>
  <conditionalFormatting sqref="BG35:BI35">
    <cfRule type="expression" dxfId="460" priority="170">
      <formula>(OR(AO8=16))</formula>
    </cfRule>
    <cfRule type="containsText" dxfId="459" priority="4" operator="containsText" text="OFFICE">
      <formula>NOT(ISERROR(SEARCH("OFFICE",BG35)))</formula>
    </cfRule>
  </conditionalFormatting>
  <conditionalFormatting sqref="BG43:BI43">
    <cfRule type="expression" dxfId="458" priority="166">
      <formula>(OR(AO8=16))</formula>
    </cfRule>
    <cfRule type="containsText" dxfId="457" priority="2" operator="containsText" text="OFFICE">
      <formula>NOT(ISERROR(SEARCH("OFFICE",BG43)))</formula>
    </cfRule>
  </conditionalFormatting>
  <conditionalFormatting sqref="BG18:BI18">
    <cfRule type="expression" dxfId="456" priority="160">
      <formula>(OR(AO12=16))</formula>
    </cfRule>
  </conditionalFormatting>
  <conditionalFormatting sqref="BG22:BI22">
    <cfRule type="expression" dxfId="455" priority="158">
      <formula>(OR(AO16=16))</formula>
    </cfRule>
  </conditionalFormatting>
  <conditionalFormatting sqref="BG26:BI26">
    <cfRule type="expression" dxfId="454" priority="156">
      <formula>(OR(AO20=16))</formula>
    </cfRule>
  </conditionalFormatting>
  <conditionalFormatting sqref="BG27:BI27">
    <cfRule type="expression" dxfId="453" priority="155">
      <formula>(OR(AO20=16))</formula>
    </cfRule>
  </conditionalFormatting>
  <conditionalFormatting sqref="BG30:BI30">
    <cfRule type="expression" dxfId="452" priority="154">
      <formula>(OR(AO24=16))</formula>
    </cfRule>
  </conditionalFormatting>
  <conditionalFormatting sqref="BG31:BI31">
    <cfRule type="expression" dxfId="451" priority="153">
      <formula>(OR(AO24=16))</formula>
    </cfRule>
  </conditionalFormatting>
  <conditionalFormatting sqref="BG35:BI35">
    <cfRule type="expression" dxfId="450" priority="151">
      <formula>(OR(AO28=16))</formula>
    </cfRule>
  </conditionalFormatting>
  <conditionalFormatting sqref="BG43:BI43">
    <cfRule type="expression" dxfId="449" priority="147">
      <formula>(OR(AO36=16))</formula>
    </cfRule>
  </conditionalFormatting>
  <conditionalFormatting sqref="BV34:BV35">
    <cfRule type="duplicateValues" dxfId="448" priority="145"/>
    <cfRule type="iconSet" priority="146">
      <iconSet>
        <cfvo type="percent" val="0"/>
        <cfvo type="percent" val="12"/>
        <cfvo type="percent" val="13"/>
      </iconSet>
    </cfRule>
  </conditionalFormatting>
  <conditionalFormatting sqref="BV40:BV41">
    <cfRule type="duplicateValues" dxfId="447" priority="143"/>
    <cfRule type="iconSet" priority="144">
      <iconSet>
        <cfvo type="percent" val="0"/>
        <cfvo type="percent" val="12"/>
        <cfvo type="percent" val="13"/>
      </iconSet>
    </cfRule>
  </conditionalFormatting>
  <conditionalFormatting sqref="CB34:CB35">
    <cfRule type="duplicateValues" dxfId="446" priority="141"/>
    <cfRule type="iconSet" priority="142">
      <iconSet>
        <cfvo type="percent" val="0"/>
        <cfvo type="percent" val="12"/>
        <cfvo type="percent" val="13"/>
      </iconSet>
    </cfRule>
  </conditionalFormatting>
  <conditionalFormatting sqref="CB40:CB41">
    <cfRule type="duplicateValues" dxfId="445" priority="139"/>
    <cfRule type="iconSet" priority="140">
      <iconSet>
        <cfvo type="percent" val="0"/>
        <cfvo type="percent" val="12"/>
        <cfvo type="percent" val="13"/>
      </iconSet>
    </cfRule>
  </conditionalFormatting>
  <conditionalFormatting sqref="AY14:AY15">
    <cfRule type="iconSet" priority="138">
      <iconSet iconSet="3Signs">
        <cfvo type="percent" val="0"/>
        <cfvo type="percent" val="12"/>
        <cfvo type="percent" val="13" gte="0"/>
      </iconSet>
    </cfRule>
  </conditionalFormatting>
  <conditionalFormatting sqref="AY18:AY19">
    <cfRule type="iconSet" priority="137">
      <iconSet iconSet="3Signs">
        <cfvo type="percent" val="0"/>
        <cfvo type="percent" val="12"/>
        <cfvo type="percent" val="13" gte="0"/>
      </iconSet>
    </cfRule>
  </conditionalFormatting>
  <conditionalFormatting sqref="AY22:AY23">
    <cfRule type="iconSet" priority="136">
      <iconSet iconSet="3Signs">
        <cfvo type="percent" val="0"/>
        <cfvo type="percent" val="12"/>
        <cfvo type="percent" val="13" gte="0"/>
      </iconSet>
    </cfRule>
  </conditionalFormatting>
  <conditionalFormatting sqref="AY26:AY27">
    <cfRule type="iconSet" priority="135">
      <iconSet iconSet="3Signs">
        <cfvo type="percent" val="0"/>
        <cfvo type="percent" val="12"/>
        <cfvo type="percent" val="13" gte="0"/>
      </iconSet>
    </cfRule>
  </conditionalFormatting>
  <conditionalFormatting sqref="AY30:AY31">
    <cfRule type="iconSet" priority="134">
      <iconSet iconSet="3Signs">
        <cfvo type="percent" val="0"/>
        <cfvo type="percent" val="12"/>
        <cfvo type="percent" val="13" gte="0"/>
      </iconSet>
    </cfRule>
  </conditionalFormatting>
  <conditionalFormatting sqref="AY34:AY35">
    <cfRule type="iconSet" priority="133">
      <iconSet iconSet="3Signs">
        <cfvo type="percent" val="0"/>
        <cfvo type="percent" val="12"/>
        <cfvo type="percent" val="13" gte="0"/>
      </iconSet>
    </cfRule>
  </conditionalFormatting>
  <conditionalFormatting sqref="AY38:AY39">
    <cfRule type="iconSet" priority="132">
      <iconSet iconSet="3Signs">
        <cfvo type="percent" val="0"/>
        <cfvo type="percent" val="12"/>
        <cfvo type="percent" val="13" gte="0"/>
      </iconSet>
    </cfRule>
  </conditionalFormatting>
  <conditionalFormatting sqref="AY42:AY43">
    <cfRule type="iconSet" priority="131">
      <iconSet iconSet="3Signs">
        <cfvo type="percent" val="0"/>
        <cfvo type="percent" val="12"/>
        <cfvo type="percent" val="13" gte="0"/>
      </iconSet>
    </cfRule>
  </conditionalFormatting>
  <conditionalFormatting sqref="AC15">
    <cfRule type="cellIs" dxfId="444" priority="114" operator="equal">
      <formula>4</formula>
    </cfRule>
  </conditionalFormatting>
  <conditionalFormatting sqref="AC24">
    <cfRule type="cellIs" dxfId="443" priority="112" operator="equal">
      <formula>12</formula>
    </cfRule>
    <cfRule type="cellIs" dxfId="442" priority="113" operator="equal">
      <formula>13</formula>
    </cfRule>
  </conditionalFormatting>
  <conditionalFormatting sqref="AC36:AC39 AC32:AC34 AC24:AC26 AC28:AC30">
    <cfRule type="expression" priority="111">
      <formula>$F$17=3</formula>
    </cfRule>
  </conditionalFormatting>
  <conditionalFormatting sqref="AC39">
    <cfRule type="cellIs" dxfId="441" priority="108" operator="equal">
      <formula>0</formula>
    </cfRule>
    <cfRule type="cellIs" dxfId="440" priority="109" operator="equal">
      <formula>39</formula>
    </cfRule>
    <cfRule type="cellIs" dxfId="439" priority="110" operator="equal">
      <formula>28</formula>
    </cfRule>
  </conditionalFormatting>
  <conditionalFormatting sqref="AC27">
    <cfRule type="cellIs" dxfId="438" priority="105" operator="equal">
      <formula>0</formula>
    </cfRule>
    <cfRule type="cellIs" dxfId="437" priority="106" operator="equal">
      <formula>16</formula>
    </cfRule>
    <cfRule type="cellIs" dxfId="436" priority="107" operator="equal">
      <formula>19</formula>
    </cfRule>
  </conditionalFormatting>
  <conditionalFormatting sqref="AC30">
    <cfRule type="cellIs" dxfId="435" priority="100" operator="equal">
      <formula>17</formula>
    </cfRule>
    <cfRule type="cellIs" dxfId="434" priority="101" stopIfTrue="1" operator="equal">
      <formula>18</formula>
    </cfRule>
    <cfRule type="cellIs" dxfId="433" priority="102" operator="equal">
      <formula>19</formula>
    </cfRule>
    <cfRule type="cellIs" dxfId="432" priority="103" operator="equal">
      <formula>23</formula>
    </cfRule>
    <cfRule type="expression" priority="104">
      <formula>$F$17=3</formula>
    </cfRule>
  </conditionalFormatting>
  <conditionalFormatting sqref="AC31">
    <cfRule type="cellIs" dxfId="431" priority="96" operator="equal">
      <formula>0</formula>
    </cfRule>
    <cfRule type="cellIs" dxfId="430" priority="97" operator="equal">
      <formula>20</formula>
    </cfRule>
    <cfRule type="cellIs" dxfId="429" priority="98" operator="equal">
      <formula>24</formula>
    </cfRule>
    <cfRule type="expression" priority="99">
      <formula>$F$17=3</formula>
    </cfRule>
  </conditionalFormatting>
  <conditionalFormatting sqref="AC34">
    <cfRule type="cellIs" dxfId="428" priority="92" operator="equal">
      <formula>23</formula>
    </cfRule>
    <cfRule type="cellIs" dxfId="427" priority="93" stopIfTrue="1" operator="equal">
      <formula>21</formula>
    </cfRule>
    <cfRule type="cellIs" dxfId="426" priority="94" stopIfTrue="1" operator="equal">
      <formula>22</formula>
    </cfRule>
    <cfRule type="expression" priority="95">
      <formula>$F$17=3</formula>
    </cfRule>
  </conditionalFormatting>
  <conditionalFormatting sqref="AC35">
    <cfRule type="cellIs" dxfId="425" priority="88" operator="equal">
      <formula>0</formula>
    </cfRule>
    <cfRule type="cellIs" dxfId="424" priority="89" operator="equal">
      <formula>24</formula>
    </cfRule>
    <cfRule type="cellIs" dxfId="423" priority="90" operator="equal">
      <formula>29</formula>
    </cfRule>
    <cfRule type="expression" priority="91">
      <formula>$F$17=3</formula>
    </cfRule>
  </conditionalFormatting>
  <conditionalFormatting sqref="AC19">
    <cfRule type="cellIs" dxfId="422" priority="87" operator="equal">
      <formula>8</formula>
    </cfRule>
  </conditionalFormatting>
  <conditionalFormatting sqref="AC20">
    <cfRule type="cellIs" dxfId="421" priority="86" operator="equal">
      <formula>9</formula>
    </cfRule>
  </conditionalFormatting>
  <conditionalFormatting sqref="AC21">
    <cfRule type="cellIs" dxfId="420" priority="85" operator="equal">
      <formula>10</formula>
    </cfRule>
  </conditionalFormatting>
  <conditionalFormatting sqref="AC22">
    <cfRule type="cellIs" dxfId="419" priority="84" operator="equal">
      <formula>11</formula>
    </cfRule>
  </conditionalFormatting>
  <conditionalFormatting sqref="AC23">
    <cfRule type="cellIs" dxfId="418" priority="82" operator="equal">
      <formula>0</formula>
    </cfRule>
    <cfRule type="cellIs" dxfId="417" priority="83" operator="equal">
      <formula>12</formula>
    </cfRule>
  </conditionalFormatting>
  <conditionalFormatting sqref="AC28">
    <cfRule type="cellIs" dxfId="416" priority="79" stopIfTrue="1" operator="equal">
      <formula>15</formula>
    </cfRule>
    <cfRule type="cellIs" dxfId="415" priority="80" stopIfTrue="1" operator="equal">
      <formula>16</formula>
    </cfRule>
    <cfRule type="cellIs" dxfId="414" priority="81" stopIfTrue="1" operator="equal">
      <formula>17</formula>
    </cfRule>
  </conditionalFormatting>
  <conditionalFormatting sqref="AC29">
    <cfRule type="cellIs" dxfId="413" priority="76" stopIfTrue="1" operator="equal">
      <formula>16</formula>
    </cfRule>
    <cfRule type="cellIs" dxfId="412" priority="77" stopIfTrue="1" operator="equal">
      <formula>17</formula>
    </cfRule>
    <cfRule type="cellIs" dxfId="411" priority="78" stopIfTrue="1" operator="equal">
      <formula>18</formula>
    </cfRule>
  </conditionalFormatting>
  <conditionalFormatting sqref="AC32">
    <cfRule type="cellIs" dxfId="410" priority="73" stopIfTrue="1" operator="equal">
      <formula>21</formula>
    </cfRule>
    <cfRule type="cellIs" dxfId="409" priority="74" stopIfTrue="1" operator="equal">
      <formula>19</formula>
    </cfRule>
    <cfRule type="cellIs" dxfId="408" priority="75" stopIfTrue="1" operator="equal">
      <formula>20</formula>
    </cfRule>
  </conditionalFormatting>
  <conditionalFormatting sqref="AC33">
    <cfRule type="cellIs" dxfId="407" priority="70" operator="equal">
      <formula>20</formula>
    </cfRule>
    <cfRule type="cellIs" dxfId="406" priority="71" operator="equal">
      <formula>21</formula>
    </cfRule>
    <cfRule type="cellIs" dxfId="405" priority="72" operator="equal">
      <formula>22</formula>
    </cfRule>
  </conditionalFormatting>
  <conditionalFormatting sqref="AC36">
    <cfRule type="cellIs" dxfId="404" priority="67" operator="equal">
      <formula>25</formula>
    </cfRule>
    <cfRule type="cellIs" dxfId="403" priority="68" operator="equal">
      <formula>24</formula>
    </cfRule>
    <cfRule type="cellIs" dxfId="402" priority="69" operator="equal">
      <formula>23</formula>
    </cfRule>
  </conditionalFormatting>
  <conditionalFormatting sqref="AC37">
    <cfRule type="cellIs" dxfId="401" priority="64" operator="equal">
      <formula>26</formula>
    </cfRule>
    <cfRule type="cellIs" dxfId="400" priority="65" operator="equal">
      <formula>25</formula>
    </cfRule>
    <cfRule type="cellIs" dxfId="399" priority="66" operator="equal">
      <formula>24</formula>
    </cfRule>
  </conditionalFormatting>
  <conditionalFormatting sqref="AC38">
    <cfRule type="cellIs" dxfId="398" priority="61" operator="equal">
      <formula>27</formula>
    </cfRule>
    <cfRule type="cellIs" dxfId="397" priority="62" operator="equal">
      <formula>26</formula>
    </cfRule>
    <cfRule type="cellIs" dxfId="396" priority="63" operator="equal">
      <formula>25</formula>
    </cfRule>
  </conditionalFormatting>
  <conditionalFormatting sqref="AC40">
    <cfRule type="cellIs" dxfId="395" priority="58" operator="equal">
      <formula>28</formula>
    </cfRule>
    <cfRule type="cellIs" dxfId="394" priority="59" operator="equal">
      <formula>27</formula>
    </cfRule>
    <cfRule type="cellIs" dxfId="393" priority="60" operator="equal">
      <formula>29</formula>
    </cfRule>
  </conditionalFormatting>
  <conditionalFormatting sqref="AC41">
    <cfRule type="cellIs" dxfId="392" priority="55" operator="equal">
      <formula>29</formula>
    </cfRule>
    <cfRule type="cellIs" dxfId="391" priority="56" operator="equal">
      <formula>28</formula>
    </cfRule>
    <cfRule type="cellIs" dxfId="390" priority="57" operator="equal">
      <formula>30</formula>
    </cfRule>
  </conditionalFormatting>
  <conditionalFormatting sqref="AC42">
    <cfRule type="cellIs" dxfId="389" priority="52" operator="equal">
      <formula>30</formula>
    </cfRule>
    <cfRule type="cellIs" dxfId="388" priority="53" operator="equal">
      <formula>29</formula>
    </cfRule>
    <cfRule type="cellIs" dxfId="387" priority="54" operator="equal">
      <formula>31</formula>
    </cfRule>
  </conditionalFormatting>
  <conditionalFormatting sqref="AC25">
    <cfRule type="cellIs" dxfId="386" priority="50" operator="equal">
      <formula>13</formula>
    </cfRule>
    <cfRule type="cellIs" dxfId="385" priority="51" operator="equal">
      <formula>14</formula>
    </cfRule>
  </conditionalFormatting>
  <conditionalFormatting sqref="AC26">
    <cfRule type="cellIs" dxfId="384" priority="48" operator="equal">
      <formula>14</formula>
    </cfRule>
    <cfRule type="cellIs" dxfId="383" priority="49" operator="equal">
      <formula>15</formula>
    </cfRule>
  </conditionalFormatting>
  <conditionalFormatting sqref="AC43">
    <cfRule type="cellIs" dxfId="382" priority="45" operator="equal">
      <formula>0</formula>
    </cfRule>
    <cfRule type="cellIs" dxfId="381" priority="46" operator="equal">
      <formula>31</formula>
    </cfRule>
    <cfRule type="cellIs" dxfId="380" priority="47" operator="equal">
      <formula>32</formula>
    </cfRule>
  </conditionalFormatting>
  <conditionalFormatting sqref="AG23">
    <cfRule type="cellIs" dxfId="379" priority="44" operator="equal">
      <formula>"OFFICE"</formula>
    </cfRule>
  </conditionalFormatting>
  <conditionalFormatting sqref="AG27 AG31 AG35 AG39 AG43">
    <cfRule type="containsText" dxfId="378" priority="43" operator="containsText" text="OFFICE">
      <formula>NOT(ISERROR(SEARCH("OFFICE",AG27)))</formula>
    </cfRule>
  </conditionalFormatting>
  <conditionalFormatting sqref="AF1:AF43">
    <cfRule type="containsText" dxfId="377" priority="42" operator="containsText" text="D">
      <formula>NOT(ISERROR(SEARCH("D",AF1)))</formula>
    </cfRule>
  </conditionalFormatting>
  <conditionalFormatting sqref="BC26">
    <cfRule type="expression" dxfId="376" priority="3646" stopIfTrue="1">
      <formula>(OR(#REF!="1",#REF!="2",#REF!="3"))</formula>
    </cfRule>
  </conditionalFormatting>
  <conditionalFormatting sqref="BC27">
    <cfRule type="expression" dxfId="375" priority="3647">
      <formula>(OR(#REF!="2",#REF!="3"))</formula>
    </cfRule>
  </conditionalFormatting>
  <conditionalFormatting sqref="BC18">
    <cfRule type="expression" dxfId="374" priority="3694" stopIfTrue="1">
      <formula>(OR(#REF!="1",#REF!="2",#REF!="3"))</formula>
    </cfRule>
  </conditionalFormatting>
  <conditionalFormatting sqref="BC19">
    <cfRule type="expression" dxfId="373" priority="3695">
      <formula>(OR(#REF!="2",#REF!="3"))</formula>
    </cfRule>
  </conditionalFormatting>
  <conditionalFormatting sqref="BC22">
    <cfRule type="expression" dxfId="372" priority="3708" stopIfTrue="1">
      <formula>(OR(#REF!="1",#REF!="2",#REF!="3"))</formula>
    </cfRule>
  </conditionalFormatting>
  <conditionalFormatting sqref="BC23">
    <cfRule type="expression" dxfId="371" priority="3709">
      <formula>(OR(#REF!="2",#REF!="3"))</formula>
    </cfRule>
  </conditionalFormatting>
  <conditionalFormatting sqref="BC38 BC34 BC42">
    <cfRule type="expression" dxfId="370" priority="3747" stopIfTrue="1">
      <formula>(OR(#REF!="1",#REF!="2",#REF!="3"))</formula>
    </cfRule>
  </conditionalFormatting>
  <conditionalFormatting sqref="BC39 BC35 BC43">
    <cfRule type="expression" dxfId="369" priority="3748">
      <formula>(OR(#REF!="2",#REF!="3"))</formula>
    </cfRule>
  </conditionalFormatting>
  <conditionalFormatting sqref="BG15:BI15">
    <cfRule type="containsText" dxfId="368" priority="7" operator="containsText" text="OFFICE">
      <formula>NOT(ISERROR(SEARCH("OFFICE",BG15)))</formula>
    </cfRule>
  </conditionalFormatting>
  <conditionalFormatting sqref="BG19:BI19">
    <cfRule type="containsText" dxfId="367" priority="6" operator="containsText" text="OFFICE">
      <formula>NOT(ISERROR(SEARCH("OFFICE",BG19)))</formula>
    </cfRule>
  </conditionalFormatting>
  <conditionalFormatting sqref="BG23:BI23">
    <cfRule type="containsText" dxfId="366" priority="5" operator="containsText" text="OFFICE">
      <formula>NOT(ISERROR(SEARCH("OFFICE",BG23)))</formula>
    </cfRule>
  </conditionalFormatting>
  <conditionalFormatting sqref="BG39:BI39">
    <cfRule type="containsText" dxfId="365" priority="3" operator="containsText" text="OFFICE">
      <formula>NOT(ISERROR(SEARCH("OFFICE",BG39)))</formula>
    </cfRule>
  </conditionalFormatting>
  <conditionalFormatting sqref="BG14:BI43">
    <cfRule type="duplicateValues" dxfId="364" priority="1"/>
  </conditionalFormatting>
  <dataValidations count="3">
    <dataValidation type="list" allowBlank="1" showInputMessage="1" showErrorMessage="1" sqref="J3:M3">
      <formula1>Série</formula1>
    </dataValidation>
    <dataValidation type="list" allowBlank="1" showInputMessage="1" showErrorMessage="1" sqref="E5:G5">
      <formula1>Catégorie</formula1>
    </dataValidation>
    <dataValidation type="list" allowBlank="1" showInputMessage="1" showErrorMessage="1" sqref="J5">
      <formula1>INDIRECT($E$5)</formula1>
    </dataValidation>
  </dataValidations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</sheetPr>
  <dimension ref="A1:AN43"/>
  <sheetViews>
    <sheetView zoomScale="80" zoomScaleNormal="80" zoomScaleSheetLayoutView="80" workbookViewId="0">
      <selection activeCell="F21" sqref="F21"/>
    </sheetView>
  </sheetViews>
  <sheetFormatPr baseColWidth="10" defaultRowHeight="15"/>
  <cols>
    <col min="1" max="1" width="4.42578125" style="8" customWidth="1"/>
    <col min="2" max="2" width="8.28515625" style="8" customWidth="1"/>
    <col min="3" max="3" width="6.85546875" style="8" customWidth="1"/>
    <col min="4" max="5" width="8.7109375" style="8" customWidth="1"/>
    <col min="6" max="6" width="6.85546875" style="8" customWidth="1"/>
    <col min="7" max="7" width="6.7109375" style="8" customWidth="1"/>
    <col min="8" max="8" width="8.5703125" style="8" customWidth="1"/>
    <col min="9" max="9" width="6.7109375" style="8" customWidth="1"/>
    <col min="10" max="10" width="6.85546875" style="8" customWidth="1"/>
    <col min="11" max="11" width="8.85546875" style="8" customWidth="1"/>
    <col min="12" max="13" width="8.7109375" style="8" customWidth="1"/>
    <col min="14" max="14" width="9" style="8" customWidth="1"/>
    <col min="15" max="16" width="6.7109375" style="8" customWidth="1"/>
    <col min="17" max="17" width="4.5703125" style="8" customWidth="1"/>
    <col min="18" max="18" width="7" style="8" customWidth="1"/>
    <col min="19" max="19" width="6.7109375" style="8" customWidth="1"/>
    <col min="20" max="22" width="8.7109375" style="8" customWidth="1"/>
    <col min="23" max="23" width="6.7109375" style="8" customWidth="1"/>
    <col min="24" max="24" width="8.7109375" style="8" customWidth="1"/>
    <col min="25" max="26" width="6.7109375" style="8" customWidth="1"/>
    <col min="27" max="27" width="6.85546875" style="8" customWidth="1"/>
    <col min="28" max="29" width="8.7109375" style="8" customWidth="1"/>
    <col min="30" max="30" width="6.7109375" style="8" customWidth="1"/>
    <col min="31" max="31" width="6.85546875" style="8" customWidth="1"/>
    <col min="32" max="32" width="6.42578125" style="8" customWidth="1"/>
    <col min="33" max="33" width="12.7109375" customWidth="1"/>
    <col min="34" max="34" width="11.5703125" customWidth="1"/>
    <col min="35" max="16384" width="11.42578125" style="8"/>
  </cols>
  <sheetData>
    <row r="1" spans="1:37" s="44" customFormat="1" ht="30" customHeight="1" thickBot="1">
      <c r="B1" s="725" t="s">
        <v>66</v>
      </c>
      <c r="C1" s="733"/>
      <c r="D1" s="733"/>
      <c r="E1" s="733" t="e">
        <f>#REF!</f>
        <v>#REF!</v>
      </c>
      <c r="F1" s="733"/>
      <c r="G1" s="733"/>
      <c r="H1" s="60" t="e">
        <f>#REF!</f>
        <v>#REF!</v>
      </c>
      <c r="I1" s="733" t="e">
        <f>#REF!</f>
        <v>#REF!</v>
      </c>
      <c r="J1" s="733"/>
      <c r="K1" s="733"/>
      <c r="L1" s="733"/>
      <c r="M1" s="61" t="e">
        <f>#REF!</f>
        <v>#REF!</v>
      </c>
      <c r="N1" s="725" t="s">
        <v>79</v>
      </c>
      <c r="O1" s="726"/>
      <c r="P1" s="18" t="e">
        <f>#REF!</f>
        <v>#REF!</v>
      </c>
      <c r="Q1" s="62"/>
      <c r="R1" s="725" t="s">
        <v>66</v>
      </c>
      <c r="S1" s="733"/>
      <c r="T1" s="733"/>
      <c r="U1" s="733" t="e">
        <f>#REF!</f>
        <v>#REF!</v>
      </c>
      <c r="V1" s="733"/>
      <c r="W1" s="733"/>
      <c r="X1" s="60" t="e">
        <f>#REF!</f>
        <v>#REF!</v>
      </c>
      <c r="Y1" s="733" t="e">
        <f>#REF!</f>
        <v>#REF!</v>
      </c>
      <c r="Z1" s="733"/>
      <c r="AA1" s="733"/>
      <c r="AB1" s="733"/>
      <c r="AC1" s="61" t="e">
        <f>#REF!</f>
        <v>#REF!</v>
      </c>
      <c r="AD1" s="725" t="s">
        <v>79</v>
      </c>
      <c r="AE1" s="726"/>
      <c r="AF1" s="18" t="e">
        <f>#REF!</f>
        <v>#REF!</v>
      </c>
      <c r="AG1" s="63"/>
      <c r="AH1" s="63"/>
      <c r="AI1" s="64"/>
      <c r="AJ1" s="64"/>
    </row>
    <row r="2" spans="1:37" ht="20.100000000000001" customHeight="1" thickBot="1">
      <c r="B2" s="743" t="s">
        <v>18</v>
      </c>
      <c r="C2" s="744"/>
      <c r="D2" s="744"/>
      <c r="E2" s="9" t="e">
        <f>#REF!</f>
        <v>#REF!</v>
      </c>
      <c r="F2" s="742" t="s">
        <v>12</v>
      </c>
      <c r="G2" s="742"/>
      <c r="H2" s="10" t="e">
        <f>+#REF!</f>
        <v>#REF!</v>
      </c>
      <c r="I2" s="740" t="s">
        <v>13</v>
      </c>
      <c r="J2" s="741"/>
      <c r="K2" s="741"/>
      <c r="L2" s="732">
        <f ca="1">TODAY()</f>
        <v>44191</v>
      </c>
      <c r="M2" s="733"/>
      <c r="N2" s="733"/>
      <c r="O2" s="733"/>
      <c r="P2" s="726"/>
      <c r="Q2" s="5"/>
      <c r="R2" s="743" t="s">
        <v>19</v>
      </c>
      <c r="S2" s="744"/>
      <c r="T2" s="744"/>
      <c r="U2" s="9" t="e">
        <f>+#REF!</f>
        <v>#REF!</v>
      </c>
      <c r="V2" s="742" t="s">
        <v>12</v>
      </c>
      <c r="W2" s="742"/>
      <c r="X2" s="10" t="e">
        <f>#REF!</f>
        <v>#REF!</v>
      </c>
      <c r="Y2" s="740" t="s">
        <v>13</v>
      </c>
      <c r="Z2" s="741"/>
      <c r="AA2" s="741"/>
      <c r="AB2" s="732">
        <f ca="1">TODAY()</f>
        <v>44191</v>
      </c>
      <c r="AC2" s="733"/>
      <c r="AD2" s="733"/>
      <c r="AE2" s="733"/>
      <c r="AF2" s="726"/>
      <c r="AI2" s="7"/>
      <c r="AJ2" s="7"/>
    </row>
    <row r="3" spans="1:37" ht="20.100000000000001" customHeight="1" thickBot="1">
      <c r="A3" s="52"/>
      <c r="B3" s="216" t="e">
        <f>+#REF!</f>
        <v>#REF!</v>
      </c>
      <c r="C3" s="73"/>
      <c r="D3" s="73"/>
      <c r="E3" s="73"/>
      <c r="F3" s="74" t="e">
        <f>CONCATENATE(E2,H2)</f>
        <v>#REF!</v>
      </c>
      <c r="G3" s="73"/>
      <c r="H3" s="73"/>
      <c r="I3" s="73"/>
      <c r="J3" s="73"/>
      <c r="K3" s="73"/>
      <c r="L3" s="73"/>
      <c r="M3" s="73"/>
      <c r="N3" s="73"/>
      <c r="O3" s="73"/>
      <c r="P3" s="75"/>
      <c r="Q3" s="76"/>
      <c r="R3" s="218" t="e">
        <f>+#REF!</f>
        <v>#REF!</v>
      </c>
      <c r="S3" s="146"/>
      <c r="T3" s="146"/>
      <c r="U3" s="148"/>
      <c r="V3" s="74" t="e">
        <f>CONCATENATE(U2,X2)</f>
        <v>#REF!</v>
      </c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I3" s="7"/>
      <c r="AJ3" s="7"/>
    </row>
    <row r="4" spans="1:37" ht="20.100000000000001" customHeight="1" thickBot="1">
      <c r="A4" s="52"/>
      <c r="B4" s="745" t="s">
        <v>98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7"/>
      <c r="Q4" s="79"/>
      <c r="R4" s="758" t="s">
        <v>98</v>
      </c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60"/>
      <c r="AI4" s="7"/>
    </row>
    <row r="5" spans="1:37" ht="20.100000000000001" customHeight="1">
      <c r="A5" s="52"/>
      <c r="B5" s="7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  <c r="Q5" s="76"/>
      <c r="R5" s="72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80"/>
      <c r="AI5" s="7"/>
      <c r="AJ5" s="7"/>
    </row>
    <row r="6" spans="1:37" s="22" customFormat="1" ht="20.100000000000001" customHeight="1" thickBot="1">
      <c r="A6" s="52"/>
      <c r="B6" s="72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81"/>
      <c r="Q6" s="76"/>
      <c r="R6" s="72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81"/>
      <c r="AG6"/>
      <c r="AH6"/>
      <c r="AI6" s="21"/>
      <c r="AJ6" s="21"/>
    </row>
    <row r="7" spans="1:37" ht="20.100000000000001" customHeight="1" thickBot="1">
      <c r="A7" s="52"/>
      <c r="B7" s="82" t="s">
        <v>1</v>
      </c>
      <c r="C7" s="83" t="s">
        <v>8</v>
      </c>
      <c r="D7" s="77"/>
      <c r="E7" s="78"/>
      <c r="F7" s="78"/>
      <c r="G7" s="73" t="s">
        <v>0</v>
      </c>
      <c r="H7" s="73"/>
      <c r="I7" s="73"/>
      <c r="J7" s="73" t="s">
        <v>1</v>
      </c>
      <c r="K7" s="83" t="e">
        <f>IF(E2=2,"","C")</f>
        <v>#REF!</v>
      </c>
      <c r="L7" s="77"/>
      <c r="M7" s="78"/>
      <c r="N7" s="78"/>
      <c r="O7" s="73" t="s">
        <v>0</v>
      </c>
      <c r="P7" s="75"/>
      <c r="Q7" s="76"/>
      <c r="R7" s="82" t="s">
        <v>1</v>
      </c>
      <c r="S7" s="83" t="s">
        <v>8</v>
      </c>
      <c r="T7" s="77"/>
      <c r="U7" s="78"/>
      <c r="V7" s="78"/>
      <c r="W7" s="73" t="s">
        <v>0</v>
      </c>
      <c r="X7" s="73"/>
      <c r="Y7" s="73"/>
      <c r="Z7" s="73" t="s">
        <v>1</v>
      </c>
      <c r="AA7" s="83" t="e">
        <f>IF(U2=2,"","C")</f>
        <v>#REF!</v>
      </c>
      <c r="AB7" s="77"/>
      <c r="AC7" s="78"/>
      <c r="AD7" s="78"/>
      <c r="AE7" s="73" t="s">
        <v>0</v>
      </c>
      <c r="AF7" s="75"/>
      <c r="AI7"/>
      <c r="AJ7" s="7"/>
      <c r="AK7" s="7"/>
    </row>
    <row r="8" spans="1:37" ht="20.100000000000001" customHeight="1" thickBot="1">
      <c r="A8" s="84">
        <v>1</v>
      </c>
      <c r="B8" s="730">
        <v>1</v>
      </c>
      <c r="C8" s="734" t="e">
        <f>+#REF!</f>
        <v>#REF!</v>
      </c>
      <c r="D8" s="735"/>
      <c r="E8" s="735"/>
      <c r="F8" s="736"/>
      <c r="G8" s="85">
        <v>1</v>
      </c>
      <c r="H8" s="86"/>
      <c r="I8" s="87">
        <v>3</v>
      </c>
      <c r="J8" s="730">
        <v>2</v>
      </c>
      <c r="K8" s="734" t="e">
        <f>+#REF!</f>
        <v>#REF!</v>
      </c>
      <c r="L8" s="735"/>
      <c r="M8" s="735"/>
      <c r="N8" s="736"/>
      <c r="O8" s="85">
        <v>3</v>
      </c>
      <c r="P8" s="75"/>
      <c r="Q8" s="88">
        <v>5</v>
      </c>
      <c r="R8" s="730">
        <v>3</v>
      </c>
      <c r="S8" s="734" t="e">
        <f>+#REF!</f>
        <v>#REF!</v>
      </c>
      <c r="T8" s="735"/>
      <c r="U8" s="735"/>
      <c r="V8" s="736"/>
      <c r="W8" s="85">
        <v>5</v>
      </c>
      <c r="X8" s="86"/>
      <c r="Y8" s="87">
        <v>7</v>
      </c>
      <c r="Z8" s="730">
        <v>4</v>
      </c>
      <c r="AA8" s="734" t="e">
        <f>+#REF!</f>
        <v>#REF!</v>
      </c>
      <c r="AB8" s="735"/>
      <c r="AC8" s="735"/>
      <c r="AD8" s="736"/>
      <c r="AE8" s="85">
        <v>7</v>
      </c>
      <c r="AF8" s="75"/>
      <c r="AI8"/>
      <c r="AJ8" s="7"/>
      <c r="AK8" s="7"/>
    </row>
    <row r="9" spans="1:37" ht="20.100000000000001" customHeight="1" thickBot="1">
      <c r="A9" s="84">
        <v>2</v>
      </c>
      <c r="B9" s="731"/>
      <c r="C9" s="727" t="e">
        <f>+#REF!</f>
        <v>#REF!</v>
      </c>
      <c r="D9" s="728"/>
      <c r="E9" s="728"/>
      <c r="F9" s="729"/>
      <c r="G9" s="89">
        <v>0</v>
      </c>
      <c r="H9" s="86"/>
      <c r="I9" s="87">
        <v>4</v>
      </c>
      <c r="J9" s="731"/>
      <c r="K9" s="737" t="e">
        <f>+#REF!</f>
        <v>#REF!</v>
      </c>
      <c r="L9" s="738"/>
      <c r="M9" s="738"/>
      <c r="N9" s="739"/>
      <c r="O9" s="85">
        <v>0</v>
      </c>
      <c r="P9" s="75"/>
      <c r="Q9" s="88">
        <v>6</v>
      </c>
      <c r="R9" s="731"/>
      <c r="S9" s="727" t="e">
        <f>+#REF!</f>
        <v>#REF!</v>
      </c>
      <c r="T9" s="728"/>
      <c r="U9" s="728"/>
      <c r="V9" s="729"/>
      <c r="W9" s="89">
        <v>0</v>
      </c>
      <c r="X9" s="86"/>
      <c r="Y9" s="87">
        <v>8</v>
      </c>
      <c r="Z9" s="731"/>
      <c r="AA9" s="727" t="e">
        <f>+#REF!</f>
        <v>#REF!</v>
      </c>
      <c r="AB9" s="728"/>
      <c r="AC9" s="728"/>
      <c r="AD9" s="729"/>
      <c r="AE9" s="85">
        <v>0</v>
      </c>
      <c r="AF9" s="75"/>
      <c r="AH9" s="225" t="s">
        <v>96</v>
      </c>
      <c r="AI9"/>
      <c r="AJ9" s="7"/>
      <c r="AK9" s="7"/>
    </row>
    <row r="10" spans="1:37" ht="20.100000000000001" customHeight="1" thickBot="1">
      <c r="A10" s="52"/>
      <c r="B10" s="72"/>
      <c r="C10" s="90" t="s">
        <v>9</v>
      </c>
      <c r="D10" s="77"/>
      <c r="E10" s="78"/>
      <c r="F10" s="78"/>
      <c r="G10" s="78"/>
      <c r="H10" s="78"/>
      <c r="I10" s="78"/>
      <c r="J10" s="78"/>
      <c r="K10" s="83" t="s">
        <v>40</v>
      </c>
      <c r="L10" s="77"/>
      <c r="M10" s="78"/>
      <c r="N10" s="78"/>
      <c r="O10" s="78"/>
      <c r="P10" s="91"/>
      <c r="Q10" s="76"/>
      <c r="R10" s="72"/>
      <c r="S10" s="90" t="s">
        <v>9</v>
      </c>
      <c r="T10" s="77"/>
      <c r="U10" s="78"/>
      <c r="V10" s="78"/>
      <c r="W10" s="78"/>
      <c r="X10" s="78"/>
      <c r="Y10" s="78"/>
      <c r="Z10" s="78"/>
      <c r="AA10" s="83" t="s">
        <v>40</v>
      </c>
      <c r="AB10" s="77"/>
      <c r="AC10" s="78"/>
      <c r="AD10" s="78"/>
      <c r="AE10" s="78"/>
      <c r="AF10" s="91"/>
      <c r="AI10"/>
      <c r="AJ10" s="7"/>
      <c r="AK10" s="7"/>
    </row>
    <row r="11" spans="1:37" ht="20.100000000000001" customHeight="1">
      <c r="A11" s="52"/>
      <c r="B11" s="72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91"/>
      <c r="Q11" s="76"/>
      <c r="R11" s="72"/>
      <c r="S11" s="92"/>
      <c r="T11" s="92"/>
      <c r="U11" s="92"/>
      <c r="V11" s="92"/>
      <c r="W11" s="78"/>
      <c r="X11" s="78"/>
      <c r="Y11" s="78"/>
      <c r="Z11" s="78"/>
      <c r="AA11" s="78"/>
      <c r="AB11" s="78"/>
      <c r="AC11" s="78"/>
      <c r="AD11" s="78"/>
      <c r="AE11" s="78"/>
      <c r="AF11" s="91"/>
      <c r="AI11"/>
      <c r="AJ11" s="7"/>
      <c r="AK11" s="7"/>
    </row>
    <row r="12" spans="1:37" ht="20.100000000000001" customHeight="1" thickBot="1">
      <c r="A12" s="52"/>
      <c r="B12" s="82" t="s">
        <v>1</v>
      </c>
      <c r="C12" s="78"/>
      <c r="D12" s="724" t="s">
        <v>62</v>
      </c>
      <c r="E12" s="724"/>
      <c r="F12" s="78"/>
      <c r="G12" s="73" t="s">
        <v>0</v>
      </c>
      <c r="H12" s="73"/>
      <c r="I12" s="73"/>
      <c r="J12" s="73" t="s">
        <v>1</v>
      </c>
      <c r="K12" s="78"/>
      <c r="L12" s="723" t="s">
        <v>61</v>
      </c>
      <c r="M12" s="723"/>
      <c r="O12" s="73" t="s">
        <v>0</v>
      </c>
      <c r="P12" s="75"/>
      <c r="Q12" s="76"/>
      <c r="R12" s="93" t="s">
        <v>1</v>
      </c>
      <c r="S12" s="92"/>
      <c r="T12" s="724" t="s">
        <v>62</v>
      </c>
      <c r="U12" s="724"/>
      <c r="V12" s="92"/>
      <c r="W12" s="73" t="s">
        <v>0</v>
      </c>
      <c r="X12" s="73"/>
      <c r="Y12" s="73"/>
      <c r="Z12" s="73" t="s">
        <v>1</v>
      </c>
      <c r="AA12" s="73"/>
      <c r="AB12" s="723" t="s">
        <v>61</v>
      </c>
      <c r="AC12" s="723"/>
      <c r="AD12" s="78"/>
      <c r="AE12" s="73" t="s">
        <v>0</v>
      </c>
      <c r="AF12" s="94"/>
      <c r="AI12"/>
      <c r="AJ12"/>
    </row>
    <row r="13" spans="1:37" ht="20.100000000000001" customHeight="1" thickBot="1">
      <c r="A13" s="52"/>
      <c r="B13" s="757">
        <f>+'Tableau Général'!AP13</f>
        <v>4</v>
      </c>
      <c r="C13" s="734" t="e">
        <f>IF($G$8=$G$9,"résultat",IF($G$8&gt;$G$9,$C$9,$C$8))</f>
        <v>#REF!</v>
      </c>
      <c r="D13" s="767"/>
      <c r="E13" s="767"/>
      <c r="F13" s="768"/>
      <c r="G13" s="85">
        <v>1</v>
      </c>
      <c r="H13" s="86"/>
      <c r="I13" s="73"/>
      <c r="J13" s="757">
        <f>+'Tableau Général'!AP15</f>
        <v>5</v>
      </c>
      <c r="K13" s="734" t="e">
        <f>IF($O$8=$O$9,"résultat",IF($O$8&gt;$O$9,$K$8,$K$9))</f>
        <v>#REF!</v>
      </c>
      <c r="L13" s="735"/>
      <c r="M13" s="735"/>
      <c r="N13" s="736"/>
      <c r="O13" s="85">
        <v>0</v>
      </c>
      <c r="P13" s="95"/>
      <c r="Q13" s="76"/>
      <c r="R13" s="757">
        <f>+'Tableau Général'!AP17</f>
        <v>6</v>
      </c>
      <c r="S13" s="734" t="e">
        <f>IF($W$8=$W$9,"résultat",IF($W$8&gt;$W$9,$S$9,$S$8))</f>
        <v>#REF!</v>
      </c>
      <c r="T13" s="767"/>
      <c r="U13" s="767"/>
      <c r="V13" s="768"/>
      <c r="W13" s="85">
        <v>5</v>
      </c>
      <c r="X13" s="86"/>
      <c r="Y13" s="73"/>
      <c r="Z13" s="730">
        <f>+'Tableau Général'!AP19</f>
        <v>7</v>
      </c>
      <c r="AA13" s="734" t="e">
        <f>IF(AE8=AE9,"résultat",IF($AE$8&gt;$AE$9,$AA$8,$AA$9))</f>
        <v>#REF!</v>
      </c>
      <c r="AB13" s="735"/>
      <c r="AC13" s="735"/>
      <c r="AD13" s="736"/>
      <c r="AE13" s="85">
        <v>0</v>
      </c>
      <c r="AF13" s="96">
        <f>IF(W8&gt;W9,1)+IF(AE8&gt;AE9,1)</f>
        <v>2</v>
      </c>
      <c r="AH13" s="225" t="s">
        <v>97</v>
      </c>
      <c r="AI13"/>
      <c r="AJ13"/>
    </row>
    <row r="14" spans="1:37" ht="20.100000000000001" customHeight="1" thickBot="1">
      <c r="A14" s="52"/>
      <c r="B14" s="781"/>
      <c r="C14" s="764" t="e">
        <f>IF($O$8=$O$9,"résultat",IF($O$8&lt;$O$9,$K$8,$K$9))</f>
        <v>#REF!</v>
      </c>
      <c r="D14" s="765"/>
      <c r="E14" s="765"/>
      <c r="F14" s="766"/>
      <c r="G14" s="97">
        <v>0</v>
      </c>
      <c r="H14" s="98"/>
      <c r="I14" s="73"/>
      <c r="J14" s="781"/>
      <c r="K14" s="764" t="e">
        <f>IF(G8=G9,"résultat",IF($G$8&gt;$G$9,$C$8,$C$9))</f>
        <v>#REF!</v>
      </c>
      <c r="L14" s="765"/>
      <c r="M14" s="765"/>
      <c r="N14" s="766"/>
      <c r="O14" s="89">
        <v>1</v>
      </c>
      <c r="P14" s="95"/>
      <c r="Q14" s="76"/>
      <c r="R14" s="781"/>
      <c r="S14" s="764" t="e">
        <f>IF($AE$8=$AE$9,"résultat",IF($AE$8&lt;$AE$9,$AA$8,$AA$9))</f>
        <v>#REF!</v>
      </c>
      <c r="T14" s="765"/>
      <c r="U14" s="765"/>
      <c r="V14" s="766"/>
      <c r="W14" s="85">
        <v>0</v>
      </c>
      <c r="X14" s="86"/>
      <c r="Y14" s="73"/>
      <c r="Z14" s="731"/>
      <c r="AA14" s="764" t="e">
        <f>IF($W$9=$W$8,"résultat",IF(W8&gt;W9,S8,S9))</f>
        <v>#REF!</v>
      </c>
      <c r="AB14" s="765"/>
      <c r="AC14" s="765"/>
      <c r="AD14" s="766"/>
      <c r="AE14" s="89">
        <v>1</v>
      </c>
      <c r="AF14" s="96">
        <f>IF(W8&gt;W9,1)+IF(AE9&gt;AE8,1)</f>
        <v>1</v>
      </c>
      <c r="AI14"/>
      <c r="AJ14"/>
    </row>
    <row r="15" spans="1:37" ht="20.100000000000001" customHeight="1">
      <c r="A15" s="52"/>
      <c r="B15" s="72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99"/>
      <c r="N15" s="99"/>
      <c r="O15" s="99"/>
      <c r="P15" s="81"/>
      <c r="Q15" s="78"/>
      <c r="R15" s="72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91"/>
      <c r="AI15" s="7"/>
      <c r="AJ15" s="7"/>
    </row>
    <row r="16" spans="1:37" ht="20.100000000000001" customHeight="1" thickBot="1">
      <c r="A16" s="52"/>
      <c r="B16" s="72"/>
      <c r="C16" s="78"/>
      <c r="D16" s="78"/>
      <c r="E16" s="78"/>
      <c r="F16" s="73" t="s">
        <v>1</v>
      </c>
      <c r="G16" s="78"/>
      <c r="H16" s="774" t="s">
        <v>101</v>
      </c>
      <c r="I16" s="774"/>
      <c r="J16" s="78"/>
      <c r="K16" s="73" t="s">
        <v>0</v>
      </c>
      <c r="L16" s="73"/>
      <c r="M16" s="99"/>
      <c r="N16" s="99"/>
      <c r="O16" s="99"/>
      <c r="P16" s="81"/>
      <c r="Q16" s="78"/>
      <c r="R16" s="72"/>
      <c r="S16" s="78"/>
      <c r="T16" s="78"/>
      <c r="U16" s="78"/>
      <c r="V16" s="73" t="s">
        <v>1</v>
      </c>
      <c r="W16" s="78"/>
      <c r="X16" s="774" t="s">
        <v>101</v>
      </c>
      <c r="Y16" s="774"/>
      <c r="Z16" s="78"/>
      <c r="AA16" s="73" t="s">
        <v>0</v>
      </c>
      <c r="AB16" s="73"/>
      <c r="AC16" s="99"/>
      <c r="AD16" s="99"/>
      <c r="AE16" s="99"/>
      <c r="AF16" s="100"/>
      <c r="AG16" s="7"/>
      <c r="AH16" s="8"/>
    </row>
    <row r="17" spans="1:40" ht="20.100000000000001" customHeight="1" thickBot="1">
      <c r="A17" s="52"/>
      <c r="B17" s="72"/>
      <c r="C17" s="773"/>
      <c r="D17" s="773"/>
      <c r="E17" s="73"/>
      <c r="F17" s="757">
        <v>3</v>
      </c>
      <c r="G17" s="754" t="e">
        <f>IF(F3+G3=43," ",IF($F$3+$G$3=42,IF($O$13=$O$14,"résultat",IF($O$13&lt;$O$14,$K$13,$K$14)),IF($F$3+$G$3=32,IF($O$13=$O$14,"résultat",IF($O$13&lt;$O$14,$K$13,$K$14)))))</f>
        <v>#REF!</v>
      </c>
      <c r="H17" s="755"/>
      <c r="I17" s="755"/>
      <c r="J17" s="756"/>
      <c r="K17" s="85">
        <v>1</v>
      </c>
      <c r="L17" s="73"/>
      <c r="M17" s="99"/>
      <c r="N17" s="99"/>
      <c r="O17" s="99"/>
      <c r="P17" s="81"/>
      <c r="Q17" s="78"/>
      <c r="R17" s="72"/>
      <c r="S17" s="78"/>
      <c r="T17" s="78"/>
      <c r="U17" s="226"/>
      <c r="V17" s="757">
        <v>5</v>
      </c>
      <c r="W17" s="754" t="e">
        <f>IF(F3+G3=43," ",IF($V$3+$W$3=42,IF($AE$13=$AE$14,"résultat",IF($AE$13&lt;$AE$14,$AA$13,$AA$14)),IF($V$3+$W$3=32,IF($AE$13=$AE$14,"résultat",IF($AE$13&lt;$AE$14,$AA$13,$AA$14)))))</f>
        <v>#REF!</v>
      </c>
      <c r="X17" s="755"/>
      <c r="Y17" s="755"/>
      <c r="Z17" s="756"/>
      <c r="AA17" s="85">
        <v>1</v>
      </c>
      <c r="AB17" s="73"/>
      <c r="AC17" s="99"/>
      <c r="AD17" s="99"/>
      <c r="AE17" s="99"/>
      <c r="AF17" s="100"/>
      <c r="AG17" s="7"/>
      <c r="AH17" s="8"/>
    </row>
    <row r="18" spans="1:40" ht="20.100000000000001" customHeight="1" thickBot="1">
      <c r="A18" s="52"/>
      <c r="B18" s="72"/>
      <c r="C18" s="78"/>
      <c r="D18" s="78"/>
      <c r="E18" s="78"/>
      <c r="F18" s="772"/>
      <c r="G18" s="751" t="e">
        <f>IF(F3+G3=43," ",IF(F3+G3=42,IF($G$13=$G$14,"résultat",IF($G$13&gt;$G$14,$C$13,$C$14)),(IF($F$3+$G$3=32,IF($G$13=$G$14,"résultat",IF($G$13&gt;$G$14,$C$13,$C$14))))))</f>
        <v>#REF!</v>
      </c>
      <c r="H18" s="752"/>
      <c r="I18" s="752"/>
      <c r="J18" s="753"/>
      <c r="K18" s="85">
        <v>0</v>
      </c>
      <c r="L18" s="73"/>
      <c r="M18" s="99"/>
      <c r="N18" s="99"/>
      <c r="O18" s="99"/>
      <c r="P18" s="81"/>
      <c r="Q18" s="78"/>
      <c r="R18" s="72"/>
      <c r="S18" s="78"/>
      <c r="T18" s="78"/>
      <c r="U18" s="78"/>
      <c r="V18" s="731"/>
      <c r="W18" s="751" t="e">
        <f>IF(F3+G3=43," ",IF($V$3+$W$3=42,IF(W13=W14,"résultat",IF($W$13&gt;$W$14,$S$13,$S$14)),(IF($V$3+$W$3=32,IF(W13=W14,"résultat",IF($W$13&gt;$W$14,$S$13,$S$14))))))</f>
        <v>#REF!</v>
      </c>
      <c r="X18" s="752"/>
      <c r="Y18" s="752"/>
      <c r="Z18" s="753"/>
      <c r="AA18" s="85">
        <v>0</v>
      </c>
      <c r="AB18" s="73"/>
      <c r="AC18" s="99"/>
      <c r="AD18" s="99"/>
      <c r="AE18" s="99"/>
      <c r="AF18" s="100"/>
      <c r="AG18" s="7"/>
      <c r="AH18" s="8"/>
    </row>
    <row r="19" spans="1:40" ht="29.25" customHeight="1" thickBot="1">
      <c r="A19" s="52"/>
      <c r="B19" s="72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99"/>
      <c r="N19" s="99"/>
      <c r="O19" s="99"/>
      <c r="P19" s="81"/>
      <c r="Q19" s="76"/>
      <c r="R19" s="72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91"/>
      <c r="AI19" s="7"/>
      <c r="AJ19" s="7"/>
    </row>
    <row r="20" spans="1:40" ht="20.100000000000001" customHeight="1" thickBot="1">
      <c r="A20" s="52"/>
      <c r="B20" s="72"/>
      <c r="C20" s="99"/>
      <c r="D20" s="78"/>
      <c r="E20" s="78"/>
      <c r="F20" s="78"/>
      <c r="G20" s="262" t="s">
        <v>60</v>
      </c>
      <c r="H20" s="263"/>
      <c r="I20" s="263"/>
      <c r="J20" s="264"/>
      <c r="K20" s="78"/>
      <c r="L20" s="78"/>
      <c r="M20" s="99"/>
      <c r="N20" s="99"/>
      <c r="O20" s="99"/>
      <c r="P20" s="81"/>
      <c r="Q20" s="78"/>
      <c r="R20" s="72"/>
      <c r="S20" s="78"/>
      <c r="T20" s="78"/>
      <c r="U20" s="78"/>
      <c r="V20" s="78"/>
      <c r="W20" s="761" t="s">
        <v>60</v>
      </c>
      <c r="X20" s="762"/>
      <c r="Y20" s="762"/>
      <c r="Z20" s="763"/>
      <c r="AA20" s="78"/>
      <c r="AB20" s="78"/>
      <c r="AC20" s="101"/>
      <c r="AD20" s="99"/>
      <c r="AE20" s="99"/>
      <c r="AF20" s="81"/>
      <c r="AG20" s="6"/>
      <c r="AH20" s="7"/>
      <c r="AI20" s="7"/>
    </row>
    <row r="21" spans="1:40" ht="20.100000000000001" customHeight="1">
      <c r="A21" s="52"/>
      <c r="B21" s="72"/>
      <c r="C21" s="99"/>
      <c r="D21" s="102" t="s">
        <v>80</v>
      </c>
      <c r="E21" s="78"/>
      <c r="F21" s="245" t="e">
        <f>IF($F$3+$G$3=43,IF($O$13=$O$14,"résultat",IF($O$13&gt;$O$14,$K$13,$K$14)),(IF($F$3+$G$3=42,IF($O$13=$O$14,"résultat",IF($O$13&gt;$O$14,$K$13,$K$14)),(IF($F$3+$G$3=32,IF($O$13=$O$14,"résultat",IF($O$13&gt;$O$14,$K$13,$K$14)))))))</f>
        <v>#REF!</v>
      </c>
      <c r="G21" s="246"/>
      <c r="H21" s="246"/>
      <c r="I21" s="246"/>
      <c r="J21" s="246"/>
      <c r="K21" s="247"/>
      <c r="L21" s="99"/>
      <c r="M21" s="99"/>
      <c r="N21" s="99"/>
      <c r="O21" s="99"/>
      <c r="P21" s="81"/>
      <c r="Q21" s="103"/>
      <c r="R21" s="104"/>
      <c r="S21" s="99"/>
      <c r="T21" s="102" t="s">
        <v>80</v>
      </c>
      <c r="U21" s="78"/>
      <c r="V21" s="775" t="e">
        <f>IF($V$3+$W$3=43,IF($AE$13=$AE$14,"résultat",IF($AE$13&gt;$AE$14,$AA$13,$AA$14)),(IF($V$3+$W$3=42,IF($AE$13=$AE$14,"résultat",IF($AE$13&gt;$AE$14,$AA$13,$AA$14)),(IF($V$3+$W$3=32,IF($AE$13=$AE$14,"résultat",IF($AE$13&gt;$AE$14,$AA$13,$AA$14)))))))</f>
        <v>#REF!</v>
      </c>
      <c r="W21" s="776"/>
      <c r="X21" s="776"/>
      <c r="Y21" s="776"/>
      <c r="Z21" s="776"/>
      <c r="AA21" s="777"/>
      <c r="AB21" s="99"/>
      <c r="AC21" s="78"/>
      <c r="AD21" s="99"/>
      <c r="AE21" s="99"/>
      <c r="AF21" s="81"/>
      <c r="AG21" s="6"/>
      <c r="AH21" s="7"/>
      <c r="AI21" s="7"/>
    </row>
    <row r="22" spans="1:40" ht="20.100000000000001" customHeight="1">
      <c r="A22" s="52"/>
      <c r="B22" s="72"/>
      <c r="C22" s="99"/>
      <c r="D22" s="105" t="s">
        <v>81</v>
      </c>
      <c r="E22" s="78"/>
      <c r="F22" s="265" t="e">
        <f>IF($F$3+$G$3=43,IF($O$13=$O$14,"résultat",IF($O$13&lt;$O$14,$K$13,$K$14)),(IF($F$3+$G$3=42,IF($K$17=$K$18,"résultat",IF($K$17&gt;$K$18,$G$17,$G$18)),(IF($F$3+$G$3=32,IF($K$17=$K$18,"résultat",IF($K$17&gt;$K$18,$G$17,$G$18)))))))</f>
        <v>#REF!</v>
      </c>
      <c r="G22" s="266"/>
      <c r="H22" s="266"/>
      <c r="I22" s="266"/>
      <c r="J22" s="266"/>
      <c r="K22" s="267"/>
      <c r="L22" s="99"/>
      <c r="M22" s="99"/>
      <c r="N22" s="99"/>
      <c r="O22" s="99"/>
      <c r="P22" s="81"/>
      <c r="Q22" s="103"/>
      <c r="R22" s="104"/>
      <c r="S22" s="99"/>
      <c r="T22" s="105" t="s">
        <v>81</v>
      </c>
      <c r="U22" s="78"/>
      <c r="V22" s="778" t="e">
        <f>IF($V$3+$W$3=43,IF($AE$13=$AE$14,"résultat",IF($AE$13&lt;$AE$14,$AA$13,$AA$14)),(IF($V$3+$W$3=42,IF($AA$17=$AA$18,"résultat",IF($AA$17&gt;$AA$18,$W$17,$W$18)),(IF($V$3+$W$3=32,IF($AA$17=$AA$18,"résultat",IF($AA$17&gt;$AA$18,$W$17,$W$18)))))))</f>
        <v>#REF!</v>
      </c>
      <c r="W22" s="779"/>
      <c r="X22" s="779"/>
      <c r="Y22" s="779"/>
      <c r="Z22" s="779"/>
      <c r="AA22" s="780"/>
      <c r="AB22" s="99"/>
      <c r="AC22" s="78"/>
      <c r="AD22" s="99"/>
      <c r="AE22" s="99"/>
      <c r="AF22" s="81"/>
      <c r="AG22" s="6"/>
      <c r="AH22" s="7"/>
      <c r="AI22" s="7"/>
    </row>
    <row r="23" spans="1:40" ht="20.100000000000001" customHeight="1" thickBot="1">
      <c r="A23" s="52"/>
      <c r="B23" s="72"/>
      <c r="C23" s="99"/>
      <c r="D23" s="106" t="s">
        <v>82</v>
      </c>
      <c r="E23" s="78"/>
      <c r="F23" s="242" t="e">
        <f>IF(F3+G3=0," ",IF($F$3+$G$3=43,IF($G$13=$G$14,"résultat",IF($G$13&gt;$G$14,$C$13,$C$14)),(IF($F$3+$G$3=42,"&amp;",(IF($F$3+$G$3=32,"&amp;"))))))</f>
        <v>#REF!</v>
      </c>
      <c r="G23" s="243"/>
      <c r="H23" s="243"/>
      <c r="I23" s="243"/>
      <c r="J23" s="243"/>
      <c r="K23" s="244"/>
      <c r="L23" s="99"/>
      <c r="M23" s="99"/>
      <c r="N23" s="99"/>
      <c r="O23" s="99"/>
      <c r="P23" s="81"/>
      <c r="Q23" s="103"/>
      <c r="R23" s="104"/>
      <c r="S23" s="99"/>
      <c r="T23" s="106" t="s">
        <v>82</v>
      </c>
      <c r="U23" s="78"/>
      <c r="V23" s="769" t="e">
        <f>IF(V3+W3=0," ",IF($V$3+$W$3=43,IF(W13=W14,"résultat",IF(W13&gt;W14,S13,S14)),IF($V$3+$W$3=42,"&amp;",(IF($V$3+$W$3=32,"&amp;")))))</f>
        <v>#REF!</v>
      </c>
      <c r="W23" s="770"/>
      <c r="X23" s="770"/>
      <c r="Y23" s="770"/>
      <c r="Z23" s="770"/>
      <c r="AA23" s="771"/>
      <c r="AB23" s="99"/>
      <c r="AC23" s="78"/>
      <c r="AD23" s="99"/>
      <c r="AE23" s="99"/>
      <c r="AF23" s="81"/>
      <c r="AG23" s="6"/>
      <c r="AH23" s="7"/>
      <c r="AI23" s="7"/>
    </row>
    <row r="24" spans="1:40" ht="20.100000000000001" customHeight="1" thickBot="1">
      <c r="A24" s="52"/>
      <c r="B24" s="108"/>
      <c r="C24" s="109"/>
      <c r="D24" s="110"/>
      <c r="E24" s="110"/>
      <c r="F24" s="110"/>
      <c r="G24" s="109"/>
      <c r="H24" s="109"/>
      <c r="I24" s="109"/>
      <c r="J24" s="109"/>
      <c r="K24" s="109"/>
      <c r="L24" s="109"/>
      <c r="M24" s="109"/>
      <c r="N24" s="111"/>
      <c r="O24" s="111"/>
      <c r="P24" s="112"/>
      <c r="Q24" s="76"/>
      <c r="R24" s="108"/>
      <c r="S24" s="111"/>
      <c r="T24" s="113"/>
      <c r="U24" s="113"/>
      <c r="V24" s="113"/>
      <c r="W24" s="111"/>
      <c r="X24" s="111"/>
      <c r="Y24" s="111"/>
      <c r="Z24" s="111"/>
      <c r="AA24" s="111"/>
      <c r="AB24" s="111"/>
      <c r="AC24" s="111"/>
      <c r="AD24" s="111"/>
      <c r="AE24" s="111"/>
      <c r="AF24" s="112"/>
      <c r="AI24" s="7"/>
      <c r="AJ24" s="7"/>
    </row>
    <row r="25" spans="1:40" ht="20.100000000000001" customHeight="1" thickBot="1">
      <c r="A25" s="5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I25" s="7"/>
      <c r="AJ25" s="7"/>
    </row>
    <row r="26" spans="1:40" ht="20.100000000000001" customHeight="1" thickBot="1">
      <c r="A26" s="52"/>
      <c r="B26" s="114"/>
      <c r="C26" s="114"/>
      <c r="D26" s="748" t="s">
        <v>64</v>
      </c>
      <c r="E26" s="749"/>
      <c r="F26" s="750"/>
      <c r="G26" s="114"/>
      <c r="H26" s="238"/>
      <c r="I26" s="114"/>
      <c r="J26" s="114"/>
      <c r="K26" s="114"/>
      <c r="L26" s="114"/>
      <c r="M26" s="52"/>
      <c r="N26" s="52"/>
      <c r="O26" s="52"/>
      <c r="P26" s="114"/>
      <c r="Q26" s="52"/>
      <c r="R26" s="52"/>
      <c r="S26" s="52"/>
      <c r="T26" s="52"/>
      <c r="U26" s="52"/>
      <c r="V26" s="114" t="s">
        <v>99</v>
      </c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/>
      <c r="AL26"/>
      <c r="AM26" s="7"/>
      <c r="AN26" s="7"/>
    </row>
    <row r="27" spans="1:40" ht="18.75">
      <c r="A27" s="52"/>
      <c r="B27" s="114"/>
      <c r="C27" s="114"/>
      <c r="D27" s="103"/>
      <c r="E27" s="103"/>
      <c r="F27" s="103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 t="s">
        <v>100</v>
      </c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/>
      <c r="AL27"/>
      <c r="AM27" s="7"/>
      <c r="AN27" s="7"/>
    </row>
    <row r="28" spans="1:40">
      <c r="B28" s="7"/>
      <c r="C28" s="7"/>
      <c r="D28"/>
      <c r="E28"/>
      <c r="F2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I28" s="7"/>
      <c r="AJ28" s="7"/>
    </row>
    <row r="29" spans="1:40">
      <c r="B29" s="7"/>
      <c r="C29" s="7"/>
      <c r="D29"/>
      <c r="E29"/>
      <c r="F29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 t="s">
        <v>103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I29" s="7"/>
      <c r="AJ29" s="7"/>
    </row>
    <row r="30" spans="1:40">
      <c r="B30" s="7"/>
      <c r="C30" s="7"/>
      <c r="D30"/>
      <c r="E30"/>
      <c r="F3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I30" s="7"/>
      <c r="AJ30" s="7"/>
    </row>
    <row r="31" spans="1:40">
      <c r="B31" s="7"/>
      <c r="C31" s="7"/>
      <c r="D31"/>
      <c r="E31"/>
      <c r="F3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I31" s="7"/>
      <c r="AJ31" s="7"/>
    </row>
    <row r="32" spans="1:40">
      <c r="B32" s="7"/>
      <c r="C32" s="7"/>
      <c r="D32"/>
      <c r="E32"/>
      <c r="F32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I32" s="7"/>
      <c r="AJ32" s="7"/>
    </row>
    <row r="33" spans="2:36">
      <c r="B33" s="7"/>
      <c r="C33" s="7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 s="7"/>
      <c r="AI33" s="7"/>
      <c r="AJ33" s="7"/>
    </row>
    <row r="34" spans="2:36">
      <c r="B34" s="7"/>
      <c r="C34" s="7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 s="7"/>
      <c r="AI34" s="7"/>
      <c r="AJ34" s="7"/>
    </row>
    <row r="35" spans="2:36">
      <c r="B35" s="7"/>
      <c r="C35" s="7"/>
      <c r="D35" s="7"/>
      <c r="E35" s="7"/>
      <c r="F35" s="7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 s="7"/>
      <c r="AI35" s="7"/>
      <c r="AJ35" s="7"/>
    </row>
    <row r="36" spans="2:36">
      <c r="B36" s="7"/>
      <c r="C36" s="7"/>
      <c r="D36" s="7"/>
      <c r="E36" s="7"/>
      <c r="F36" s="7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2:36">
      <c r="B37" s="7"/>
      <c r="C37" s="7"/>
      <c r="D37" s="7"/>
      <c r="E37" s="7"/>
      <c r="F37" s="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 s="7"/>
      <c r="AI37" s="7"/>
      <c r="AJ37" s="7"/>
    </row>
    <row r="38" spans="2:36" ht="18" customHeight="1">
      <c r="B38" s="7"/>
      <c r="C38" s="7"/>
      <c r="D38" s="7"/>
      <c r="E38" s="7"/>
      <c r="F38" s="7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 s="7"/>
      <c r="AI38" s="7"/>
      <c r="AJ38" s="7"/>
    </row>
    <row r="39" spans="2:36">
      <c r="B39" s="7"/>
      <c r="C39" s="7"/>
      <c r="D39" s="7"/>
      <c r="E39" s="7"/>
      <c r="F39" s="7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 s="7"/>
      <c r="AI39" s="7"/>
    </row>
    <row r="40" spans="2:36"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2:36"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2:36"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2:36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</sheetData>
  <sheetProtection formatCells="0" formatColumns="0" formatRows="0" insertColumns="0" insertRows="0" insertHyperlinks="0" deleteColumns="0" deleteRows="0" sort="0"/>
  <mergeCells count="60">
    <mergeCell ref="B13:B14"/>
    <mergeCell ref="J13:J14"/>
    <mergeCell ref="R13:R14"/>
    <mergeCell ref="Z13:Z14"/>
    <mergeCell ref="L12:M12"/>
    <mergeCell ref="K13:N13"/>
    <mergeCell ref="C13:F13"/>
    <mergeCell ref="V23:AA23"/>
    <mergeCell ref="K14:N14"/>
    <mergeCell ref="AA14:AD14"/>
    <mergeCell ref="F17:F18"/>
    <mergeCell ref="G18:J18"/>
    <mergeCell ref="G17:J17"/>
    <mergeCell ref="C14:F14"/>
    <mergeCell ref="C17:D17"/>
    <mergeCell ref="H16:I16"/>
    <mergeCell ref="X16:Y16"/>
    <mergeCell ref="V21:AA21"/>
    <mergeCell ref="V22:AA22"/>
    <mergeCell ref="D26:F26"/>
    <mergeCell ref="V2:W2"/>
    <mergeCell ref="Y2:AA2"/>
    <mergeCell ref="AB2:AF2"/>
    <mergeCell ref="W18:Z18"/>
    <mergeCell ref="W17:Z17"/>
    <mergeCell ref="V17:V18"/>
    <mergeCell ref="AA9:AD9"/>
    <mergeCell ref="R4:AF4"/>
    <mergeCell ref="AA13:AD13"/>
    <mergeCell ref="W20:Z20"/>
    <mergeCell ref="S14:V14"/>
    <mergeCell ref="S13:V13"/>
    <mergeCell ref="S8:V8"/>
    <mergeCell ref="AA8:AD8"/>
    <mergeCell ref="B2:D2"/>
    <mergeCell ref="B8:B9"/>
    <mergeCell ref="Y1:AB1"/>
    <mergeCell ref="R2:T2"/>
    <mergeCell ref="R1:T1"/>
    <mergeCell ref="U1:W1"/>
    <mergeCell ref="B4:P4"/>
    <mergeCell ref="I1:L1"/>
    <mergeCell ref="C9:F9"/>
    <mergeCell ref="N1:O1"/>
    <mergeCell ref="C8:F8"/>
    <mergeCell ref="B1:D1"/>
    <mergeCell ref="E1:G1"/>
    <mergeCell ref="AB12:AC12"/>
    <mergeCell ref="T12:U12"/>
    <mergeCell ref="D12:E12"/>
    <mergeCell ref="AD1:AE1"/>
    <mergeCell ref="S9:V9"/>
    <mergeCell ref="R8:R9"/>
    <mergeCell ref="J8:J9"/>
    <mergeCell ref="L2:P2"/>
    <mergeCell ref="K8:N8"/>
    <mergeCell ref="K9:N9"/>
    <mergeCell ref="I2:K2"/>
    <mergeCell ref="Z8:Z9"/>
    <mergeCell ref="F2:G2"/>
  </mergeCells>
  <conditionalFormatting sqref="S13:V14 AA13:AA14 W17:Z18 G17:J18 C13:F14 K13:K14 AB8:AD8 S8:V9 AA8:AA9 L8:N8 C8:F9 K8:K9">
    <cfRule type="expression" dxfId="363" priority="237">
      <formula>$E$2=0</formula>
    </cfRule>
  </conditionalFormatting>
  <conditionalFormatting sqref="V23 W17:Z17">
    <cfRule type="cellIs" dxfId="362" priority="57" operator="equal">
      <formula>0</formula>
    </cfRule>
  </conditionalFormatting>
  <conditionalFormatting sqref="S14">
    <cfRule type="expression" dxfId="361" priority="228">
      <formula>(OR(U2=3,U2=4,U2=5))</formula>
    </cfRule>
  </conditionalFormatting>
  <conditionalFormatting sqref="S8:V9 AB8:AD8 AA8:AA9">
    <cfRule type="expression" dxfId="360" priority="197">
      <formula>$U$2=0</formula>
    </cfRule>
  </conditionalFormatting>
  <conditionalFormatting sqref="V21">
    <cfRule type="expression" dxfId="359" priority="8">
      <formula>(OR(X2="2",X2="3"))</formula>
    </cfRule>
    <cfRule type="expression" dxfId="358" priority="258" stopIfTrue="1">
      <formula>$X$2=0</formula>
    </cfRule>
  </conditionalFormatting>
  <conditionalFormatting sqref="F21">
    <cfRule type="expression" dxfId="357" priority="175">
      <formula>$H$2=0</formula>
    </cfRule>
    <cfRule type="expression" dxfId="356" priority="180" stopIfTrue="1">
      <formula>(OR(H2="1",H2="2",H2="3"))</formula>
    </cfRule>
  </conditionalFormatting>
  <conditionalFormatting sqref="F22">
    <cfRule type="expression" dxfId="355" priority="119">
      <formula>(OR(H2="2",H2="3"))</formula>
    </cfRule>
  </conditionalFormatting>
  <conditionalFormatting sqref="F23">
    <cfRule type="cellIs" dxfId="354" priority="64" operator="equal">
      <formula>0</formula>
    </cfRule>
    <cfRule type="expression" dxfId="353" priority="118">
      <formula>(H2="3")</formula>
    </cfRule>
  </conditionalFormatting>
  <conditionalFormatting sqref="AA9 S9:V9 C9:F9 K9">
    <cfRule type="cellIs" dxfId="352" priority="37" operator="equal">
      <formula>$E$2=0</formula>
    </cfRule>
    <cfRule type="expression" dxfId="351" priority="90">
      <formula>(OR($E$2=3,$E$2=4,$E$2=5))</formula>
    </cfRule>
  </conditionalFormatting>
  <conditionalFormatting sqref="S13:V13 C13:F13 K14 AB8:AD8 S8:V9 AA8:AA9 C8:F9 K8:K9 L8:N8">
    <cfRule type="expression" dxfId="350" priority="89">
      <formula>(OR($E$2=3,$E$2=4,$E$2=5))</formula>
    </cfRule>
  </conditionalFormatting>
  <conditionalFormatting sqref="S14:V14 C14:F14 AA9 K9">
    <cfRule type="expression" dxfId="349" priority="88">
      <formula>(OR($E$2=4,$E$2=5))</formula>
    </cfRule>
  </conditionalFormatting>
  <conditionalFormatting sqref="S13:V13 AA14 S8:V9 AA8:AA9 AB8:AD8">
    <cfRule type="expression" dxfId="348" priority="81">
      <formula>(OR($U$2=3,$U$2=4,$U$2=5))</formula>
    </cfRule>
  </conditionalFormatting>
  <conditionalFormatting sqref="G17:J17">
    <cfRule type="expression" dxfId="347" priority="28">
      <formula>(OR($F$3=3,$E$2=4,$E$2=5))</formula>
    </cfRule>
    <cfRule type="cellIs" dxfId="346" priority="68" operator="equal">
      <formula>0</formula>
    </cfRule>
  </conditionalFormatting>
  <conditionalFormatting sqref="G18:J18">
    <cfRule type="expression" dxfId="345" priority="27">
      <formula>(OR($E$2=3,$E$2=4,$E$2=5))</formula>
    </cfRule>
    <cfRule type="cellIs" dxfId="344" priority="67" operator="equal">
      <formula>0</formula>
    </cfRule>
  </conditionalFormatting>
  <conditionalFormatting sqref="W18:Z18">
    <cfRule type="cellIs" dxfId="343" priority="351" operator="equal">
      <formula>0</formula>
    </cfRule>
    <cfRule type="expression" dxfId="342" priority="352" stopIfTrue="1">
      <formula>(AND($AA$8="",$AA$9="",#REF!=""))</formula>
    </cfRule>
  </conditionalFormatting>
  <conditionalFormatting sqref="V22:AA22">
    <cfRule type="expression" dxfId="341" priority="7">
      <formula>(OR(X2="2",X2="3"))</formula>
    </cfRule>
  </conditionalFormatting>
  <conditionalFormatting sqref="V23:AA23">
    <cfRule type="expression" dxfId="340" priority="5">
      <formula>$X$2=3</formula>
    </cfRule>
  </conditionalFormatting>
  <conditionalFormatting sqref="AA9:AD9 S14:V14 K9:N9 C14:F14">
    <cfRule type="containsText" dxfId="339" priority="4" operator="containsText" text="OFFICE">
      <formula>NOT(ISERROR(SEARCH("OFFICE",C9)))</formula>
    </cfRule>
  </conditionalFormatting>
  <pageMargins left="0.15748031496062992" right="0.19685039370078741" top="0.31496062992125984" bottom="0.31496062992125984" header="0.23622047244094491" footer="0.15748031496062992"/>
  <pageSetup paperSize="9" orientation="landscape" horizontalDpi="4294967292" r:id="rId1"/>
  <rowBreaks count="1" manualBreakCount="1">
    <brk id="24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rgb="FFFFFF00"/>
    <pageSetUpPr fitToPage="1"/>
  </sheetPr>
  <dimension ref="A1:AI28"/>
  <sheetViews>
    <sheetView zoomScale="80" zoomScaleNormal="80" workbookViewId="0">
      <selection activeCell="F3" sqref="F3"/>
    </sheetView>
  </sheetViews>
  <sheetFormatPr baseColWidth="10" defaultRowHeight="15"/>
  <cols>
    <col min="1" max="1" width="4" style="8" customWidth="1"/>
    <col min="2" max="2" width="7.140625" style="8" customWidth="1"/>
    <col min="3" max="3" width="7.28515625" style="8" customWidth="1"/>
    <col min="4" max="4" width="8.85546875" style="8" customWidth="1"/>
    <col min="5" max="5" width="8.7109375" style="8" customWidth="1"/>
    <col min="6" max="6" width="6.85546875" style="8" customWidth="1"/>
    <col min="7" max="7" width="6.7109375" style="8" customWidth="1"/>
    <col min="8" max="8" width="7.85546875" style="8" customWidth="1"/>
    <col min="9" max="9" width="6.7109375" style="8" customWidth="1"/>
    <col min="10" max="10" width="7" style="8" customWidth="1"/>
    <col min="11" max="11" width="6.7109375" style="8" customWidth="1"/>
    <col min="12" max="14" width="8.7109375" style="8" customWidth="1"/>
    <col min="15" max="15" width="6.5703125" style="8" customWidth="1"/>
    <col min="16" max="16" width="6.7109375" style="8" customWidth="1"/>
    <col min="17" max="17" width="4.5703125" style="8" customWidth="1"/>
    <col min="18" max="19" width="6.7109375" style="8" customWidth="1"/>
    <col min="20" max="20" width="8.85546875" style="8" customWidth="1"/>
    <col min="21" max="21" width="8.7109375" style="8" customWidth="1"/>
    <col min="22" max="22" width="7.140625" style="8" customWidth="1"/>
    <col min="23" max="23" width="6.42578125" style="8" customWidth="1"/>
    <col min="24" max="24" width="8" style="8" customWidth="1"/>
    <col min="25" max="26" width="6.5703125" style="8" customWidth="1"/>
    <col min="27" max="27" width="6.7109375" style="8" customWidth="1"/>
    <col min="28" max="30" width="8.7109375" style="8" customWidth="1"/>
    <col min="31" max="31" width="6.5703125" style="8" customWidth="1"/>
    <col min="32" max="32" width="7.28515625" style="8" customWidth="1"/>
    <col min="33" max="33" width="10.5703125" style="8" customWidth="1"/>
    <col min="34" max="34" width="9.42578125" style="8" customWidth="1"/>
    <col min="35" max="16384" width="11.42578125" style="8"/>
  </cols>
  <sheetData>
    <row r="1" spans="1:35" ht="23.25" customHeight="1" thickBot="1">
      <c r="B1" s="787" t="s">
        <v>84</v>
      </c>
      <c r="C1" s="788"/>
      <c r="D1" s="788"/>
      <c r="E1" s="786" t="e">
        <f>#REF!</f>
        <v>#REF!</v>
      </c>
      <c r="F1" s="786"/>
      <c r="G1" s="786"/>
      <c r="H1" s="127" t="e">
        <f>#REF!</f>
        <v>#REF!</v>
      </c>
      <c r="I1" s="786" t="e">
        <f>#REF!</f>
        <v>#REF!</v>
      </c>
      <c r="J1" s="786"/>
      <c r="K1" s="786"/>
      <c r="L1" s="786"/>
      <c r="M1" s="128" t="e">
        <f>#REF!</f>
        <v>#REF!</v>
      </c>
      <c r="N1" s="782" t="s">
        <v>83</v>
      </c>
      <c r="O1" s="783"/>
      <c r="P1" s="18" t="e">
        <f>#REF!</f>
        <v>#REF!</v>
      </c>
      <c r="R1" s="787" t="s">
        <v>84</v>
      </c>
      <c r="S1" s="788"/>
      <c r="T1" s="788"/>
      <c r="U1" s="786" t="e">
        <f>#REF!</f>
        <v>#REF!</v>
      </c>
      <c r="V1" s="786"/>
      <c r="W1" s="786"/>
      <c r="X1" s="127" t="e">
        <f>#REF!</f>
        <v>#REF!</v>
      </c>
      <c r="Y1" s="786" t="e">
        <f>#REF!</f>
        <v>#REF!</v>
      </c>
      <c r="Z1" s="786"/>
      <c r="AA1" s="786"/>
      <c r="AB1" s="786"/>
      <c r="AC1" s="128" t="e">
        <f>#REF!</f>
        <v>#REF!</v>
      </c>
      <c r="AD1" s="782" t="s">
        <v>83</v>
      </c>
      <c r="AE1" s="783"/>
      <c r="AF1" s="18" t="e">
        <f>#REF!</f>
        <v>#REF!</v>
      </c>
      <c r="AG1" s="7"/>
    </row>
    <row r="2" spans="1:35" ht="24" customHeight="1" thickBot="1">
      <c r="B2" s="784" t="s">
        <v>10</v>
      </c>
      <c r="C2" s="785"/>
      <c r="D2" s="785"/>
      <c r="E2" s="215" t="e">
        <f>+#REF!</f>
        <v>#REF!</v>
      </c>
      <c r="F2" s="742" t="s">
        <v>12</v>
      </c>
      <c r="G2" s="742"/>
      <c r="H2" s="10" t="e">
        <f>#REF!</f>
        <v>#REF!</v>
      </c>
      <c r="I2" s="786" t="s">
        <v>13</v>
      </c>
      <c r="J2" s="786"/>
      <c r="K2" s="786"/>
      <c r="L2" s="732">
        <f ca="1">TODAY()</f>
        <v>44191</v>
      </c>
      <c r="M2" s="733"/>
      <c r="N2" s="733"/>
      <c r="O2" s="733"/>
      <c r="P2" s="726"/>
      <c r="R2" s="784" t="s">
        <v>11</v>
      </c>
      <c r="S2" s="785"/>
      <c r="T2" s="785"/>
      <c r="U2" s="215" t="e">
        <f>#REF!</f>
        <v>#REF!</v>
      </c>
      <c r="V2" s="742" t="s">
        <v>12</v>
      </c>
      <c r="W2" s="742"/>
      <c r="X2" s="10" t="e">
        <f>#REF!</f>
        <v>#REF!</v>
      </c>
      <c r="Y2" s="786" t="s">
        <v>13</v>
      </c>
      <c r="Z2" s="786"/>
      <c r="AA2" s="786"/>
      <c r="AB2" s="732">
        <f ca="1">TODAY()</f>
        <v>44191</v>
      </c>
      <c r="AC2" s="733"/>
      <c r="AD2" s="733"/>
      <c r="AE2" s="733"/>
      <c r="AF2" s="726"/>
      <c r="AG2" s="7"/>
    </row>
    <row r="3" spans="1:35" ht="20.100000000000001" customHeight="1" thickBot="1">
      <c r="B3" s="223" t="e">
        <f>+#REF!</f>
        <v>#REF!</v>
      </c>
      <c r="C3" s="86"/>
      <c r="D3" s="86"/>
      <c r="E3" s="86"/>
      <c r="F3" s="116" t="e">
        <f>CONCATENATE(E2,H2)</f>
        <v>#REF!</v>
      </c>
      <c r="G3" s="86"/>
      <c r="H3" s="86"/>
      <c r="I3" s="86"/>
      <c r="J3" s="86"/>
      <c r="K3" s="86"/>
      <c r="L3" s="86"/>
      <c r="M3" s="86"/>
      <c r="N3" s="86"/>
      <c r="O3" s="86"/>
      <c r="P3" s="95"/>
      <c r="Q3" s="52"/>
      <c r="R3" s="224" t="e">
        <f>+#REF!</f>
        <v>#REF!</v>
      </c>
      <c r="S3" s="86"/>
      <c r="T3" s="86"/>
      <c r="U3" s="98"/>
      <c r="V3" s="116" t="e">
        <f>CONCATENATE(U2,X2)</f>
        <v>#REF!</v>
      </c>
      <c r="W3" s="86"/>
      <c r="X3" s="86"/>
      <c r="Y3" s="86"/>
      <c r="Z3" s="86"/>
      <c r="AA3" s="86"/>
      <c r="AB3" s="86"/>
      <c r="AC3" s="86"/>
      <c r="AD3" s="86"/>
      <c r="AE3" s="86"/>
      <c r="AF3" s="95"/>
      <c r="AG3" s="7"/>
      <c r="AH3" s="7"/>
    </row>
    <row r="4" spans="1:35" ht="20.100000000000001" customHeight="1" thickBot="1">
      <c r="B4" s="745" t="s">
        <v>98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7"/>
      <c r="Q4" s="79"/>
      <c r="R4" s="758" t="s">
        <v>98</v>
      </c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60"/>
      <c r="AG4" s="7"/>
    </row>
    <row r="5" spans="1:35" ht="20.100000000000001" customHeight="1">
      <c r="B5" s="115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17"/>
      <c r="Q5" s="52"/>
      <c r="R5" s="115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117"/>
      <c r="AG5" s="7"/>
      <c r="AH5" s="7"/>
    </row>
    <row r="6" spans="1:35" ht="20.100000000000001" customHeight="1" thickBot="1">
      <c r="B6" s="115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95"/>
      <c r="Q6" s="52"/>
      <c r="R6" s="115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95"/>
      <c r="AG6" s="7"/>
      <c r="AH6" s="7"/>
    </row>
    <row r="7" spans="1:35" ht="20.100000000000001" customHeight="1" thickBot="1">
      <c r="B7" s="93" t="s">
        <v>1</v>
      </c>
      <c r="C7" s="118" t="s">
        <v>8</v>
      </c>
      <c r="D7" s="98"/>
      <c r="E7" s="79"/>
      <c r="F7" s="79"/>
      <c r="G7" s="86" t="s">
        <v>0</v>
      </c>
      <c r="H7" s="86"/>
      <c r="I7" s="86"/>
      <c r="J7" s="86" t="s">
        <v>1</v>
      </c>
      <c r="K7" s="118" t="e">
        <f>IF(E2=2,"","C")</f>
        <v>#REF!</v>
      </c>
      <c r="L7" s="98"/>
      <c r="M7" s="79"/>
      <c r="N7" s="79"/>
      <c r="O7" s="86" t="s">
        <v>0</v>
      </c>
      <c r="P7" s="95"/>
      <c r="Q7" s="52"/>
      <c r="R7" s="93" t="s">
        <v>1</v>
      </c>
      <c r="S7" s="118" t="s">
        <v>8</v>
      </c>
      <c r="T7" s="98"/>
      <c r="U7" s="79"/>
      <c r="V7" s="79"/>
      <c r="W7" s="86" t="s">
        <v>0</v>
      </c>
      <c r="X7" s="86"/>
      <c r="Y7" s="86"/>
      <c r="Z7" s="86" t="s">
        <v>1</v>
      </c>
      <c r="AA7" s="118" t="e">
        <f>IF(U2=2,"","C")</f>
        <v>#REF!</v>
      </c>
      <c r="AB7" s="98"/>
      <c r="AC7" s="79"/>
      <c r="AD7" s="79"/>
      <c r="AE7" s="86" t="s">
        <v>0</v>
      </c>
      <c r="AF7" s="94"/>
      <c r="AG7" s="15"/>
      <c r="AH7" s="7"/>
      <c r="AI7" s="7"/>
    </row>
    <row r="8" spans="1:35" ht="20.100000000000001" customHeight="1" thickBot="1">
      <c r="A8" s="33">
        <v>9</v>
      </c>
      <c r="B8" s="730">
        <v>5</v>
      </c>
      <c r="C8" s="734" t="e">
        <f>+#REF!</f>
        <v>#REF!</v>
      </c>
      <c r="D8" s="735"/>
      <c r="E8" s="735"/>
      <c r="F8" s="736"/>
      <c r="G8" s="85">
        <v>9</v>
      </c>
      <c r="H8" s="86"/>
      <c r="I8" s="87">
        <v>11</v>
      </c>
      <c r="J8" s="790">
        <v>6</v>
      </c>
      <c r="K8" s="734" t="e">
        <f>+#REF!</f>
        <v>#REF!</v>
      </c>
      <c r="L8" s="735"/>
      <c r="M8" s="735"/>
      <c r="N8" s="736"/>
      <c r="O8" s="85">
        <v>11</v>
      </c>
      <c r="P8" s="95"/>
      <c r="Q8" s="88">
        <v>13</v>
      </c>
      <c r="R8" s="730">
        <v>7</v>
      </c>
      <c r="S8" s="734" t="e">
        <f>+#REF!</f>
        <v>#REF!</v>
      </c>
      <c r="T8" s="735"/>
      <c r="U8" s="735"/>
      <c r="V8" s="736"/>
      <c r="W8" s="85">
        <v>2</v>
      </c>
      <c r="X8" s="86"/>
      <c r="Y8" s="87">
        <v>15</v>
      </c>
      <c r="Z8" s="730">
        <v>8</v>
      </c>
      <c r="AA8" s="734" t="e">
        <f>+#REF!</f>
        <v>#REF!</v>
      </c>
      <c r="AB8" s="735"/>
      <c r="AC8" s="735"/>
      <c r="AD8" s="736"/>
      <c r="AE8" s="85">
        <v>1</v>
      </c>
      <c r="AF8" s="94"/>
      <c r="AG8" s="15"/>
      <c r="AH8" s="7"/>
      <c r="AI8" s="7"/>
    </row>
    <row r="9" spans="1:35" ht="20.100000000000001" customHeight="1" thickBot="1">
      <c r="A9" s="33">
        <v>10</v>
      </c>
      <c r="B9" s="731"/>
      <c r="C9" s="727" t="e">
        <f>+#REF!</f>
        <v>#REF!</v>
      </c>
      <c r="D9" s="728"/>
      <c r="E9" s="728"/>
      <c r="F9" s="729"/>
      <c r="G9" s="89">
        <v>0</v>
      </c>
      <c r="H9" s="86"/>
      <c r="I9" s="87">
        <v>12</v>
      </c>
      <c r="J9" s="791"/>
      <c r="K9" s="727" t="e">
        <f>+#REF!</f>
        <v>#REF!</v>
      </c>
      <c r="L9" s="728"/>
      <c r="M9" s="728"/>
      <c r="N9" s="729"/>
      <c r="O9" s="85">
        <v>0</v>
      </c>
      <c r="P9" s="95"/>
      <c r="Q9" s="88">
        <v>14</v>
      </c>
      <c r="R9" s="731"/>
      <c r="S9" s="727" t="e">
        <f>+#REF!</f>
        <v>#REF!</v>
      </c>
      <c r="T9" s="728"/>
      <c r="U9" s="728"/>
      <c r="V9" s="729"/>
      <c r="W9" s="89">
        <v>1</v>
      </c>
      <c r="X9" s="86"/>
      <c r="Y9" s="87">
        <v>16</v>
      </c>
      <c r="Z9" s="731"/>
      <c r="AA9" s="727" t="e">
        <f>+#REF!</f>
        <v>#REF!</v>
      </c>
      <c r="AB9" s="728"/>
      <c r="AC9" s="728"/>
      <c r="AD9" s="729"/>
      <c r="AE9" s="85">
        <v>0</v>
      </c>
      <c r="AF9" s="94"/>
      <c r="AG9" s="15"/>
      <c r="AH9" s="7"/>
      <c r="AI9" s="7"/>
    </row>
    <row r="10" spans="1:35" ht="20.100000000000001" customHeight="1" thickBot="1">
      <c r="B10" s="115"/>
      <c r="C10" s="90" t="s">
        <v>9</v>
      </c>
      <c r="D10" s="77"/>
      <c r="E10" s="78"/>
      <c r="F10" s="78"/>
      <c r="G10" s="79"/>
      <c r="H10" s="79"/>
      <c r="I10" s="79"/>
      <c r="J10" s="79"/>
      <c r="K10" s="83" t="s">
        <v>40</v>
      </c>
      <c r="L10" s="77"/>
      <c r="M10" s="78"/>
      <c r="N10" s="78"/>
      <c r="O10" s="79"/>
      <c r="P10" s="119"/>
      <c r="Q10" s="52"/>
      <c r="R10" s="115"/>
      <c r="S10" s="120" t="s">
        <v>9</v>
      </c>
      <c r="T10" s="98"/>
      <c r="U10" s="79"/>
      <c r="V10" s="79"/>
      <c r="W10" s="79"/>
      <c r="X10" s="79"/>
      <c r="Y10" s="79"/>
      <c r="Z10" s="79"/>
      <c r="AA10" s="83" t="s">
        <v>40</v>
      </c>
      <c r="AB10" s="77"/>
      <c r="AC10" s="78"/>
      <c r="AD10" s="78"/>
      <c r="AE10" s="79"/>
      <c r="AF10" s="94"/>
      <c r="AG10" s="15"/>
      <c r="AH10" s="7"/>
      <c r="AI10" s="7"/>
    </row>
    <row r="11" spans="1:35" ht="20.100000000000001" customHeight="1">
      <c r="B11" s="115"/>
      <c r="C11" s="78"/>
      <c r="D11" s="78"/>
      <c r="E11" s="78"/>
      <c r="F11" s="78"/>
      <c r="G11" s="79"/>
      <c r="H11" s="79"/>
      <c r="I11" s="79"/>
      <c r="J11" s="79"/>
      <c r="K11" s="78"/>
      <c r="L11" s="78"/>
      <c r="M11" s="78"/>
      <c r="N11" s="78"/>
      <c r="O11" s="79"/>
      <c r="P11" s="119"/>
      <c r="Q11" s="52"/>
      <c r="R11" s="115"/>
      <c r="S11" s="114"/>
      <c r="T11" s="114"/>
      <c r="U11" s="114"/>
      <c r="V11" s="114"/>
      <c r="W11" s="79"/>
      <c r="X11" s="79"/>
      <c r="Y11" s="79"/>
      <c r="Z11" s="78"/>
      <c r="AA11" s="78"/>
      <c r="AB11" s="78"/>
      <c r="AC11" s="78"/>
      <c r="AD11" s="79"/>
      <c r="AE11" s="79"/>
      <c r="AF11" s="119"/>
      <c r="AG11" s="7"/>
      <c r="AH11" s="7"/>
    </row>
    <row r="12" spans="1:35" ht="20.100000000000001" customHeight="1" thickBot="1">
      <c r="B12" s="93" t="s">
        <v>1</v>
      </c>
      <c r="C12" s="78"/>
      <c r="D12" s="724" t="s">
        <v>62</v>
      </c>
      <c r="E12" s="724"/>
      <c r="F12" s="78"/>
      <c r="G12" s="86" t="s">
        <v>0</v>
      </c>
      <c r="H12" s="86"/>
      <c r="I12" s="86"/>
      <c r="J12" s="86" t="s">
        <v>1</v>
      </c>
      <c r="K12" s="78"/>
      <c r="L12" s="723" t="s">
        <v>61</v>
      </c>
      <c r="M12" s="723"/>
      <c r="N12" s="78"/>
      <c r="O12" s="86" t="s">
        <v>0</v>
      </c>
      <c r="P12" s="95"/>
      <c r="Q12" s="52"/>
      <c r="R12" s="93" t="s">
        <v>1</v>
      </c>
      <c r="S12" s="114"/>
      <c r="T12" s="789" t="s">
        <v>62</v>
      </c>
      <c r="U12" s="789"/>
      <c r="V12" s="114"/>
      <c r="W12" s="86" t="s">
        <v>0</v>
      </c>
      <c r="X12" s="86"/>
      <c r="Y12" s="79"/>
      <c r="Z12" s="86" t="s">
        <v>1</v>
      </c>
      <c r="AA12" s="78"/>
      <c r="AB12" s="723" t="s">
        <v>61</v>
      </c>
      <c r="AC12" s="723"/>
      <c r="AD12" s="78"/>
      <c r="AE12" s="86" t="s">
        <v>0</v>
      </c>
      <c r="AF12" s="94"/>
    </row>
    <row r="13" spans="1:35" ht="20.100000000000001" customHeight="1" thickBot="1">
      <c r="B13" s="730">
        <f>+'Tableau Général'!AP21</f>
        <v>8</v>
      </c>
      <c r="C13" s="734" t="e">
        <f>IF($G$8=$G$9,"résultat",IF($G$8&gt;$G$9,$C$9,$C$8))</f>
        <v>#REF!</v>
      </c>
      <c r="D13" s="767"/>
      <c r="E13" s="767"/>
      <c r="F13" s="768"/>
      <c r="G13" s="85">
        <v>9</v>
      </c>
      <c r="H13" s="86"/>
      <c r="I13" s="86"/>
      <c r="J13" s="730">
        <v>9</v>
      </c>
      <c r="K13" s="734" t="e">
        <f>IF($O$8=$O$9,"résultat",IF($O$8&gt;$O$9,$K$8,$K$9))</f>
        <v>#REF!</v>
      </c>
      <c r="L13" s="735"/>
      <c r="M13" s="735"/>
      <c r="N13" s="736"/>
      <c r="O13" s="85">
        <v>11</v>
      </c>
      <c r="P13" s="95"/>
      <c r="Q13" s="52"/>
      <c r="R13" s="730">
        <v>10</v>
      </c>
      <c r="S13" s="804" t="e">
        <f>IF($W$8=$W$9,"résultat",IF($W$8&gt;$W$9,$S$9,$S$8))</f>
        <v>#REF!</v>
      </c>
      <c r="T13" s="767"/>
      <c r="U13" s="767"/>
      <c r="V13" s="768"/>
      <c r="W13" s="85">
        <v>1</v>
      </c>
      <c r="X13" s="86"/>
      <c r="Y13" s="79"/>
      <c r="Z13" s="757">
        <v>11</v>
      </c>
      <c r="AA13" s="734" t="e">
        <f>IF(AE8=AE9,"résultat",IF($AE$8&gt;$AE$9,$AA$8,$AA$9))</f>
        <v>#REF!</v>
      </c>
      <c r="AB13" s="735"/>
      <c r="AC13" s="735"/>
      <c r="AD13" s="736"/>
      <c r="AE13" s="85">
        <v>0</v>
      </c>
      <c r="AF13" s="94"/>
    </row>
    <row r="14" spans="1:35" ht="20.100000000000001" customHeight="1" thickBot="1">
      <c r="B14" s="731"/>
      <c r="C14" s="764" t="e">
        <f>IF($O$8=$O$9,"résultat",IF($O$8&lt;$O$9,$K$8,$K$9))</f>
        <v>#REF!</v>
      </c>
      <c r="D14" s="765"/>
      <c r="E14" s="765"/>
      <c r="F14" s="766"/>
      <c r="G14" s="97">
        <v>0</v>
      </c>
      <c r="H14" s="98"/>
      <c r="I14" s="86"/>
      <c r="J14" s="731"/>
      <c r="K14" s="764" t="e">
        <f>IF(G8=G9,"résultat",IF($G$8&gt;$G$9,$C$8,$C$9))</f>
        <v>#REF!</v>
      </c>
      <c r="L14" s="765"/>
      <c r="M14" s="765"/>
      <c r="N14" s="766"/>
      <c r="O14" s="89">
        <v>12</v>
      </c>
      <c r="P14" s="95"/>
      <c r="Q14" s="52"/>
      <c r="R14" s="731"/>
      <c r="S14" s="764" t="e">
        <f>IF($AE$8=$AE$9,"résultat",IF($AE$8&lt;$AE$9,$AA$8,$AA$9))</f>
        <v>#REF!</v>
      </c>
      <c r="T14" s="765"/>
      <c r="U14" s="765"/>
      <c r="V14" s="766"/>
      <c r="W14" s="85">
        <v>0</v>
      </c>
      <c r="X14" s="86"/>
      <c r="Y14" s="79"/>
      <c r="Z14" s="781"/>
      <c r="AA14" s="764" t="e">
        <f>IF(($W$9=$W$8),"résultat",IF(W8&gt;W9,S8,S9))</f>
        <v>#REF!</v>
      </c>
      <c r="AB14" s="765"/>
      <c r="AC14" s="765"/>
      <c r="AD14" s="766"/>
      <c r="AE14" s="89">
        <v>1</v>
      </c>
      <c r="AF14" s="94"/>
    </row>
    <row r="15" spans="1:35" ht="20.100000000000001" customHeight="1">
      <c r="B15" s="115"/>
      <c r="C15" s="79"/>
      <c r="D15" s="79"/>
      <c r="E15" s="79"/>
      <c r="F15" s="79"/>
      <c r="G15" s="79"/>
      <c r="H15" s="79"/>
      <c r="I15" s="121"/>
      <c r="J15" s="79"/>
      <c r="K15" s="79"/>
      <c r="L15" s="79"/>
      <c r="M15" s="79"/>
      <c r="N15" s="107"/>
      <c r="O15" s="107"/>
      <c r="P15" s="119"/>
      <c r="Q15" s="52"/>
      <c r="R15" s="115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107"/>
      <c r="AE15" s="107"/>
      <c r="AF15" s="119"/>
    </row>
    <row r="16" spans="1:35" ht="20.100000000000001" customHeight="1" thickBot="1">
      <c r="B16" s="115"/>
      <c r="C16" s="79"/>
      <c r="D16" s="79"/>
      <c r="E16" s="79"/>
      <c r="F16" s="86" t="s">
        <v>1</v>
      </c>
      <c r="G16" s="79"/>
      <c r="H16" s="774" t="s">
        <v>101</v>
      </c>
      <c r="I16" s="774"/>
      <c r="J16" s="79"/>
      <c r="K16" s="86" t="s">
        <v>0</v>
      </c>
      <c r="L16" s="86"/>
      <c r="M16" s="107"/>
      <c r="N16" s="107"/>
      <c r="O16" s="107"/>
      <c r="P16" s="94"/>
      <c r="Q16" s="79"/>
      <c r="R16" s="115"/>
      <c r="S16" s="79"/>
      <c r="T16" s="79"/>
      <c r="U16" s="79"/>
      <c r="V16" s="86" t="s">
        <v>1</v>
      </c>
      <c r="W16" s="79"/>
      <c r="X16" s="774" t="s">
        <v>101</v>
      </c>
      <c r="Y16" s="774"/>
      <c r="Z16" s="79"/>
      <c r="AA16" s="86" t="s">
        <v>0</v>
      </c>
      <c r="AB16" s="86"/>
      <c r="AC16" s="122"/>
      <c r="AD16" s="107"/>
      <c r="AE16" s="107"/>
      <c r="AF16" s="119"/>
    </row>
    <row r="17" spans="2:34" ht="20.100000000000001" customHeight="1" thickBot="1">
      <c r="B17" s="115"/>
      <c r="C17" s="79"/>
      <c r="D17" s="79"/>
      <c r="E17" s="138"/>
      <c r="F17" s="757">
        <v>7</v>
      </c>
      <c r="G17" s="754" t="e">
        <f>IF(F3+G3=43," ",IF($F$3+$G$3=43,IF(0&lt;0,0,0),(IF($F$3+$G$3=42,IF($O$13=$O$14,"résultat",IF($O$13&lt;$O$14,$K$13,$K$14)),IF($F$3+$G$3=32,IF($O$13=$O$14,"résultat",IF($O$13&lt;$O$14,$K$13,$K$14)))))))</f>
        <v>#REF!</v>
      </c>
      <c r="H17" s="755"/>
      <c r="I17" s="755"/>
      <c r="J17" s="756"/>
      <c r="K17" s="85">
        <v>1</v>
      </c>
      <c r="L17" s="86"/>
      <c r="M17" s="107"/>
      <c r="N17" s="107"/>
      <c r="O17" s="107"/>
      <c r="P17" s="94"/>
      <c r="Q17" s="79"/>
      <c r="R17" s="115"/>
      <c r="S17" s="79"/>
      <c r="T17" s="79"/>
      <c r="U17" s="138"/>
      <c r="V17" s="757">
        <v>9</v>
      </c>
      <c r="W17" s="754" t="e">
        <f>IF($V$3+$W$3=53,IF(0&lt;0,0,0),(IF($V$3+$W$3=52,IF(#REF!=#REF!,"résultat",IF(#REF!&lt;#REF!,#REF!,#REF!)),IF($V$3+$W$3=43,IF(0&lt;0,0,0),(IF($V$3+$W$3=42,IF($AE$13=$AE$14,"résultat",IF($AE$13&lt;$AE$14,$AA$13,$AA$14)),IF($V$3+$W$3=32,IF($AE$13=$AE$14,"résultat",IF($AE$13&lt;$AE$14,$AA$13,$AA$14)),IF($V$3+$W$3=31,IF(#REF!=#REF!,"résultat",IF(#REF!&gt;#REF!,#REF!,#REF!))))))))))</f>
        <v>#REF!</v>
      </c>
      <c r="X17" s="755"/>
      <c r="Y17" s="755"/>
      <c r="Z17" s="756"/>
      <c r="AA17" s="85">
        <v>2</v>
      </c>
      <c r="AB17" s="86"/>
      <c r="AC17" s="79"/>
      <c r="AD17" s="79"/>
      <c r="AE17" s="79"/>
      <c r="AF17" s="119"/>
    </row>
    <row r="18" spans="2:34" ht="20.100000000000001" customHeight="1" thickBot="1">
      <c r="B18" s="115"/>
      <c r="C18" s="79"/>
      <c r="D18" s="79"/>
      <c r="E18" s="79"/>
      <c r="F18" s="781"/>
      <c r="G18" s="751" t="e">
        <f>IF(F3+G3=43," ",IF($F$3+$G$3=43,IF(0&gt;0,0,0),(IF(F3+G3=42,IF($G$13=$G$14,"résultat",IF($G$13&gt;$G$14,$C$13,$C$14)),(IF($F$3+$G$3=32,IF($G$13=$G$14,"résultat",IF($G$13&gt;$G$14,$C$13,$C$14))))))))</f>
        <v>#REF!</v>
      </c>
      <c r="H18" s="752"/>
      <c r="I18" s="752"/>
      <c r="J18" s="753"/>
      <c r="K18" s="85">
        <v>0</v>
      </c>
      <c r="L18" s="86"/>
      <c r="M18" s="107"/>
      <c r="N18" s="107"/>
      <c r="O18" s="107"/>
      <c r="P18" s="94"/>
      <c r="Q18" s="79"/>
      <c r="R18" s="115"/>
      <c r="S18" s="79"/>
      <c r="T18" s="79"/>
      <c r="U18" s="79"/>
      <c r="V18" s="781"/>
      <c r="W18" s="751" t="e">
        <f>IF($V$3+$W$3=53,IF(0&gt;0,0,0),(IF($V$3+$W$3=52,IF(#REF!=#REF!,"résultat",IF(#REF!&gt;#REF!,#REF!,#REF!)),IF($V$3+$W$3=43,IF(0&gt;0,0,0),(IF($V$3+$W$3=42,IF(W13=W14,"résultat",IF($W$13&gt;$W$14,$S$13,$S$14)),(IF($V$3+$W$3=32,IF(W13=W14,"résultat",IF($W$13&gt;$W$14,$S$13,$S$14)),(IF($V$3+$W$3=31,IF(AE13=AE14,"résultat",IF($AE$13&gt;$AE$14,$AA$13,$AA$14))))))))))))</f>
        <v>#REF!</v>
      </c>
      <c r="X18" s="752"/>
      <c r="Y18" s="752"/>
      <c r="Z18" s="753"/>
      <c r="AA18" s="85">
        <v>1</v>
      </c>
      <c r="AB18" s="86"/>
      <c r="AC18" s="79"/>
      <c r="AD18" s="79"/>
      <c r="AE18" s="79"/>
      <c r="AF18" s="119"/>
    </row>
    <row r="19" spans="2:34" ht="29.25" customHeight="1" thickBot="1">
      <c r="B19" s="115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107"/>
      <c r="N19" s="107"/>
      <c r="O19" s="107"/>
      <c r="P19" s="94"/>
      <c r="Q19" s="52"/>
      <c r="R19" s="115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119"/>
      <c r="AG19" s="7"/>
      <c r="AH19" s="7"/>
    </row>
    <row r="20" spans="2:34" ht="20.100000000000001" customHeight="1" thickBot="1">
      <c r="B20" s="115"/>
      <c r="C20" s="79"/>
      <c r="D20" s="79"/>
      <c r="E20" s="79"/>
      <c r="F20" s="79"/>
      <c r="G20" s="795" t="s">
        <v>60</v>
      </c>
      <c r="H20" s="796"/>
      <c r="I20" s="796"/>
      <c r="J20" s="797"/>
      <c r="K20" s="79"/>
      <c r="L20" s="107"/>
      <c r="M20" s="107"/>
      <c r="N20" s="107"/>
      <c r="O20" s="107"/>
      <c r="P20" s="94"/>
      <c r="Q20" s="79"/>
      <c r="R20" s="115"/>
      <c r="S20" s="79"/>
      <c r="T20" s="79"/>
      <c r="U20" s="79"/>
      <c r="V20" s="79"/>
      <c r="W20" s="795" t="s">
        <v>60</v>
      </c>
      <c r="X20" s="796"/>
      <c r="Y20" s="796"/>
      <c r="Z20" s="797"/>
      <c r="AA20" s="79"/>
      <c r="AB20" s="107"/>
      <c r="AC20" s="123"/>
      <c r="AD20" s="79"/>
      <c r="AE20" s="79"/>
      <c r="AF20" s="119"/>
    </row>
    <row r="21" spans="2:34" ht="20.100000000000001" customHeight="1">
      <c r="B21" s="115"/>
      <c r="C21" s="79"/>
      <c r="D21" s="102" t="s">
        <v>80</v>
      </c>
      <c r="E21" s="107"/>
      <c r="F21" s="734" t="e">
        <f>IF($F$3+$G$3=43,IF($O$13=$O$14,"résultat",IF($O$13&gt;$O$14,$K$13,$K$14)),(IF($F$3+$G$3=42,IF($O$13=$O$14,"résultat",IF($O$13&gt;$O$14,$K$13,$K$14)),(IF($F$3+$G$3=32,IF($O$13=$O$14,"résultat",IF($O$13&gt;$O$14,$K$13,$K$14)))))))</f>
        <v>#REF!</v>
      </c>
      <c r="G21" s="735"/>
      <c r="H21" s="735"/>
      <c r="I21" s="735"/>
      <c r="J21" s="735"/>
      <c r="K21" s="736"/>
      <c r="L21" s="107"/>
      <c r="M21" s="107"/>
      <c r="N21" s="107"/>
      <c r="O21" s="107"/>
      <c r="P21" s="94"/>
      <c r="Q21" s="52"/>
      <c r="R21" s="129"/>
      <c r="S21" s="107"/>
      <c r="T21" s="102" t="s">
        <v>80</v>
      </c>
      <c r="U21" s="79"/>
      <c r="V21" s="734" t="e">
        <f>IF($V$3+$W$3=43,IF($AE$13=$AE$14,"résultat",IF($AE$13&gt;$AE$14,$AA$13,$AA$14)),(IF($V$3+$W$3=42,IF($AE$13=$AE$14,"résultat",IF($AE$13&gt;$AE$14,$AA$13,$AA$14)),(IF($V$3+$W$3=32,IF($AE$13=$AE$14,"résultat",IF($AE$13&gt;$AE$14,$AA$13,$AA$14)))))))</f>
        <v>#REF!</v>
      </c>
      <c r="W21" s="735"/>
      <c r="X21" s="735"/>
      <c r="Y21" s="735"/>
      <c r="Z21" s="735"/>
      <c r="AA21" s="736"/>
      <c r="AB21" s="107"/>
      <c r="AC21" s="79"/>
      <c r="AD21" s="79"/>
      <c r="AE21" s="79"/>
      <c r="AF21" s="119"/>
    </row>
    <row r="22" spans="2:34" ht="20.100000000000001" customHeight="1">
      <c r="B22" s="115"/>
      <c r="C22" s="79"/>
      <c r="D22" s="105" t="s">
        <v>81</v>
      </c>
      <c r="E22" s="107"/>
      <c r="F22" s="792" t="e">
        <f>IF($F$3+$G$3=43,IF($O$13=$O$14,"résultat",IF($O$13&lt;$O$14,$K$13,$K$14)),(IF($F$3+$G$3=42,IF($K$17=$K$18,"résultat",IF($K$17&gt;$K$18,$G$17,$G$18)),(IF($F$3+$G$3=32,IF($K$17=$K$18,"résultat",IF($K$17&gt;$K$18,$G$17,$G$18)))))))</f>
        <v>#REF!</v>
      </c>
      <c r="G22" s="793"/>
      <c r="H22" s="793"/>
      <c r="I22" s="793"/>
      <c r="J22" s="793"/>
      <c r="K22" s="794"/>
      <c r="L22" s="107"/>
      <c r="M22" s="107"/>
      <c r="N22" s="107"/>
      <c r="O22" s="107"/>
      <c r="P22" s="94"/>
      <c r="Q22" s="52"/>
      <c r="R22" s="129"/>
      <c r="S22" s="107"/>
      <c r="T22" s="105" t="s">
        <v>81</v>
      </c>
      <c r="U22" s="79"/>
      <c r="V22" s="792" t="e">
        <f>IF($V$3+$W$3=43,IF($AE$13=$AE$14,"résultat",IF($AE$13&lt;$AE$14,$AA$13,$AA$14)),(IF($V$3+$W$3=42,IF($AA$17=$AA$18,"résultat",IF($AA$17&gt;$AA$18,$W$17,$W$18)),(IF($V$3+$W$3=32,IF($AA$17=$AA$18,"résultat",IF($AA$17&gt;$AA$18,$W$17,$W$18)))))))</f>
        <v>#REF!</v>
      </c>
      <c r="W22" s="793"/>
      <c r="X22" s="793"/>
      <c r="Y22" s="793"/>
      <c r="Z22" s="793"/>
      <c r="AA22" s="794"/>
      <c r="AB22" s="107"/>
      <c r="AC22" s="79"/>
      <c r="AD22" s="124"/>
      <c r="AE22" s="124"/>
      <c r="AF22" s="119"/>
    </row>
    <row r="23" spans="2:34" ht="20.100000000000001" customHeight="1" thickBot="1">
      <c r="B23" s="115"/>
      <c r="C23" s="79"/>
      <c r="D23" s="106" t="s">
        <v>82</v>
      </c>
      <c r="E23" s="107"/>
      <c r="F23" s="801" t="e">
        <f>IF(F3+G3=0," ",IF($F$3+$G$3=43,IF($G$13=$G$14,"résultat",IF($G$13&gt;$G$14,$C$13,$C$14)),(IF($F$3+$G$3=42,"&amp;",(IF($F$3+$G$3=32,"&amp;"))))))</f>
        <v>#REF!</v>
      </c>
      <c r="G23" s="802"/>
      <c r="H23" s="802"/>
      <c r="I23" s="802"/>
      <c r="J23" s="802"/>
      <c r="K23" s="803"/>
      <c r="L23" s="107"/>
      <c r="M23" s="107"/>
      <c r="N23" s="107"/>
      <c r="O23" s="107"/>
      <c r="P23" s="94"/>
      <c r="Q23" s="52"/>
      <c r="R23" s="129"/>
      <c r="S23" s="107"/>
      <c r="T23" s="106" t="s">
        <v>82</v>
      </c>
      <c r="U23" s="79"/>
      <c r="V23" s="769" t="e">
        <f>IF(V3+W3=0," ",IF($V$3+$W$3=43,IF(W13=W14,"résultat",IF(W13&gt;W14,S13,S14)),IF($V$3+$W$3=42,"&amp;",(IF($V$3+$W$3=32,"&amp;")))))</f>
        <v>#REF!</v>
      </c>
      <c r="W23" s="770"/>
      <c r="X23" s="770"/>
      <c r="Y23" s="770"/>
      <c r="Z23" s="770"/>
      <c r="AA23" s="771"/>
      <c r="AB23" s="107"/>
      <c r="AC23" s="79"/>
      <c r="AD23" s="79"/>
      <c r="AE23" s="79"/>
      <c r="AF23" s="119"/>
    </row>
    <row r="24" spans="2:34" ht="20.100000000000001" customHeight="1" thickBot="1">
      <c r="B24" s="125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26"/>
      <c r="Q24" s="52"/>
      <c r="R24" s="125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26"/>
      <c r="AG24" s="7"/>
      <c r="AH24" s="7"/>
    </row>
    <row r="25" spans="2:34" ht="20.100000000000001" customHeight="1" thickBot="1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7"/>
      <c r="AH25" s="7"/>
    </row>
    <row r="26" spans="2:34" ht="20.100000000000001" customHeight="1" thickBot="1">
      <c r="B26" s="114"/>
      <c r="C26" s="114"/>
      <c r="D26" s="52"/>
      <c r="E26" s="52"/>
      <c r="F26" s="798" t="s">
        <v>64</v>
      </c>
      <c r="G26" s="799"/>
      <c r="H26" s="800"/>
      <c r="I26" s="114"/>
      <c r="J26" s="114"/>
      <c r="K26" s="114"/>
      <c r="L26" s="114"/>
      <c r="M26" s="52"/>
      <c r="N26" s="52"/>
      <c r="O26" s="52"/>
      <c r="P26" s="114"/>
      <c r="Q26" s="52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7"/>
      <c r="AH26" s="7"/>
    </row>
    <row r="27" spans="2:34" ht="20.100000000000001" customHeight="1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2:34">
      <c r="C28" s="8" t="e">
        <f>IF($F$3+$G$3=43,IF($G$13=$G$14,"résultat",IF($G$13&gt;$G$14,$C$13,$C$14)),(IF($F$3+$G$3=42,IF($K$17=$K$18,"résultat",IF($K$17&lt;$K$18,"&amp;")),(IF($F$3+$G$3=32,"&amp;")))))</f>
        <v>#REF!</v>
      </c>
    </row>
  </sheetData>
  <sheetProtection formatCells="0" formatColumns="0" formatRows="0" insertColumns="0" insertRows="0" insertHyperlinks="0" deleteColumns="0" deleteRows="0" sort="0"/>
  <mergeCells count="63">
    <mergeCell ref="Z13:Z14"/>
    <mergeCell ref="V17:V18"/>
    <mergeCell ref="R13:R14"/>
    <mergeCell ref="J13:J14"/>
    <mergeCell ref="B13:B14"/>
    <mergeCell ref="F17:F18"/>
    <mergeCell ref="H16:I16"/>
    <mergeCell ref="X16:Y16"/>
    <mergeCell ref="F26:H26"/>
    <mergeCell ref="N1:O1"/>
    <mergeCell ref="F23:K23"/>
    <mergeCell ref="V23:AA23"/>
    <mergeCell ref="V21:AA21"/>
    <mergeCell ref="V22:AA22"/>
    <mergeCell ref="R2:T2"/>
    <mergeCell ref="V2:W2"/>
    <mergeCell ref="Y2:AA2"/>
    <mergeCell ref="W18:Z18"/>
    <mergeCell ref="W20:Z20"/>
    <mergeCell ref="S13:V13"/>
    <mergeCell ref="S14:V14"/>
    <mergeCell ref="W17:Z17"/>
    <mergeCell ref="S8:V8"/>
    <mergeCell ref="Z8:Z9"/>
    <mergeCell ref="F21:K21"/>
    <mergeCell ref="F22:K22"/>
    <mergeCell ref="C14:F14"/>
    <mergeCell ref="C13:F13"/>
    <mergeCell ref="G20:J20"/>
    <mergeCell ref="G18:J18"/>
    <mergeCell ref="G17:J17"/>
    <mergeCell ref="AA14:AD14"/>
    <mergeCell ref="T12:U12"/>
    <mergeCell ref="B4:P4"/>
    <mergeCell ref="K13:N13"/>
    <mergeCell ref="K14:N14"/>
    <mergeCell ref="B8:B9"/>
    <mergeCell ref="J8:J9"/>
    <mergeCell ref="C9:F9"/>
    <mergeCell ref="K9:N9"/>
    <mergeCell ref="C8:F8"/>
    <mergeCell ref="K8:N8"/>
    <mergeCell ref="AA8:AD8"/>
    <mergeCell ref="S9:V9"/>
    <mergeCell ref="AA9:AD9"/>
    <mergeCell ref="R4:AF4"/>
    <mergeCell ref="R8:R9"/>
    <mergeCell ref="AD1:AE1"/>
    <mergeCell ref="AB12:AC12"/>
    <mergeCell ref="L12:M12"/>
    <mergeCell ref="D12:E12"/>
    <mergeCell ref="AA13:AD13"/>
    <mergeCell ref="B2:D2"/>
    <mergeCell ref="F2:G2"/>
    <mergeCell ref="I2:K2"/>
    <mergeCell ref="L2:P2"/>
    <mergeCell ref="AB2:AF2"/>
    <mergeCell ref="B1:D1"/>
    <mergeCell ref="E1:G1"/>
    <mergeCell ref="R1:T1"/>
    <mergeCell ref="U1:W1"/>
    <mergeCell ref="I1:L1"/>
    <mergeCell ref="Y1:AB1"/>
  </mergeCells>
  <conditionalFormatting sqref="F21 U21:V21">
    <cfRule type="expression" dxfId="338" priority="221">
      <formula>$X$2=5</formula>
    </cfRule>
    <cfRule type="expression" dxfId="337" priority="222">
      <formula>$X$2=4</formula>
    </cfRule>
    <cfRule type="expression" dxfId="336" priority="223">
      <formula>$X$2=3</formula>
    </cfRule>
    <cfRule type="expression" dxfId="335" priority="224">
      <formula>$X$2=2</formula>
    </cfRule>
    <cfRule type="expression" dxfId="334" priority="225">
      <formula>$X$2=0</formula>
    </cfRule>
  </conditionalFormatting>
  <conditionalFormatting sqref="F22 U22:V22">
    <cfRule type="expression" dxfId="333" priority="216">
      <formula>$X$2=0</formula>
    </cfRule>
    <cfRule type="expression" dxfId="332" priority="217">
      <formula>$X$2=5</formula>
    </cfRule>
    <cfRule type="expression" dxfId="331" priority="218">
      <formula>$X$2=4</formula>
    </cfRule>
    <cfRule type="expression" dxfId="330" priority="219">
      <formula>$X$2=3</formula>
    </cfRule>
    <cfRule type="expression" dxfId="329" priority="220">
      <formula>$X$2=2</formula>
    </cfRule>
  </conditionalFormatting>
  <conditionalFormatting sqref="U23:V23">
    <cfRule type="expression" dxfId="328" priority="228">
      <formula>$X$2=0</formula>
    </cfRule>
    <cfRule type="expression" dxfId="327" priority="229">
      <formula>$X$2=5</formula>
    </cfRule>
    <cfRule type="expression" dxfId="326" priority="230">
      <formula>$X$2=4</formula>
    </cfRule>
    <cfRule type="expression" dxfId="325" priority="231">
      <formula>$X$2=3</formula>
    </cfRule>
  </conditionalFormatting>
  <conditionalFormatting sqref="F23">
    <cfRule type="expression" dxfId="324" priority="201">
      <formula>$H$2=0</formula>
    </cfRule>
    <cfRule type="expression" dxfId="323" priority="202">
      <formula>$H$2=5</formula>
    </cfRule>
    <cfRule type="expression" dxfId="322" priority="203">
      <formula>$H$2=4</formula>
    </cfRule>
    <cfRule type="expression" dxfId="321" priority="204">
      <formula>$H$2=3</formula>
    </cfRule>
  </conditionalFormatting>
  <conditionalFormatting sqref="V21">
    <cfRule type="expression" dxfId="320" priority="172">
      <formula>$X$2=2</formula>
    </cfRule>
    <cfRule type="expression" dxfId="319" priority="173">
      <formula>$X$2=5</formula>
    </cfRule>
    <cfRule type="expression" dxfId="318" priority="174">
      <formula>$X$2=4</formula>
    </cfRule>
    <cfRule type="expression" dxfId="317" priority="175">
      <formula>$X$2=3</formula>
    </cfRule>
    <cfRule type="expression" dxfId="316" priority="176">
      <formula>$H$2=0</formula>
    </cfRule>
  </conditionalFormatting>
  <conditionalFormatting sqref="V23">
    <cfRule type="expression" dxfId="315" priority="163">
      <formula>$X$2=0</formula>
    </cfRule>
    <cfRule type="expression" dxfId="314" priority="164">
      <formula>$X$2=5</formula>
    </cfRule>
    <cfRule type="expression" dxfId="313" priority="165">
      <formula>$X$2=4</formula>
    </cfRule>
    <cfRule type="expression" dxfId="312" priority="166">
      <formula>$X$2=3</formula>
    </cfRule>
  </conditionalFormatting>
  <conditionalFormatting sqref="V21">
    <cfRule type="expression" dxfId="311" priority="156">
      <formula>$X$2=1</formula>
    </cfRule>
  </conditionalFormatting>
  <conditionalFormatting sqref="F21">
    <cfRule type="expression" dxfId="310" priority="154">
      <formula>$H$2=0</formula>
    </cfRule>
    <cfRule type="expression" dxfId="309" priority="155" stopIfTrue="1">
      <formula>(OR(H2="1",H2="2",H2="3"))</formula>
    </cfRule>
  </conditionalFormatting>
  <conditionalFormatting sqref="F22">
    <cfRule type="expression" dxfId="308" priority="153">
      <formula>(OR(H2="2",H2="3"))</formula>
    </cfRule>
  </conditionalFormatting>
  <conditionalFormatting sqref="F23">
    <cfRule type="expression" dxfId="307" priority="152">
      <formula>(H2="3")</formula>
    </cfRule>
  </conditionalFormatting>
  <conditionalFormatting sqref="V23">
    <cfRule type="cellIs" dxfId="306" priority="151" operator="equal">
      <formula>0</formula>
    </cfRule>
  </conditionalFormatting>
  <conditionalFormatting sqref="V21">
    <cfRule type="expression" dxfId="305" priority="139">
      <formula>$H$2=0</formula>
    </cfRule>
    <cfRule type="expression" dxfId="304" priority="140" stopIfTrue="1">
      <formula>(OR(X2="1",X2="2",X2="3"))</formula>
    </cfRule>
  </conditionalFormatting>
  <conditionalFormatting sqref="V22">
    <cfRule type="expression" dxfId="303" priority="138">
      <formula>(OR(X2="2",X2="3"))</formula>
    </cfRule>
  </conditionalFormatting>
  <conditionalFormatting sqref="V23">
    <cfRule type="expression" dxfId="302" priority="137">
      <formula>(X2="3")</formula>
    </cfRule>
  </conditionalFormatting>
  <conditionalFormatting sqref="F21">
    <cfRule type="expression" dxfId="301" priority="94">
      <formula>$H$2=0</formula>
    </cfRule>
    <cfRule type="expression" dxfId="300" priority="95" stopIfTrue="1">
      <formula>(OR(H2="1",H2="2",H2="3"))</formula>
    </cfRule>
  </conditionalFormatting>
  <conditionalFormatting sqref="F22">
    <cfRule type="expression" dxfId="299" priority="93">
      <formula>(OR(H2="2",H2="3"))</formula>
    </cfRule>
  </conditionalFormatting>
  <conditionalFormatting sqref="F23">
    <cfRule type="cellIs" dxfId="298" priority="91" operator="equal">
      <formula>0</formula>
    </cfRule>
    <cfRule type="expression" dxfId="297" priority="92">
      <formula>(H2="3")</formula>
    </cfRule>
  </conditionalFormatting>
  <conditionalFormatting sqref="V21">
    <cfRule type="expression" dxfId="296" priority="89">
      <formula>$H$2=0</formula>
    </cfRule>
    <cfRule type="expression" dxfId="295" priority="90" stopIfTrue="1">
      <formula>(OR(X2="1",X2="2",X2="3"))</formula>
    </cfRule>
  </conditionalFormatting>
  <conditionalFormatting sqref="V22">
    <cfRule type="expression" dxfId="294" priority="88">
      <formula>(OR(X2="2",X2="3"))</formula>
    </cfRule>
  </conditionalFormatting>
  <conditionalFormatting sqref="V23">
    <cfRule type="expression" dxfId="293" priority="87">
      <formula>(X2="3")</formula>
    </cfRule>
  </conditionalFormatting>
  <conditionalFormatting sqref="K8:N9">
    <cfRule type="expression" dxfId="292" priority="17">
      <formula>(OR($E$2=3,$E$2=4,$E$2=5))</formula>
    </cfRule>
  </conditionalFormatting>
  <conditionalFormatting sqref="AA9:AD9">
    <cfRule type="containsText" dxfId="291" priority="6" operator="containsText" text="OFFICE">
      <formula>NOT(ISERROR(SEARCH("OFFICE",AA9)))</formula>
    </cfRule>
    <cfRule type="cellIs" dxfId="290" priority="9" operator="equal">
      <formula>$E$2=0</formula>
    </cfRule>
  </conditionalFormatting>
  <conditionalFormatting sqref="AA14">
    <cfRule type="expression" dxfId="289" priority="7">
      <formula>(OR($U$2=3,$U$2=4,$U$2=5))</formula>
    </cfRule>
  </conditionalFormatting>
  <conditionalFormatting sqref="G18:J18 S14:V14 K9:N9 C14:F14">
    <cfRule type="containsText" dxfId="288" priority="5" operator="containsText" text="OFFICE">
      <formula>NOT(ISERROR(SEARCH("OFFICE",C9)))</formula>
    </cfRule>
  </conditionalFormatting>
  <pageMargins left="0.23622047244094491" right="0.23622047244094491" top="0.74803149606299213" bottom="0.19685039370078741" header="0.31496062992125984" footer="0.31496062992125984"/>
  <pageSetup paperSize="9" scale="61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rgb="FFFFFF00"/>
  </sheetPr>
  <dimension ref="A1:AI29"/>
  <sheetViews>
    <sheetView zoomScale="80" zoomScaleNormal="80" zoomScaleSheetLayoutView="90" workbookViewId="0">
      <selection activeCell="T12" sqref="T12:U12"/>
    </sheetView>
  </sheetViews>
  <sheetFormatPr baseColWidth="10" defaultRowHeight="15"/>
  <cols>
    <col min="1" max="1" width="4" style="8" customWidth="1"/>
    <col min="2" max="2" width="6.85546875" style="8" customWidth="1"/>
    <col min="3" max="3" width="6.7109375" style="8" customWidth="1"/>
    <col min="4" max="5" width="8.7109375" style="8" customWidth="1"/>
    <col min="6" max="6" width="7.28515625" style="8" customWidth="1"/>
    <col min="7" max="7" width="6.7109375" style="8" customWidth="1"/>
    <col min="8" max="8" width="8.7109375" style="8" customWidth="1"/>
    <col min="9" max="9" width="6.42578125" style="8" customWidth="1"/>
    <col min="10" max="10" width="7.42578125" style="8" customWidth="1"/>
    <col min="11" max="11" width="6.7109375" style="8" customWidth="1"/>
    <col min="12" max="13" width="8.7109375" style="8" customWidth="1"/>
    <col min="14" max="14" width="7.140625" style="8" customWidth="1"/>
    <col min="15" max="15" width="6.5703125" style="8" customWidth="1"/>
    <col min="16" max="16" width="7.140625" style="8" customWidth="1"/>
    <col min="17" max="17" width="4.42578125" style="8" customWidth="1"/>
    <col min="18" max="18" width="6.5703125" style="8" customWidth="1"/>
    <col min="19" max="19" width="8.7109375" style="8" customWidth="1"/>
    <col min="20" max="20" width="8.5703125" style="8" customWidth="1"/>
    <col min="21" max="21" width="8.7109375" style="8" customWidth="1"/>
    <col min="22" max="22" width="6.7109375" style="8" customWidth="1"/>
    <col min="23" max="23" width="6.85546875" style="8" customWidth="1"/>
    <col min="24" max="24" width="8.28515625" style="8" customWidth="1"/>
    <col min="25" max="25" width="6.85546875" style="8" customWidth="1"/>
    <col min="26" max="27" width="6.7109375" style="8" customWidth="1"/>
    <col min="28" max="30" width="8.7109375" style="8" customWidth="1"/>
    <col min="31" max="31" width="6.85546875" style="8" customWidth="1"/>
    <col min="32" max="32" width="7.28515625" style="8" customWidth="1"/>
    <col min="33" max="34" width="10.7109375" style="8" customWidth="1"/>
    <col min="35" max="16384" width="11.42578125" style="8"/>
  </cols>
  <sheetData>
    <row r="1" spans="1:35" ht="19.5" customHeight="1" thickBot="1">
      <c r="B1" s="782" t="s">
        <v>84</v>
      </c>
      <c r="C1" s="786"/>
      <c r="D1" s="786"/>
      <c r="E1" s="786" t="e">
        <f>#REF!</f>
        <v>#REF!</v>
      </c>
      <c r="F1" s="786"/>
      <c r="G1" s="786"/>
      <c r="H1" s="127" t="e">
        <f>#REF!</f>
        <v>#REF!</v>
      </c>
      <c r="I1" s="786" t="e">
        <f>#REF!</f>
        <v>#REF!</v>
      </c>
      <c r="J1" s="786"/>
      <c r="K1" s="786"/>
      <c r="L1" s="786"/>
      <c r="M1" s="128" t="e">
        <f>#REF!</f>
        <v>#REF!</v>
      </c>
      <c r="N1" s="782" t="s">
        <v>83</v>
      </c>
      <c r="O1" s="783"/>
      <c r="P1" s="18" t="e">
        <f>#REF!</f>
        <v>#REF!</v>
      </c>
      <c r="R1" s="782" t="s">
        <v>84</v>
      </c>
      <c r="S1" s="786"/>
      <c r="T1" s="786"/>
      <c r="U1" s="786" t="e">
        <f>#REF!</f>
        <v>#REF!</v>
      </c>
      <c r="V1" s="786"/>
      <c r="W1" s="786"/>
      <c r="X1" s="127" t="e">
        <f>#REF!</f>
        <v>#REF!</v>
      </c>
      <c r="Y1" s="786" t="e">
        <f>#REF!</f>
        <v>#REF!</v>
      </c>
      <c r="Z1" s="786"/>
      <c r="AA1" s="786"/>
      <c r="AB1" s="786"/>
      <c r="AC1" s="128" t="e">
        <f>#REF!</f>
        <v>#REF!</v>
      </c>
      <c r="AD1" s="782" t="s">
        <v>83</v>
      </c>
      <c r="AE1" s="783"/>
      <c r="AF1" s="18" t="e">
        <f>#REF!</f>
        <v>#REF!</v>
      </c>
      <c r="AG1" s="7"/>
    </row>
    <row r="2" spans="1:35" ht="20.25" customHeight="1" thickBot="1">
      <c r="B2" s="782" t="s">
        <v>20</v>
      </c>
      <c r="C2" s="786"/>
      <c r="D2" s="786"/>
      <c r="E2" s="215" t="e">
        <f>#REF!</f>
        <v>#REF!</v>
      </c>
      <c r="F2" s="742" t="s">
        <v>12</v>
      </c>
      <c r="G2" s="742"/>
      <c r="H2" s="10" t="e">
        <f>#REF!</f>
        <v>#REF!</v>
      </c>
      <c r="I2" s="786" t="s">
        <v>13</v>
      </c>
      <c r="J2" s="786"/>
      <c r="K2" s="786"/>
      <c r="L2" s="732">
        <f ca="1">TODAY()</f>
        <v>44191</v>
      </c>
      <c r="M2" s="733"/>
      <c r="N2" s="733"/>
      <c r="O2" s="733"/>
      <c r="P2" s="726"/>
      <c r="R2" s="782" t="s">
        <v>21</v>
      </c>
      <c r="S2" s="786"/>
      <c r="T2" s="786"/>
      <c r="U2" s="215" t="e">
        <f>#REF!</f>
        <v>#REF!</v>
      </c>
      <c r="V2" s="742" t="s">
        <v>12</v>
      </c>
      <c r="W2" s="742"/>
      <c r="X2" s="10" t="e">
        <f>#REF!</f>
        <v>#REF!</v>
      </c>
      <c r="Y2" s="786" t="s">
        <v>13</v>
      </c>
      <c r="Z2" s="786"/>
      <c r="AA2" s="786"/>
      <c r="AB2" s="732">
        <f ca="1">TODAY()</f>
        <v>44191</v>
      </c>
      <c r="AC2" s="733"/>
      <c r="AD2" s="733"/>
      <c r="AE2" s="733"/>
      <c r="AF2" s="726"/>
      <c r="AG2" s="7"/>
    </row>
    <row r="3" spans="1:35" ht="20.100000000000001" customHeight="1" thickBot="1">
      <c r="B3" s="223" t="e">
        <f>+#REF!</f>
        <v>#REF!</v>
      </c>
      <c r="C3" s="86"/>
      <c r="D3" s="86"/>
      <c r="E3" s="86"/>
      <c r="F3" s="116" t="e">
        <f>CONCATENATE(E2,H2)</f>
        <v>#REF!</v>
      </c>
      <c r="G3" s="86"/>
      <c r="H3" s="86"/>
      <c r="I3" s="86"/>
      <c r="J3" s="86"/>
      <c r="K3" s="86"/>
      <c r="L3" s="86"/>
      <c r="M3" s="86"/>
      <c r="N3" s="86"/>
      <c r="O3" s="86"/>
      <c r="P3" s="95"/>
      <c r="Q3" s="52"/>
      <c r="R3" s="223" t="e">
        <f>+#REF!</f>
        <v>#REF!</v>
      </c>
      <c r="S3" s="86"/>
      <c r="T3" s="86"/>
      <c r="U3" s="98"/>
      <c r="V3" s="116" t="e">
        <f>CONCATENATE(U2,X2)</f>
        <v>#REF!</v>
      </c>
      <c r="W3" s="86"/>
      <c r="X3" s="86"/>
      <c r="Y3" s="86"/>
      <c r="Z3" s="86"/>
      <c r="AA3" s="86"/>
      <c r="AB3" s="86"/>
      <c r="AC3" s="86"/>
      <c r="AD3" s="86"/>
      <c r="AE3" s="86"/>
      <c r="AF3" s="95"/>
      <c r="AG3" s="7"/>
      <c r="AH3" s="7"/>
    </row>
    <row r="4" spans="1:35" ht="20.100000000000001" customHeight="1" thickBot="1">
      <c r="B4" s="745" t="s">
        <v>98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7"/>
      <c r="Q4" s="79"/>
      <c r="R4" s="758" t="s">
        <v>98</v>
      </c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60"/>
      <c r="AG4" s="7"/>
    </row>
    <row r="5" spans="1:35" ht="20.100000000000001" customHeight="1">
      <c r="B5" s="115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17"/>
      <c r="Q5" s="52"/>
      <c r="R5" s="115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117"/>
      <c r="AG5" s="7"/>
      <c r="AH5" s="7"/>
    </row>
    <row r="6" spans="1:35" ht="20.100000000000001" customHeight="1" thickBot="1">
      <c r="B6" s="115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94"/>
      <c r="Q6" s="52"/>
      <c r="R6" s="115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94"/>
      <c r="AG6" s="7"/>
      <c r="AH6" s="7"/>
    </row>
    <row r="7" spans="1:35" ht="20.100000000000001" customHeight="1" thickBot="1">
      <c r="B7" s="93" t="s">
        <v>1</v>
      </c>
      <c r="C7" s="118" t="s">
        <v>8</v>
      </c>
      <c r="D7" s="98"/>
      <c r="E7" s="79"/>
      <c r="F7" s="79"/>
      <c r="G7" s="86" t="s">
        <v>0</v>
      </c>
      <c r="H7" s="86"/>
      <c r="I7" s="86"/>
      <c r="J7" s="86" t="s">
        <v>1</v>
      </c>
      <c r="K7" s="118" t="e">
        <f>IF(E2=2,"","C")</f>
        <v>#REF!</v>
      </c>
      <c r="L7" s="98"/>
      <c r="M7" s="79"/>
      <c r="N7" s="79"/>
      <c r="O7" s="86" t="s">
        <v>0</v>
      </c>
      <c r="P7" s="95"/>
      <c r="Q7" s="130"/>
      <c r="R7" s="93" t="s">
        <v>1</v>
      </c>
      <c r="S7" s="118" t="s">
        <v>8</v>
      </c>
      <c r="T7" s="98"/>
      <c r="U7" s="79"/>
      <c r="V7" s="79"/>
      <c r="W7" s="86" t="s">
        <v>0</v>
      </c>
      <c r="X7" s="86"/>
      <c r="Y7" s="86"/>
      <c r="Z7" s="86" t="s">
        <v>1</v>
      </c>
      <c r="AA7" s="118" t="e">
        <f>IF(U2=2,"","C")</f>
        <v>#REF!</v>
      </c>
      <c r="AB7" s="98"/>
      <c r="AC7" s="79"/>
      <c r="AD7" s="79"/>
      <c r="AE7" s="86" t="s">
        <v>0</v>
      </c>
      <c r="AF7" s="94"/>
      <c r="AG7" s="15"/>
      <c r="AH7" s="7"/>
      <c r="AI7" s="7"/>
    </row>
    <row r="8" spans="1:35" ht="20.100000000000001" customHeight="1" thickBot="1">
      <c r="A8" s="33">
        <v>17</v>
      </c>
      <c r="B8" s="730">
        <v>9</v>
      </c>
      <c r="C8" s="734" t="e">
        <f>+#REF!</f>
        <v>#REF!</v>
      </c>
      <c r="D8" s="735"/>
      <c r="E8" s="735"/>
      <c r="F8" s="736"/>
      <c r="G8" s="85">
        <v>1</v>
      </c>
      <c r="H8" s="86"/>
      <c r="I8" s="87">
        <v>19</v>
      </c>
      <c r="J8" s="730">
        <v>10</v>
      </c>
      <c r="K8" s="808" t="e">
        <f>+#REF!</f>
        <v>#REF!</v>
      </c>
      <c r="L8" s="809"/>
      <c r="M8" s="809"/>
      <c r="N8" s="810"/>
      <c r="O8" s="85">
        <v>19</v>
      </c>
      <c r="P8" s="95"/>
      <c r="Q8" s="130"/>
      <c r="R8" s="730">
        <v>11</v>
      </c>
      <c r="S8" s="734" t="e">
        <f>+#REF!</f>
        <v>#REF!</v>
      </c>
      <c r="T8" s="735"/>
      <c r="U8" s="735"/>
      <c r="V8" s="736"/>
      <c r="W8" s="85">
        <v>1</v>
      </c>
      <c r="X8" s="86"/>
      <c r="Y8" s="87">
        <v>23</v>
      </c>
      <c r="Z8" s="730">
        <v>12</v>
      </c>
      <c r="AA8" s="734" t="e">
        <f>+#REF!</f>
        <v>#REF!</v>
      </c>
      <c r="AB8" s="735"/>
      <c r="AC8" s="735"/>
      <c r="AD8" s="736"/>
      <c r="AE8" s="85">
        <v>1</v>
      </c>
      <c r="AF8" s="94"/>
      <c r="AG8" s="15"/>
      <c r="AH8" s="7"/>
      <c r="AI8" s="7"/>
    </row>
    <row r="9" spans="1:35" ht="20.100000000000001" customHeight="1" thickBot="1">
      <c r="A9" s="33">
        <v>18</v>
      </c>
      <c r="B9" s="731"/>
      <c r="C9" s="727" t="e">
        <f>+#REF!</f>
        <v>#REF!</v>
      </c>
      <c r="D9" s="728"/>
      <c r="E9" s="728"/>
      <c r="F9" s="729"/>
      <c r="G9" s="89">
        <v>0</v>
      </c>
      <c r="H9" s="86"/>
      <c r="I9" s="87">
        <v>20</v>
      </c>
      <c r="J9" s="731"/>
      <c r="K9" s="727" t="e">
        <f>#REF!</f>
        <v>#REF!</v>
      </c>
      <c r="L9" s="728"/>
      <c r="M9" s="728"/>
      <c r="N9" s="729"/>
      <c r="O9" s="85">
        <v>0</v>
      </c>
      <c r="P9" s="95"/>
      <c r="Q9" s="130"/>
      <c r="R9" s="731"/>
      <c r="S9" s="727" t="e">
        <f>+#REF!</f>
        <v>#REF!</v>
      </c>
      <c r="T9" s="728"/>
      <c r="U9" s="728"/>
      <c r="V9" s="729"/>
      <c r="W9" s="89">
        <v>0</v>
      </c>
      <c r="X9" s="86"/>
      <c r="Y9" s="87">
        <v>24</v>
      </c>
      <c r="Z9" s="731"/>
      <c r="AA9" s="727" t="e">
        <f>IF(OR(AND(B3&gt;170,B3&lt;210))," ",#REF!)</f>
        <v>#REF!</v>
      </c>
      <c r="AB9" s="728"/>
      <c r="AC9" s="728"/>
      <c r="AD9" s="729"/>
      <c r="AE9" s="85">
        <v>0</v>
      </c>
      <c r="AF9" s="94"/>
      <c r="AG9" s="15"/>
      <c r="AH9" s="15"/>
      <c r="AI9" s="7"/>
    </row>
    <row r="10" spans="1:35" ht="20.100000000000001" customHeight="1" thickBot="1">
      <c r="B10" s="115"/>
      <c r="C10" s="90" t="s">
        <v>9</v>
      </c>
      <c r="D10" s="77"/>
      <c r="E10" s="78"/>
      <c r="F10" s="78"/>
      <c r="G10" s="79"/>
      <c r="H10" s="79"/>
      <c r="I10" s="79"/>
      <c r="J10" s="79"/>
      <c r="K10" s="83" t="s">
        <v>40</v>
      </c>
      <c r="L10" s="77"/>
      <c r="M10" s="78"/>
      <c r="N10" s="78"/>
      <c r="O10" s="79"/>
      <c r="P10" s="119"/>
      <c r="Q10" s="130"/>
      <c r="R10" s="115"/>
      <c r="S10" s="90" t="s">
        <v>9</v>
      </c>
      <c r="T10" s="77"/>
      <c r="U10" s="78"/>
      <c r="V10" s="78"/>
      <c r="W10" s="79"/>
      <c r="X10" s="79"/>
      <c r="Y10" s="79"/>
      <c r="Z10" s="79"/>
      <c r="AA10" s="83" t="s">
        <v>40</v>
      </c>
      <c r="AB10" s="77"/>
      <c r="AC10" s="78"/>
      <c r="AD10" s="78"/>
      <c r="AE10" s="79"/>
      <c r="AF10" s="91"/>
      <c r="AG10" s="15"/>
      <c r="AH10" s="15"/>
      <c r="AI10" s="7"/>
    </row>
    <row r="11" spans="1:35" ht="20.100000000000001" customHeight="1">
      <c r="B11" s="115"/>
      <c r="C11" s="78"/>
      <c r="D11" s="78"/>
      <c r="E11" s="78"/>
      <c r="F11" s="78"/>
      <c r="G11" s="79"/>
      <c r="H11" s="79"/>
      <c r="I11" s="79"/>
      <c r="J11" s="79"/>
      <c r="K11" s="78"/>
      <c r="L11" s="78"/>
      <c r="M11" s="78"/>
      <c r="N11" s="78"/>
      <c r="O11" s="79"/>
      <c r="P11" s="119"/>
      <c r="Q11" s="79"/>
      <c r="R11" s="115"/>
      <c r="S11" s="92"/>
      <c r="T11" s="92"/>
      <c r="U11" s="92"/>
      <c r="V11" s="92"/>
      <c r="W11" s="79"/>
      <c r="X11" s="79"/>
      <c r="Y11" s="79"/>
      <c r="Z11" s="79"/>
      <c r="AA11" s="78"/>
      <c r="AB11" s="78"/>
      <c r="AC11" s="78"/>
      <c r="AD11" s="78"/>
      <c r="AE11" s="79"/>
      <c r="AF11" s="91"/>
      <c r="AG11" s="15"/>
      <c r="AH11" s="15"/>
      <c r="AI11" s="7"/>
    </row>
    <row r="12" spans="1:35" ht="20.100000000000001" customHeight="1" thickBot="1">
      <c r="B12" s="93" t="s">
        <v>1</v>
      </c>
      <c r="C12" s="78"/>
      <c r="D12" s="724" t="s">
        <v>62</v>
      </c>
      <c r="E12" s="724"/>
      <c r="F12" s="78"/>
      <c r="G12" s="86" t="s">
        <v>0</v>
      </c>
      <c r="H12" s="86"/>
      <c r="I12" s="86"/>
      <c r="J12" s="86" t="s">
        <v>1</v>
      </c>
      <c r="K12" s="78"/>
      <c r="L12" s="723" t="s">
        <v>61</v>
      </c>
      <c r="M12" s="723"/>
      <c r="N12" s="78"/>
      <c r="O12" s="86" t="s">
        <v>0</v>
      </c>
      <c r="P12" s="95"/>
      <c r="Q12" s="86"/>
      <c r="R12" s="93" t="s">
        <v>1</v>
      </c>
      <c r="S12" s="92"/>
      <c r="T12" s="724" t="s">
        <v>62</v>
      </c>
      <c r="U12" s="724"/>
      <c r="V12" s="92"/>
      <c r="W12" s="86" t="s">
        <v>0</v>
      </c>
      <c r="X12" s="86"/>
      <c r="Y12" s="86"/>
      <c r="Z12" s="86" t="s">
        <v>1</v>
      </c>
      <c r="AA12" s="78"/>
      <c r="AB12" s="723" t="s">
        <v>61</v>
      </c>
      <c r="AC12" s="723"/>
      <c r="AD12" s="78"/>
      <c r="AE12" s="86" t="s">
        <v>0</v>
      </c>
      <c r="AF12" s="119"/>
    </row>
    <row r="13" spans="1:35" ht="20.100000000000001" customHeight="1" thickBot="1">
      <c r="B13" s="757">
        <v>12</v>
      </c>
      <c r="C13" s="734" t="e">
        <f>IF($G$8=$G$9,"résultat",IF($G$8&gt;$G$9,$C$9,$C$8))</f>
        <v>#REF!</v>
      </c>
      <c r="D13" s="767"/>
      <c r="E13" s="767"/>
      <c r="F13" s="768"/>
      <c r="G13" s="85">
        <v>17</v>
      </c>
      <c r="H13" s="86"/>
      <c r="I13" s="86"/>
      <c r="J13" s="757">
        <v>13</v>
      </c>
      <c r="K13" s="734" t="e">
        <f>IF($O$8=$O$9,"résultat",IF($O$8&gt;$O$9,$K$8,$K$9))</f>
        <v>#REF!</v>
      </c>
      <c r="L13" s="735"/>
      <c r="M13" s="735"/>
      <c r="N13" s="736"/>
      <c r="O13" s="85">
        <v>1</v>
      </c>
      <c r="P13" s="95"/>
      <c r="Q13" s="86"/>
      <c r="R13" s="757">
        <v>14</v>
      </c>
      <c r="S13" s="804" t="e">
        <f>IF($W$8=$W$9,"résultat",IF($W$8&gt;$W$9,$S$9,$S$8))</f>
        <v>#REF!</v>
      </c>
      <c r="T13" s="767"/>
      <c r="U13" s="767"/>
      <c r="V13" s="768"/>
      <c r="W13" s="85">
        <v>1</v>
      </c>
      <c r="X13" s="86"/>
      <c r="Y13" s="86"/>
      <c r="Z13" s="757">
        <v>15</v>
      </c>
      <c r="AA13" s="734" t="e">
        <f>IF(AE8=AE9,"résultat",IF($AE$8&gt;$AE$9,$AA$8,$AA$9))</f>
        <v>#REF!</v>
      </c>
      <c r="AB13" s="735"/>
      <c r="AC13" s="735"/>
      <c r="AD13" s="736"/>
      <c r="AE13" s="85">
        <v>1</v>
      </c>
      <c r="AF13" s="119"/>
    </row>
    <row r="14" spans="1:35" ht="20.100000000000001" customHeight="1" thickBot="1">
      <c r="B14" s="781"/>
      <c r="C14" s="764" t="e">
        <f>IF($O$8=$O$9,"résultat",IF($O$8&lt;$O$9,$K$8,$K$9))</f>
        <v>#REF!</v>
      </c>
      <c r="D14" s="765"/>
      <c r="E14" s="765"/>
      <c r="F14" s="766"/>
      <c r="G14" s="97">
        <v>0</v>
      </c>
      <c r="H14" s="98"/>
      <c r="I14" s="86"/>
      <c r="J14" s="781"/>
      <c r="K14" s="764" t="e">
        <f>IF(G8=G9,"résultat",IF($G$8&gt;$G$9,$C$8,$C$9))</f>
        <v>#REF!</v>
      </c>
      <c r="L14" s="765"/>
      <c r="M14" s="765"/>
      <c r="N14" s="766"/>
      <c r="O14" s="89">
        <v>2</v>
      </c>
      <c r="P14" s="95"/>
      <c r="Q14" s="86"/>
      <c r="R14" s="781"/>
      <c r="S14" s="764" t="e">
        <f>IF($AE$8=$AE$9,"résultat",IF($AE$8&lt;$AE$9,$AA$8,$AA$9))</f>
        <v>#REF!</v>
      </c>
      <c r="T14" s="765"/>
      <c r="U14" s="765"/>
      <c r="V14" s="766"/>
      <c r="W14" s="85">
        <v>0</v>
      </c>
      <c r="X14" s="86"/>
      <c r="Y14" s="86"/>
      <c r="Z14" s="781"/>
      <c r="AA14" s="764" t="e">
        <f>IF(($W$9=$W$8),"résultat",IF(W8&gt;W9,S8,S9))</f>
        <v>#REF!</v>
      </c>
      <c r="AB14" s="765"/>
      <c r="AC14" s="765"/>
      <c r="AD14" s="766"/>
      <c r="AE14" s="89">
        <v>2</v>
      </c>
      <c r="AF14" s="119"/>
    </row>
    <row r="15" spans="1:35" ht="20.100000000000001" customHeight="1">
      <c r="B15" s="115"/>
      <c r="C15" s="79"/>
      <c r="D15" s="79"/>
      <c r="E15" s="79"/>
      <c r="F15" s="79"/>
      <c r="G15" s="79"/>
      <c r="H15" s="79"/>
      <c r="I15" s="121"/>
      <c r="J15" s="79"/>
      <c r="K15" s="79"/>
      <c r="L15" s="79"/>
      <c r="M15" s="79"/>
      <c r="N15" s="107"/>
      <c r="O15" s="107"/>
      <c r="P15" s="119"/>
      <c r="Q15" s="52"/>
      <c r="R15" s="115"/>
      <c r="S15" s="79"/>
      <c r="T15" s="79"/>
      <c r="U15" s="79"/>
      <c r="V15" s="79"/>
      <c r="W15" s="79"/>
      <c r="X15" s="79"/>
      <c r="Y15" s="107"/>
      <c r="Z15" s="107"/>
      <c r="AA15" s="107"/>
      <c r="AB15" s="107"/>
      <c r="AC15" s="107"/>
      <c r="AD15" s="107"/>
      <c r="AE15" s="79"/>
      <c r="AF15" s="119"/>
      <c r="AG15" s="7"/>
      <c r="AH15" s="7"/>
    </row>
    <row r="16" spans="1:35" ht="20.100000000000001" customHeight="1" thickBot="1">
      <c r="B16" s="115"/>
      <c r="C16" s="79"/>
      <c r="D16" s="79"/>
      <c r="E16" s="79"/>
      <c r="F16" s="86" t="s">
        <v>1</v>
      </c>
      <c r="G16" s="79"/>
      <c r="H16" s="774" t="s">
        <v>101</v>
      </c>
      <c r="I16" s="774"/>
      <c r="J16" s="79"/>
      <c r="K16" s="86" t="s">
        <v>0</v>
      </c>
      <c r="L16" s="86"/>
      <c r="M16" s="122"/>
      <c r="N16" s="79"/>
      <c r="O16" s="79"/>
      <c r="P16" s="119"/>
      <c r="Q16" s="79"/>
      <c r="R16" s="115"/>
      <c r="S16" s="79"/>
      <c r="T16" s="79"/>
      <c r="U16" s="79"/>
      <c r="V16" s="86" t="s">
        <v>1</v>
      </c>
      <c r="W16" s="79"/>
      <c r="X16" s="774" t="s">
        <v>101</v>
      </c>
      <c r="Y16" s="774"/>
      <c r="Z16" s="79"/>
      <c r="AA16" s="86" t="s">
        <v>0</v>
      </c>
      <c r="AB16" s="86"/>
      <c r="AC16" s="122"/>
      <c r="AD16" s="79"/>
      <c r="AE16" s="79"/>
      <c r="AF16" s="119"/>
    </row>
    <row r="17" spans="1:34" ht="20.100000000000001" customHeight="1" thickBot="1">
      <c r="B17" s="115"/>
      <c r="C17" s="79"/>
      <c r="D17" s="79"/>
      <c r="E17" s="86"/>
      <c r="F17" s="757">
        <v>11</v>
      </c>
      <c r="G17" s="754" t="e">
        <f>IF(F3+G3=43," ",IF($F$3+$G$3=42,IF($O$13=$O$14,"résultat",IF($O$13&lt;$O$14,$K$13,$K$14)),IF($F$3+$G$3=32,IF($O$13=$O$14,"résultat",IF($O$13&lt;$O$14,$K$13,$K$14)))))</f>
        <v>#REF!</v>
      </c>
      <c r="H17" s="755"/>
      <c r="I17" s="755"/>
      <c r="J17" s="756"/>
      <c r="K17" s="85">
        <v>1</v>
      </c>
      <c r="L17" s="86"/>
      <c r="M17" s="79"/>
      <c r="N17" s="79"/>
      <c r="O17" s="79"/>
      <c r="P17" s="119"/>
      <c r="Q17" s="79"/>
      <c r="R17" s="115"/>
      <c r="S17" s="79"/>
      <c r="T17" s="79"/>
      <c r="U17" s="86"/>
      <c r="V17" s="757">
        <v>13</v>
      </c>
      <c r="W17" s="754" t="e">
        <f>IF(V3+W3=0," ",IF($V$3+$W$3=43," ",(IF($V$3+$W$3=42,IF($AE$13=$AE$14,"résultat",IF($AE$13&lt;$AE$14,$AA$13,$AA$14)),IF($V$3+$W$3=32,IF($AE$13=$AE$14,"résultat",IF($AE$13&lt;$AE$14,$AA$13,$AA$14)))))))</f>
        <v>#REF!</v>
      </c>
      <c r="X17" s="755"/>
      <c r="Y17" s="755"/>
      <c r="Z17" s="756"/>
      <c r="AA17" s="85">
        <v>1</v>
      </c>
      <c r="AB17" s="86"/>
      <c r="AC17" s="79"/>
      <c r="AD17" s="79"/>
      <c r="AE17" s="79"/>
      <c r="AF17" s="119"/>
    </row>
    <row r="18" spans="1:34" ht="20.100000000000001" customHeight="1" thickBot="1">
      <c r="B18" s="115"/>
      <c r="C18" s="79"/>
      <c r="D18" s="79"/>
      <c r="E18" s="79"/>
      <c r="F18" s="781"/>
      <c r="G18" s="751" t="e">
        <f>IF($F$3+$G$3=43," ",(IF(F3+G3=42,IF($G$13=$G$14,"résultat",IF($G$13&gt;$G$14,$C$13,$C$14)),(IF($F$3+$G$3=32,IF($G$13=$G$14,"résultat",IF($G$13&gt;$G$14,$C$13,$C$14)))))))</f>
        <v>#REF!</v>
      </c>
      <c r="H18" s="752"/>
      <c r="I18" s="752"/>
      <c r="J18" s="753"/>
      <c r="K18" s="85">
        <v>0</v>
      </c>
      <c r="L18" s="86"/>
      <c r="M18" s="79"/>
      <c r="N18" s="79"/>
      <c r="O18" s="79"/>
      <c r="P18" s="119"/>
      <c r="Q18" s="79"/>
      <c r="R18" s="115"/>
      <c r="S18" s="79"/>
      <c r="T18" s="79"/>
      <c r="U18" s="79"/>
      <c r="V18" s="781"/>
      <c r="W18" s="769" t="e">
        <f>IF(V3+W3=0," ",IF($V$3+$W$3=43," ",(IF($V$3+$W$3=42,IF(W13=W14,"résultat",IF($W$13&gt;$W$14,$S$13,$S$14)),(IF($V$3+$W$3=32,IF(W13=W14,"résultat",IF($W$13&gt;$W$14,$S$13,$S$14))))))))</f>
        <v>#REF!</v>
      </c>
      <c r="X18" s="770"/>
      <c r="Y18" s="770"/>
      <c r="Z18" s="771"/>
      <c r="AA18" s="85">
        <v>0</v>
      </c>
      <c r="AB18" s="86"/>
      <c r="AC18" s="79"/>
      <c r="AD18" s="79"/>
      <c r="AE18" s="79"/>
      <c r="AF18" s="119"/>
    </row>
    <row r="19" spans="1:34" s="44" customFormat="1" ht="19.5" customHeight="1" thickBot="1">
      <c r="B19" s="23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51"/>
      <c r="O19" s="231"/>
      <c r="P19" s="233"/>
      <c r="Q19" s="234"/>
      <c r="R19" s="230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2"/>
      <c r="AE19" s="231"/>
      <c r="AF19" s="233"/>
      <c r="AG19" s="64"/>
      <c r="AH19" s="64"/>
    </row>
    <row r="20" spans="1:34" ht="20.100000000000001" customHeight="1" thickBot="1">
      <c r="B20" s="115"/>
      <c r="C20" s="79"/>
      <c r="D20" s="79"/>
      <c r="E20" s="79"/>
      <c r="F20" s="79"/>
      <c r="G20" s="805" t="s">
        <v>60</v>
      </c>
      <c r="H20" s="806"/>
      <c r="I20" s="806"/>
      <c r="J20" s="807"/>
      <c r="K20" s="79"/>
      <c r="L20" s="79"/>
      <c r="M20" s="123"/>
      <c r="N20" s="79"/>
      <c r="O20" s="107"/>
      <c r="P20" s="94"/>
      <c r="Q20" s="79"/>
      <c r="R20" s="115"/>
      <c r="S20" s="79"/>
      <c r="T20" s="79"/>
      <c r="U20" s="79"/>
      <c r="V20" s="79"/>
      <c r="W20" s="805" t="s">
        <v>60</v>
      </c>
      <c r="X20" s="806"/>
      <c r="Y20" s="806"/>
      <c r="Z20" s="807"/>
      <c r="AA20" s="79"/>
      <c r="AB20" s="79"/>
      <c r="AC20" s="123"/>
      <c r="AD20" s="79"/>
      <c r="AE20" s="79"/>
      <c r="AF20" s="119"/>
    </row>
    <row r="21" spans="1:34" ht="20.100000000000001" customHeight="1">
      <c r="B21" s="115"/>
      <c r="C21" s="79"/>
      <c r="D21" s="102" t="s">
        <v>80</v>
      </c>
      <c r="E21" s="107"/>
      <c r="F21" s="734" t="e">
        <f>IF($F$3+$G$3=43,IF($O$13=$O$14,"résultat",IF($O$13&gt;$O$14,$K$13,$K$14)),(IF($F$3+$G$3=42,IF($O$13=$O$14,"résultat",IF($O$13&gt;$O$14,$K$13,$K$14)),(IF($F$3+$G$3=32,IF($O$13=$O$14,"résultat",IF($O$13&gt;$O$14,$K$13,$K$14)))))))</f>
        <v>#REF!</v>
      </c>
      <c r="G21" s="735"/>
      <c r="H21" s="735"/>
      <c r="I21" s="735"/>
      <c r="J21" s="735"/>
      <c r="K21" s="736"/>
      <c r="L21" s="107"/>
      <c r="M21" s="79"/>
      <c r="N21" s="79"/>
      <c r="O21" s="107"/>
      <c r="P21" s="94"/>
      <c r="Q21" s="52"/>
      <c r="R21" s="129"/>
      <c r="S21" s="107"/>
      <c r="T21" s="102" t="s">
        <v>80</v>
      </c>
      <c r="U21" s="79"/>
      <c r="V21" s="734" t="e">
        <f>IF(V3+W3=0," ",IF($V$3+$W$3=43,IF($AE$13=$AE$14,"résultat",IF($AE$13&gt;$AE$14,$AA$13,$AA$14)),(IF($V$3+$W$3=42,IF($AE$13=$AE$14,"résultat",IF($AE$13&gt;$AE$14,$AA$13,$AA$14)),(IF($V$3+$W$3=32,IF($AE$13=$AE$14,"résultat",IF($AE$13&gt;$AE$14,$AA$13,$AA$14))))))))</f>
        <v>#REF!</v>
      </c>
      <c r="W21" s="735"/>
      <c r="X21" s="735"/>
      <c r="Y21" s="735"/>
      <c r="Z21" s="735"/>
      <c r="AA21" s="736"/>
      <c r="AB21" s="107"/>
      <c r="AC21" s="79"/>
      <c r="AD21" s="79"/>
      <c r="AE21" s="79"/>
      <c r="AF21" s="119"/>
    </row>
    <row r="22" spans="1:34" ht="20.100000000000001" customHeight="1">
      <c r="B22" s="115"/>
      <c r="C22" s="79"/>
      <c r="D22" s="105" t="s">
        <v>81</v>
      </c>
      <c r="E22" s="107"/>
      <c r="F22" s="792" t="e">
        <f>IF($F$3+$G$3=43,IF($O$13=$O$14,"résultat",IF($O$13&lt;$O$14,$K$13,$K$14)),(IF($F$3+$G$3=42,IF($K$17=$K$18,"résultat",IF($K$17&gt;$K$18,$G$17,$G$18)),(IF($F$3+$G$3=32,IF($K$17=$K$18,"résultat",IF($K$17&gt;$K$18,$G$17,$G$18)))))))</f>
        <v>#REF!</v>
      </c>
      <c r="G22" s="793"/>
      <c r="H22" s="793"/>
      <c r="I22" s="793"/>
      <c r="J22" s="793"/>
      <c r="K22" s="794"/>
      <c r="L22" s="107"/>
      <c r="M22" s="79"/>
      <c r="N22" s="124"/>
      <c r="O22" s="107"/>
      <c r="P22" s="94"/>
      <c r="Q22" s="52"/>
      <c r="R22" s="129"/>
      <c r="S22" s="107"/>
      <c r="T22" s="105" t="s">
        <v>81</v>
      </c>
      <c r="U22" s="79"/>
      <c r="V22" s="792" t="e">
        <f>IF(V3+W3=0," ",IF($V$3+$W$3=43,IF($AE$13=$AE$14,"résultat",IF($AE$13&lt;$AE$14,$AA$13,$AA$14)),(IF($V$3+$W$3=42,IF($AA$17=$AA$18,"résultat",IF($AA$17&gt;$AA$18,$W$17,$W$18)),(IF($V$3+$W$3=32,IF($AA$17=$AA$18,"résultat",IF($AA$17&gt;$AA$18,$W$17,$W$18))))))))</f>
        <v>#REF!</v>
      </c>
      <c r="W22" s="793"/>
      <c r="X22" s="793"/>
      <c r="Y22" s="793"/>
      <c r="Z22" s="793"/>
      <c r="AA22" s="794"/>
      <c r="AB22" s="107"/>
      <c r="AC22" s="79"/>
      <c r="AD22" s="124"/>
      <c r="AE22" s="124"/>
      <c r="AF22" s="119"/>
    </row>
    <row r="23" spans="1:34" ht="20.100000000000001" customHeight="1" thickBot="1">
      <c r="B23" s="115"/>
      <c r="C23" s="79"/>
      <c r="D23" s="106" t="s">
        <v>82</v>
      </c>
      <c r="E23" s="107"/>
      <c r="F23" s="801" t="e">
        <f>IF(F3+G3=0," ",IF($F$3+$G$3=43,IF($G$13=$G$14,"résultat",IF($G$13&gt;$G$14,$C$13,$C$14)),(IF($F$3+$G$3=42,"&amp;",(IF($F$3+$G$3=32,"&amp;"))))))</f>
        <v>#REF!</v>
      </c>
      <c r="G23" s="802"/>
      <c r="H23" s="802"/>
      <c r="I23" s="802"/>
      <c r="J23" s="802"/>
      <c r="K23" s="803"/>
      <c r="L23" s="107"/>
      <c r="M23" s="79"/>
      <c r="N23" s="79"/>
      <c r="O23" s="107"/>
      <c r="P23" s="94"/>
      <c r="Q23" s="52"/>
      <c r="R23" s="129"/>
      <c r="S23" s="107"/>
      <c r="T23" s="106" t="s">
        <v>82</v>
      </c>
      <c r="U23" s="79"/>
      <c r="V23" s="769" t="e">
        <f>IF(V3+W3=0," ",IF($V$3+$W$3=43,IF(W13=W14,"résultat",IF(W13&gt;W14,S13,S14)),IF($V$3+$W$3=42,"&amp;",(IF($V$3+$W$3=32,"&amp;")))))</f>
        <v>#REF!</v>
      </c>
      <c r="W23" s="770"/>
      <c r="X23" s="770"/>
      <c r="Y23" s="770"/>
      <c r="Z23" s="770"/>
      <c r="AA23" s="771"/>
      <c r="AB23" s="107"/>
      <c r="AC23" s="79"/>
      <c r="AD23" s="79"/>
      <c r="AE23" s="79"/>
      <c r="AF23" s="119"/>
    </row>
    <row r="24" spans="1:34" ht="20.100000000000001" customHeight="1" thickBot="1">
      <c r="B24" s="125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26"/>
      <c r="Q24" s="52"/>
      <c r="R24" s="125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26"/>
      <c r="AG24" s="7"/>
      <c r="AH24" s="7"/>
    </row>
    <row r="25" spans="1:34" ht="20.100000000000001" customHeight="1" thickBot="1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</row>
    <row r="26" spans="1:34" ht="20.100000000000001" customHeight="1" thickBot="1">
      <c r="A26" s="7"/>
      <c r="B26" s="114"/>
      <c r="C26" s="114"/>
      <c r="D26" s="114"/>
      <c r="E26" s="114"/>
      <c r="F26" s="748" t="s">
        <v>64</v>
      </c>
      <c r="G26" s="749"/>
      <c r="H26" s="750"/>
      <c r="I26" s="114"/>
      <c r="J26" s="114"/>
      <c r="K26" s="114"/>
      <c r="L26" s="114"/>
      <c r="M26" s="52"/>
      <c r="N26" s="52"/>
      <c r="O26" s="52"/>
      <c r="P26" s="114"/>
      <c r="Q26" s="52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52"/>
    </row>
    <row r="27" spans="1:3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3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</sheetData>
  <sheetProtection formatCells="0" formatColumns="0" formatRows="0" insertColumns="0" insertRows="0" insertHyperlinks="0" deleteColumns="0" deleteRows="0" sort="0"/>
  <mergeCells count="63">
    <mergeCell ref="B13:B14"/>
    <mergeCell ref="J13:J14"/>
    <mergeCell ref="H16:I16"/>
    <mergeCell ref="X16:Y16"/>
    <mergeCell ref="Y1:AB1"/>
    <mergeCell ref="AB2:AF2"/>
    <mergeCell ref="B1:D1"/>
    <mergeCell ref="E1:G1"/>
    <mergeCell ref="R1:T1"/>
    <mergeCell ref="U1:W1"/>
    <mergeCell ref="F2:G2"/>
    <mergeCell ref="I2:K2"/>
    <mergeCell ref="B2:D2"/>
    <mergeCell ref="L2:P2"/>
    <mergeCell ref="N1:O1"/>
    <mergeCell ref="AD1:AE1"/>
    <mergeCell ref="I1:L1"/>
    <mergeCell ref="Z8:Z9"/>
    <mergeCell ref="AA8:AD8"/>
    <mergeCell ref="R2:T2"/>
    <mergeCell ref="V2:W2"/>
    <mergeCell ref="Y2:AA2"/>
    <mergeCell ref="B4:P4"/>
    <mergeCell ref="R4:AF4"/>
    <mergeCell ref="S9:V9"/>
    <mergeCell ref="AA9:AD9"/>
    <mergeCell ref="B8:B9"/>
    <mergeCell ref="C8:F8"/>
    <mergeCell ref="J8:J9"/>
    <mergeCell ref="K8:N8"/>
    <mergeCell ref="C9:F9"/>
    <mergeCell ref="K9:N9"/>
    <mergeCell ref="F26:H26"/>
    <mergeCell ref="G17:J17"/>
    <mergeCell ref="W17:Z17"/>
    <mergeCell ref="G18:J18"/>
    <mergeCell ref="W18:Z18"/>
    <mergeCell ref="G20:J20"/>
    <mergeCell ref="W20:Z20"/>
    <mergeCell ref="V21:AA21"/>
    <mergeCell ref="V22:AA22"/>
    <mergeCell ref="V23:AA23"/>
    <mergeCell ref="F21:K21"/>
    <mergeCell ref="F22:K22"/>
    <mergeCell ref="F23:K23"/>
    <mergeCell ref="V17:V18"/>
    <mergeCell ref="F17:F18"/>
    <mergeCell ref="K14:N14"/>
    <mergeCell ref="AA13:AD13"/>
    <mergeCell ref="AA14:AD14"/>
    <mergeCell ref="L12:M12"/>
    <mergeCell ref="C14:F14"/>
    <mergeCell ref="S14:V14"/>
    <mergeCell ref="S13:V13"/>
    <mergeCell ref="C13:F13"/>
    <mergeCell ref="Z13:Z14"/>
    <mergeCell ref="R13:R14"/>
    <mergeCell ref="K13:N13"/>
    <mergeCell ref="R8:R9"/>
    <mergeCell ref="D12:E12"/>
    <mergeCell ref="AB12:AC12"/>
    <mergeCell ref="T12:U12"/>
    <mergeCell ref="S8:V8"/>
  </mergeCells>
  <conditionalFormatting sqref="F21">
    <cfRule type="expression" dxfId="287" priority="138">
      <formula>$H$2=0</formula>
    </cfRule>
    <cfRule type="expression" dxfId="286" priority="139" stopIfTrue="1">
      <formula>(OR(H2="1",H2="2",H2="3"))</formula>
    </cfRule>
  </conditionalFormatting>
  <conditionalFormatting sqref="F22">
    <cfRule type="expression" dxfId="285" priority="137">
      <formula>(OR(H2="2",H2="3"))</formula>
    </cfRule>
  </conditionalFormatting>
  <conditionalFormatting sqref="F23">
    <cfRule type="expression" dxfId="284" priority="136">
      <formula>(H2="3")</formula>
    </cfRule>
  </conditionalFormatting>
  <conditionalFormatting sqref="V23">
    <cfRule type="cellIs" dxfId="283" priority="135" operator="equal">
      <formula>0</formula>
    </cfRule>
  </conditionalFormatting>
  <conditionalFormatting sqref="V22">
    <cfRule type="expression" dxfId="282" priority="151" stopIfTrue="1">
      <formula>$U$2=0</formula>
    </cfRule>
    <cfRule type="expression" dxfId="281" priority="152">
      <formula>$Z$2=5</formula>
    </cfRule>
    <cfRule type="expression" dxfId="280" priority="153">
      <formula>$Z$2=4</formula>
    </cfRule>
    <cfRule type="expression" dxfId="279" priority="154">
      <formula>$Z$2=3</formula>
    </cfRule>
    <cfRule type="expression" dxfId="278" priority="155">
      <formula>$Z$2=2</formula>
    </cfRule>
  </conditionalFormatting>
  <conditionalFormatting sqref="V23">
    <cfRule type="expression" dxfId="277" priority="147" stopIfTrue="1">
      <formula>$U$2=0</formula>
    </cfRule>
    <cfRule type="expression" dxfId="276" priority="148">
      <formula>$Z$2=5</formula>
    </cfRule>
    <cfRule type="expression" dxfId="275" priority="149">
      <formula>$Z$2=4</formula>
    </cfRule>
    <cfRule type="expression" dxfId="274" priority="150">
      <formula>$Z$2=3</formula>
    </cfRule>
  </conditionalFormatting>
  <conditionalFormatting sqref="V21">
    <cfRule type="expression" dxfId="273" priority="140">
      <formula>$Z$2=1</formula>
    </cfRule>
  </conditionalFormatting>
  <conditionalFormatting sqref="V21">
    <cfRule type="expression" dxfId="272" priority="123" stopIfTrue="1">
      <formula>$U$2=0</formula>
    </cfRule>
    <cfRule type="expression" dxfId="271" priority="124" stopIfTrue="1">
      <formula>(OR(Z2="1",Z2="2",Z2="3"))</formula>
    </cfRule>
  </conditionalFormatting>
  <conditionalFormatting sqref="V22">
    <cfRule type="expression" dxfId="270" priority="122">
      <formula>(OR(Z2="2",Z2="3"))</formula>
    </cfRule>
  </conditionalFormatting>
  <conditionalFormatting sqref="V23">
    <cfRule type="expression" dxfId="269" priority="121">
      <formula>(Z2="3")</formula>
    </cfRule>
  </conditionalFormatting>
  <conditionalFormatting sqref="V21">
    <cfRule type="expression" dxfId="268" priority="205">
      <formula>$Z$2=2</formula>
    </cfRule>
    <cfRule type="expression" dxfId="267" priority="206">
      <formula>$Z$2=5</formula>
    </cfRule>
    <cfRule type="expression" dxfId="266" priority="207">
      <formula>$Z$2=4</formula>
    </cfRule>
    <cfRule type="expression" dxfId="265" priority="208">
      <formula>$Z$2=3</formula>
    </cfRule>
    <cfRule type="expression" dxfId="264" priority="209">
      <formula>$H$2=0</formula>
    </cfRule>
  </conditionalFormatting>
  <conditionalFormatting sqref="V21">
    <cfRule type="expression" dxfId="263" priority="95">
      <formula>$X$2=2</formula>
    </cfRule>
    <cfRule type="expression" dxfId="262" priority="96">
      <formula>$X$2=5</formula>
    </cfRule>
    <cfRule type="expression" dxfId="261" priority="97">
      <formula>$X$2=4</formula>
    </cfRule>
    <cfRule type="expression" dxfId="260" priority="98">
      <formula>$X$2=3</formula>
    </cfRule>
    <cfRule type="expression" dxfId="259" priority="99">
      <formula>$H$2=0</formula>
    </cfRule>
  </conditionalFormatting>
  <conditionalFormatting sqref="V22">
    <cfRule type="expression" dxfId="258" priority="90">
      <formula>$X$2=0</formula>
    </cfRule>
    <cfRule type="expression" dxfId="257" priority="91">
      <formula>$X$2=5</formula>
    </cfRule>
    <cfRule type="expression" dxfId="256" priority="92">
      <formula>$X$2=4</formula>
    </cfRule>
    <cfRule type="expression" dxfId="255" priority="93">
      <formula>$X$2=3</formula>
    </cfRule>
    <cfRule type="expression" dxfId="254" priority="94">
      <formula>$X$2=2</formula>
    </cfRule>
  </conditionalFormatting>
  <conditionalFormatting sqref="V23">
    <cfRule type="expression" dxfId="253" priority="86">
      <formula>$X$2=0</formula>
    </cfRule>
    <cfRule type="expression" dxfId="252" priority="87">
      <formula>$X$2=5</formula>
    </cfRule>
    <cfRule type="expression" dxfId="251" priority="88">
      <formula>$X$2=4</formula>
    </cfRule>
    <cfRule type="expression" dxfId="250" priority="89">
      <formula>$X$2=3</formula>
    </cfRule>
  </conditionalFormatting>
  <conditionalFormatting sqref="V21">
    <cfRule type="expression" dxfId="249" priority="80">
      <formula>$X$2=1</formula>
    </cfRule>
  </conditionalFormatting>
  <conditionalFormatting sqref="F21">
    <cfRule type="expression" dxfId="248" priority="78">
      <formula>$H$2=0</formula>
    </cfRule>
    <cfRule type="expression" dxfId="247" priority="79" stopIfTrue="1">
      <formula>(OR(H2="1",H2="2",H2="3"))</formula>
    </cfRule>
  </conditionalFormatting>
  <conditionalFormatting sqref="F22">
    <cfRule type="expression" dxfId="246" priority="77">
      <formula>(OR(H2="2",H2="3"))</formula>
    </cfRule>
  </conditionalFormatting>
  <conditionalFormatting sqref="F23">
    <cfRule type="cellIs" dxfId="245" priority="75" operator="equal">
      <formula>0</formula>
    </cfRule>
    <cfRule type="expression" dxfId="244" priority="76">
      <formula>(H2="3")</formula>
    </cfRule>
  </conditionalFormatting>
  <conditionalFormatting sqref="V21">
    <cfRule type="expression" dxfId="243" priority="73">
      <formula>$H$2=0</formula>
    </cfRule>
    <cfRule type="expression" dxfId="242" priority="74" stopIfTrue="1">
      <formula>(OR(X2="1",X2="2",X2="3"))</formula>
    </cfRule>
  </conditionalFormatting>
  <conditionalFormatting sqref="V22">
    <cfRule type="expression" dxfId="241" priority="72">
      <formula>(OR(X2="2",X2="3"))</formula>
    </cfRule>
  </conditionalFormatting>
  <conditionalFormatting sqref="V23">
    <cfRule type="expression" dxfId="240" priority="71">
      <formula>(X2="3")</formula>
    </cfRule>
  </conditionalFormatting>
  <conditionalFormatting sqref="W18 C8:F9">
    <cfRule type="expression" dxfId="239" priority="44">
      <formula>(OR($E$2=3,$E$2=4,$E$2=5))</formula>
    </cfRule>
  </conditionalFormatting>
  <conditionalFormatting sqref="AA9:AD9 S14:V14 C14:F14">
    <cfRule type="containsText" dxfId="238" priority="5" operator="containsText" text="OFFICE">
      <formula>NOT(ISERROR(SEARCH("OFFICE",C9)))</formula>
    </cfRule>
  </conditionalFormatting>
  <conditionalFormatting sqref="K9:N9">
    <cfRule type="containsText" dxfId="237" priority="1" operator="containsText" text="OFFICE">
      <formula>NOT(ISERROR(SEARCH("OFFICE",K9)))</formula>
    </cfRule>
    <cfRule type="containsText" dxfId="236" priority="3" operator="containsText" text="OFFUCE">
      <formula>NOT(ISERROR(SEARCH("OFFUCE",K9)))</formula>
    </cfRule>
  </conditionalFormatting>
  <pageMargins left="0.24" right="0.4" top="0.34" bottom="0.74803149606299213" header="0.19" footer="0.31496062992125984"/>
  <pageSetup paperSize="9" orientation="landscape" horizontalDpi="4294967292" r:id="rId1"/>
  <colBreaks count="1" manualBreakCount="1">
    <brk id="17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tabColor rgb="FFFFFF00"/>
  </sheetPr>
  <dimension ref="A1:AI28"/>
  <sheetViews>
    <sheetView zoomScale="90" zoomScaleNormal="90" zoomScaleSheetLayoutView="90" workbookViewId="0">
      <selection activeCell="O27" sqref="O27"/>
    </sheetView>
  </sheetViews>
  <sheetFormatPr baseColWidth="10" defaultColWidth="8.7109375" defaultRowHeight="15"/>
  <cols>
    <col min="1" max="1" width="4" style="15" customWidth="1"/>
    <col min="2" max="2" width="6.5703125" style="15" customWidth="1"/>
    <col min="3" max="3" width="6.7109375" style="15" customWidth="1"/>
    <col min="4" max="4" width="8.7109375" style="15" customWidth="1"/>
    <col min="5" max="5" width="8.85546875" style="15" customWidth="1"/>
    <col min="6" max="6" width="6.7109375" style="15" customWidth="1"/>
    <col min="7" max="7" width="6.85546875" style="15" customWidth="1"/>
    <col min="8" max="8" width="8.7109375" style="15" customWidth="1"/>
    <col min="9" max="10" width="6.7109375" style="15" customWidth="1"/>
    <col min="11" max="11" width="6.85546875" style="15" customWidth="1"/>
    <col min="12" max="13" width="8.7109375" style="15" customWidth="1"/>
    <col min="14" max="14" width="7.140625" style="15" customWidth="1"/>
    <col min="15" max="15" width="6.85546875" style="15" customWidth="1"/>
    <col min="16" max="16" width="7.140625" style="15" customWidth="1"/>
    <col min="17" max="17" width="4.42578125" style="15" customWidth="1"/>
    <col min="18" max="18" width="7.42578125" style="15" customWidth="1"/>
    <col min="19" max="19" width="6.85546875" style="15" customWidth="1"/>
    <col min="20" max="21" width="8.7109375" style="15" customWidth="1"/>
    <col min="22" max="22" width="7.28515625" style="15" customWidth="1"/>
    <col min="23" max="23" width="7" style="15" customWidth="1"/>
    <col min="24" max="24" width="8.7109375" style="15" customWidth="1"/>
    <col min="25" max="25" width="6.5703125" style="15" customWidth="1"/>
    <col min="26" max="26" width="6.85546875" style="15" customWidth="1"/>
    <col min="27" max="27" width="6.7109375" style="15" customWidth="1"/>
    <col min="28" max="30" width="8.7109375" style="15" customWidth="1"/>
    <col min="31" max="31" width="6.85546875" style="15" customWidth="1"/>
    <col min="32" max="32" width="7.28515625" style="15" customWidth="1"/>
    <col min="33" max="33" width="7.85546875" style="15" customWidth="1"/>
    <col min="34" max="34" width="11.140625" style="15" customWidth="1"/>
    <col min="35" max="16384" width="8.7109375" style="15"/>
  </cols>
  <sheetData>
    <row r="1" spans="1:35" ht="22.5" customHeight="1" thickBot="1">
      <c r="A1" s="5"/>
      <c r="B1" s="740" t="s">
        <v>84</v>
      </c>
      <c r="C1" s="741"/>
      <c r="D1" s="741"/>
      <c r="E1" s="742" t="e">
        <f>#REF!</f>
        <v>#REF!</v>
      </c>
      <c r="F1" s="742"/>
      <c r="G1" s="742"/>
      <c r="H1" s="66" t="e">
        <f>#REF!</f>
        <v>#REF!</v>
      </c>
      <c r="I1" s="742" t="e">
        <f>#REF!</f>
        <v>#REF!</v>
      </c>
      <c r="J1" s="742"/>
      <c r="K1" s="742"/>
      <c r="L1" s="742"/>
      <c r="M1" s="67" t="e">
        <f>#REF!</f>
        <v>#REF!</v>
      </c>
      <c r="N1" s="819" t="s">
        <v>83</v>
      </c>
      <c r="O1" s="820"/>
      <c r="P1" s="18" t="e">
        <f>#REF!</f>
        <v>#REF!</v>
      </c>
      <c r="Q1" s="5"/>
      <c r="R1" s="740" t="s">
        <v>84</v>
      </c>
      <c r="S1" s="741"/>
      <c r="T1" s="741"/>
      <c r="U1" s="742" t="e">
        <f>#REF!</f>
        <v>#REF!</v>
      </c>
      <c r="V1" s="742"/>
      <c r="W1" s="742"/>
      <c r="X1" s="66" t="e">
        <f>#REF!</f>
        <v>#REF!</v>
      </c>
      <c r="Y1" s="742" t="e">
        <f>#REF!</f>
        <v>#REF!</v>
      </c>
      <c r="Z1" s="742"/>
      <c r="AA1" s="742"/>
      <c r="AB1" s="742"/>
      <c r="AC1" s="67" t="e">
        <f>#REF!</f>
        <v>#REF!</v>
      </c>
      <c r="AD1" s="819" t="s">
        <v>83</v>
      </c>
      <c r="AE1" s="820"/>
      <c r="AF1" s="18" t="e">
        <f>#REF!</f>
        <v>#REF!</v>
      </c>
      <c r="AG1" s="6"/>
    </row>
    <row r="2" spans="1:35" ht="18" customHeight="1" thickBot="1">
      <c r="A2" s="5"/>
      <c r="B2" s="819" t="s">
        <v>22</v>
      </c>
      <c r="C2" s="742"/>
      <c r="D2" s="742"/>
      <c r="E2" s="131" t="e">
        <f>#REF!</f>
        <v>#REF!</v>
      </c>
      <c r="F2" s="742" t="s">
        <v>12</v>
      </c>
      <c r="G2" s="742"/>
      <c r="H2" s="10" t="e">
        <f>#REF!</f>
        <v>#REF!</v>
      </c>
      <c r="I2" s="740" t="s">
        <v>13</v>
      </c>
      <c r="J2" s="741"/>
      <c r="K2" s="741"/>
      <c r="L2" s="732">
        <f ca="1">TODAY()</f>
        <v>44191</v>
      </c>
      <c r="M2" s="733"/>
      <c r="N2" s="733"/>
      <c r="O2" s="733"/>
      <c r="P2" s="726"/>
      <c r="Q2" s="5"/>
      <c r="R2" s="819" t="s">
        <v>23</v>
      </c>
      <c r="S2" s="742"/>
      <c r="T2" s="742"/>
      <c r="U2" s="9" t="e">
        <f>#REF!</f>
        <v>#REF!</v>
      </c>
      <c r="V2" s="742" t="s">
        <v>12</v>
      </c>
      <c r="W2" s="742"/>
      <c r="X2" s="10" t="e">
        <f>#REF!</f>
        <v>#REF!</v>
      </c>
      <c r="Y2" s="740" t="s">
        <v>13</v>
      </c>
      <c r="Z2" s="741"/>
      <c r="AA2" s="741"/>
      <c r="AB2" s="732">
        <f ca="1">TODAY()</f>
        <v>44191</v>
      </c>
      <c r="AC2" s="733"/>
      <c r="AD2" s="733"/>
      <c r="AE2" s="733"/>
      <c r="AF2" s="726"/>
      <c r="AG2" s="6"/>
    </row>
    <row r="3" spans="1:35" ht="20.100000000000001" customHeight="1" thickBot="1">
      <c r="A3" s="5"/>
      <c r="B3" s="222" t="e">
        <f>+#REF!</f>
        <v>#REF!</v>
      </c>
      <c r="C3" s="73"/>
      <c r="D3" s="73"/>
      <c r="E3" s="73"/>
      <c r="F3" s="74" t="e">
        <f>CONCATENATE(E2,H2)</f>
        <v>#REF!</v>
      </c>
      <c r="G3" s="73"/>
      <c r="H3" s="73"/>
      <c r="I3" s="73"/>
      <c r="J3" s="73"/>
      <c r="K3" s="73"/>
      <c r="L3" s="73"/>
      <c r="M3" s="73"/>
      <c r="N3" s="73"/>
      <c r="O3" s="73"/>
      <c r="P3" s="75"/>
      <c r="Q3" s="76"/>
      <c r="R3" s="222" t="e">
        <f>+#REF!</f>
        <v>#REF!</v>
      </c>
      <c r="S3" s="73"/>
      <c r="T3" s="73"/>
      <c r="U3" s="77"/>
      <c r="V3" s="74" t="e">
        <f>CONCATENATE(U2,X2)</f>
        <v>#REF!</v>
      </c>
      <c r="W3" s="73"/>
      <c r="X3" s="73"/>
      <c r="Y3" s="73"/>
      <c r="Z3" s="73"/>
      <c r="AA3" s="73"/>
      <c r="AB3" s="73"/>
      <c r="AC3" s="73"/>
      <c r="AD3" s="73"/>
      <c r="AE3" s="73"/>
      <c r="AF3" s="75"/>
      <c r="AG3" s="6"/>
      <c r="AH3" s="6"/>
    </row>
    <row r="4" spans="1:35" ht="20.100000000000001" customHeight="1" thickBot="1">
      <c r="A4" s="5"/>
      <c r="B4" s="745" t="s">
        <v>98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7"/>
      <c r="Q4" s="79"/>
      <c r="R4" s="758" t="s">
        <v>98</v>
      </c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60"/>
      <c r="AG4" s="6"/>
    </row>
    <row r="5" spans="1:35" ht="20.100000000000001" customHeight="1">
      <c r="A5" s="5"/>
      <c r="B5" s="7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  <c r="Q5" s="76"/>
      <c r="R5" s="72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80"/>
      <c r="AG5" s="6"/>
      <c r="AH5" s="6"/>
    </row>
    <row r="6" spans="1:35" ht="20.100000000000001" customHeight="1" thickBot="1">
      <c r="A6" s="5"/>
      <c r="B6" s="72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94"/>
      <c r="Q6" s="76"/>
      <c r="R6" s="72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5"/>
      <c r="AG6" s="6"/>
      <c r="AH6" s="6"/>
    </row>
    <row r="7" spans="1:35" ht="20.100000000000001" customHeight="1" thickBot="1">
      <c r="A7" s="5"/>
      <c r="B7" s="82" t="s">
        <v>1</v>
      </c>
      <c r="C7" s="83" t="s">
        <v>8</v>
      </c>
      <c r="D7" s="77"/>
      <c r="E7" s="78"/>
      <c r="F7" s="78"/>
      <c r="G7" s="73" t="s">
        <v>0</v>
      </c>
      <c r="H7" s="73"/>
      <c r="I7" s="73"/>
      <c r="J7" s="73" t="s">
        <v>1</v>
      </c>
      <c r="K7" s="83" t="e">
        <f>IF(E2=2,"","C")</f>
        <v>#REF!</v>
      </c>
      <c r="L7" s="77"/>
      <c r="M7" s="78"/>
      <c r="N7" s="78"/>
      <c r="O7" s="73" t="s">
        <v>0</v>
      </c>
      <c r="P7" s="94"/>
      <c r="Q7" s="78"/>
      <c r="R7" s="82" t="s">
        <v>1</v>
      </c>
      <c r="S7" s="83" t="s">
        <v>8</v>
      </c>
      <c r="T7" s="77"/>
      <c r="U7" s="78"/>
      <c r="V7" s="78"/>
      <c r="W7" s="73" t="s">
        <v>0</v>
      </c>
      <c r="X7" s="73"/>
      <c r="Y7" s="73"/>
      <c r="Z7" s="73" t="s">
        <v>1</v>
      </c>
      <c r="AA7" s="83" t="e">
        <f>IF(U2=2,"","C")</f>
        <v>#REF!</v>
      </c>
      <c r="AB7" s="77"/>
      <c r="AC7" s="78"/>
      <c r="AD7" s="78"/>
      <c r="AE7" s="73" t="s">
        <v>0</v>
      </c>
      <c r="AF7" s="94"/>
      <c r="AH7" s="6"/>
      <c r="AI7" s="6"/>
    </row>
    <row r="8" spans="1:35" s="134" customFormat="1" ht="20.100000000000001" customHeight="1" thickBot="1">
      <c r="A8" s="33">
        <v>25</v>
      </c>
      <c r="B8" s="730">
        <v>13</v>
      </c>
      <c r="C8" s="754" t="e">
        <f>+#REF!</f>
        <v>#REF!</v>
      </c>
      <c r="D8" s="816"/>
      <c r="E8" s="816"/>
      <c r="F8" s="817"/>
      <c r="G8" s="137">
        <v>1</v>
      </c>
      <c r="H8" s="138"/>
      <c r="I8" s="139">
        <v>27</v>
      </c>
      <c r="J8" s="730">
        <v>14</v>
      </c>
      <c r="K8" s="808" t="e">
        <f>+#REF!</f>
        <v>#REF!</v>
      </c>
      <c r="L8" s="809"/>
      <c r="M8" s="809"/>
      <c r="N8" s="810"/>
      <c r="O8" s="137">
        <v>1</v>
      </c>
      <c r="P8" s="144"/>
      <c r="Q8" s="140"/>
      <c r="R8" s="730">
        <v>15</v>
      </c>
      <c r="S8" s="754" t="e">
        <f>+#REF!</f>
        <v>#REF!</v>
      </c>
      <c r="T8" s="816"/>
      <c r="U8" s="816"/>
      <c r="V8" s="817"/>
      <c r="W8" s="137">
        <v>1</v>
      </c>
      <c r="X8" s="138"/>
      <c r="Y8" s="139">
        <v>31</v>
      </c>
      <c r="Z8" s="730">
        <v>16</v>
      </c>
      <c r="AA8" s="808" t="e">
        <f>+#REF!</f>
        <v>#REF!</v>
      </c>
      <c r="AB8" s="809"/>
      <c r="AC8" s="809"/>
      <c r="AD8" s="810"/>
      <c r="AE8" s="137">
        <v>1</v>
      </c>
      <c r="AF8" s="144"/>
      <c r="AH8" s="135"/>
      <c r="AI8" s="135"/>
    </row>
    <row r="9" spans="1:35" s="134" customFormat="1" ht="20.100000000000001" customHeight="1" thickBot="1">
      <c r="A9" s="33">
        <v>26</v>
      </c>
      <c r="B9" s="731"/>
      <c r="C9" s="808" t="e">
        <f>+#REF!</f>
        <v>#REF!</v>
      </c>
      <c r="D9" s="809"/>
      <c r="E9" s="809"/>
      <c r="F9" s="810"/>
      <c r="G9" s="141">
        <v>0</v>
      </c>
      <c r="H9" s="138"/>
      <c r="I9" s="139">
        <v>28</v>
      </c>
      <c r="J9" s="731"/>
      <c r="K9" s="818" t="e">
        <f>IF(OR(AND(B3&gt;170,B3&lt;250))," ",#REF!)</f>
        <v>#REF!</v>
      </c>
      <c r="L9" s="809"/>
      <c r="M9" s="809"/>
      <c r="N9" s="810"/>
      <c r="O9" s="137">
        <v>0</v>
      </c>
      <c r="P9" s="144"/>
      <c r="Q9" s="140"/>
      <c r="R9" s="731"/>
      <c r="S9" s="808" t="e">
        <f>+#REF!</f>
        <v>#REF!</v>
      </c>
      <c r="T9" s="809"/>
      <c r="U9" s="809"/>
      <c r="V9" s="810"/>
      <c r="W9" s="141">
        <v>0</v>
      </c>
      <c r="X9" s="138"/>
      <c r="Y9" s="139">
        <v>32</v>
      </c>
      <c r="Z9" s="731"/>
      <c r="AA9" s="808" t="e">
        <f>IF(OR(AND(R3&gt;170,R3&lt;250))," ",#REF!)</f>
        <v>#REF!</v>
      </c>
      <c r="AB9" s="821"/>
      <c r="AC9" s="821"/>
      <c r="AD9" s="822"/>
      <c r="AE9" s="137">
        <v>0</v>
      </c>
      <c r="AF9" s="144"/>
      <c r="AH9" s="135"/>
      <c r="AI9" s="135"/>
    </row>
    <row r="10" spans="1:35" ht="20.100000000000001" customHeight="1" thickBot="1">
      <c r="A10" s="5"/>
      <c r="B10" s="72"/>
      <c r="C10" s="90" t="s">
        <v>9</v>
      </c>
      <c r="D10" s="77"/>
      <c r="E10" s="78"/>
      <c r="F10" s="78"/>
      <c r="G10" s="78"/>
      <c r="H10" s="78"/>
      <c r="I10" s="78"/>
      <c r="J10" s="78"/>
      <c r="K10" s="83" t="s">
        <v>40</v>
      </c>
      <c r="L10" s="77"/>
      <c r="M10" s="78"/>
      <c r="N10" s="78"/>
      <c r="O10" s="78" t="s">
        <v>70</v>
      </c>
      <c r="P10" s="94"/>
      <c r="Q10" s="78"/>
      <c r="R10" s="72"/>
      <c r="S10" s="90" t="s">
        <v>9</v>
      </c>
      <c r="T10" s="77"/>
      <c r="U10" s="78"/>
      <c r="V10" s="78"/>
      <c r="W10" s="78"/>
      <c r="X10" s="78"/>
      <c r="Y10" s="78"/>
      <c r="Z10" s="78"/>
      <c r="AA10" s="83" t="s">
        <v>40</v>
      </c>
      <c r="AB10" s="77"/>
      <c r="AC10" s="78"/>
      <c r="AD10" s="78"/>
      <c r="AE10" s="78"/>
      <c r="AF10" s="94"/>
      <c r="AI10" s="6"/>
    </row>
    <row r="11" spans="1:35" ht="20.100000000000001" customHeight="1">
      <c r="A11" s="5"/>
      <c r="B11" s="72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91"/>
      <c r="Q11" s="78"/>
      <c r="R11" s="72"/>
      <c r="S11" s="92"/>
      <c r="T11" s="92"/>
      <c r="U11" s="92"/>
      <c r="V11" s="92"/>
      <c r="W11" s="78"/>
      <c r="X11" s="78"/>
      <c r="Y11" s="78"/>
      <c r="Z11" s="78"/>
      <c r="AA11" s="78"/>
      <c r="AB11" s="78"/>
      <c r="AC11" s="78"/>
      <c r="AD11" s="78"/>
      <c r="AE11" s="78"/>
      <c r="AF11" s="94"/>
      <c r="AI11" s="6"/>
    </row>
    <row r="12" spans="1:35" ht="20.100000000000001" customHeight="1" thickBot="1">
      <c r="A12" s="5"/>
      <c r="B12" s="82" t="s">
        <v>1</v>
      </c>
      <c r="C12" s="78"/>
      <c r="D12" s="724" t="s">
        <v>62</v>
      </c>
      <c r="E12" s="724"/>
      <c r="F12" s="78"/>
      <c r="G12" s="73" t="s">
        <v>0</v>
      </c>
      <c r="H12" s="73"/>
      <c r="I12" s="73"/>
      <c r="J12" s="73" t="s">
        <v>1</v>
      </c>
      <c r="K12" s="78"/>
      <c r="L12" s="824" t="s">
        <v>61</v>
      </c>
      <c r="M12" s="824"/>
      <c r="N12" s="78"/>
      <c r="O12" s="73" t="s">
        <v>0</v>
      </c>
      <c r="P12" s="94"/>
      <c r="Q12" s="107"/>
      <c r="R12" s="93" t="s">
        <v>1</v>
      </c>
      <c r="S12" s="92"/>
      <c r="T12" s="724" t="s">
        <v>62</v>
      </c>
      <c r="U12" s="724"/>
      <c r="V12" s="92"/>
      <c r="W12" s="73" t="s">
        <v>0</v>
      </c>
      <c r="X12" s="73"/>
      <c r="Y12" s="73"/>
      <c r="Z12" s="73" t="s">
        <v>1</v>
      </c>
      <c r="AA12" s="78"/>
      <c r="AB12" s="824" t="s">
        <v>61</v>
      </c>
      <c r="AC12" s="824"/>
      <c r="AD12" s="78"/>
      <c r="AE12" s="75" t="s">
        <v>0</v>
      </c>
      <c r="AF12" s="94"/>
    </row>
    <row r="13" spans="1:35" ht="20.100000000000001" customHeight="1" thickBot="1">
      <c r="A13" s="5"/>
      <c r="B13" s="790">
        <v>16</v>
      </c>
      <c r="C13" s="734" t="e">
        <f>IF($G$8=$G$9,"résultat",IF($G$8&gt;$G$9,$C$9,$C$8))</f>
        <v>#REF!</v>
      </c>
      <c r="D13" s="767"/>
      <c r="E13" s="767"/>
      <c r="F13" s="768"/>
      <c r="G13" s="85">
        <v>1</v>
      </c>
      <c r="H13" s="86"/>
      <c r="I13" s="73"/>
      <c r="J13" s="790">
        <v>17</v>
      </c>
      <c r="K13" s="734" t="e">
        <f>IF($O$8=$O$9,"résultat",IF($O$8&gt;$O$9,$K$8,$K$9))</f>
        <v>#REF!</v>
      </c>
      <c r="L13" s="735"/>
      <c r="M13" s="735"/>
      <c r="N13" s="736"/>
      <c r="O13" s="85">
        <v>1</v>
      </c>
      <c r="P13" s="96"/>
      <c r="Q13" s="76"/>
      <c r="R13" s="790">
        <v>18</v>
      </c>
      <c r="S13" s="804" t="e">
        <f>IF($W$8=$W$9,"résultat",IF($W$8&gt;$W$9,$S$9,$S$8))</f>
        <v>#REF!</v>
      </c>
      <c r="T13" s="767"/>
      <c r="U13" s="767"/>
      <c r="V13" s="768"/>
      <c r="W13" s="85">
        <v>1</v>
      </c>
      <c r="X13" s="86"/>
      <c r="Y13" s="73"/>
      <c r="Z13" s="790">
        <v>19</v>
      </c>
      <c r="AA13" s="734" t="e">
        <f>IF(AE8=AE9,"résultat",IF($AE$8&gt;$AE$9,$AA$8,$AA$9))</f>
        <v>#REF!</v>
      </c>
      <c r="AB13" s="735"/>
      <c r="AC13" s="735"/>
      <c r="AD13" s="736"/>
      <c r="AE13" s="85">
        <v>0</v>
      </c>
      <c r="AF13" s="94"/>
    </row>
    <row r="14" spans="1:35" ht="20.100000000000001" customHeight="1" thickBot="1">
      <c r="A14" s="5"/>
      <c r="B14" s="791"/>
      <c r="C14" s="764" t="e">
        <f>IF($O$8=$O$9,"résultat",IF($O$8&lt;$O$9,$K$8,$K$9))</f>
        <v>#REF!</v>
      </c>
      <c r="D14" s="765"/>
      <c r="E14" s="765"/>
      <c r="F14" s="766"/>
      <c r="G14" s="97">
        <v>0</v>
      </c>
      <c r="H14" s="98"/>
      <c r="I14" s="73"/>
      <c r="J14" s="791"/>
      <c r="K14" s="764" t="e">
        <f>IF(G8=G9,"résultat",IF($G$8&gt;$G$9,$C$8,$C$9))</f>
        <v>#REF!</v>
      </c>
      <c r="L14" s="765"/>
      <c r="M14" s="765"/>
      <c r="N14" s="766"/>
      <c r="O14" s="89">
        <v>2</v>
      </c>
      <c r="P14" s="96"/>
      <c r="Q14" s="76"/>
      <c r="R14" s="791"/>
      <c r="S14" s="764" t="e">
        <f>IF($AE$8=$AE$9,"résultat",IF($AE$8&lt;$AE$9,$AA$8,$AA$9))</f>
        <v>#REF!</v>
      </c>
      <c r="T14" s="765"/>
      <c r="U14" s="765"/>
      <c r="V14" s="766"/>
      <c r="W14" s="85">
        <v>0</v>
      </c>
      <c r="X14" s="86"/>
      <c r="Y14" s="73"/>
      <c r="Z14" s="791"/>
      <c r="AA14" s="764" t="e">
        <f>IF(($W$9=$W$8),"résultat",IF(W8&gt;W9,S8,S9))</f>
        <v>#REF!</v>
      </c>
      <c r="AB14" s="765"/>
      <c r="AC14" s="765"/>
      <c r="AD14" s="766"/>
      <c r="AE14" s="89">
        <v>1</v>
      </c>
      <c r="AF14" s="94"/>
    </row>
    <row r="15" spans="1:35" ht="20.100000000000001" customHeight="1">
      <c r="A15" s="5"/>
      <c r="B15" s="72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91"/>
      <c r="Q15" s="78"/>
      <c r="R15" s="129"/>
      <c r="S15" s="107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94"/>
      <c r="AI15" s="6"/>
    </row>
    <row r="16" spans="1:35" ht="20.100000000000001" customHeight="1" thickBot="1">
      <c r="A16" s="5"/>
      <c r="B16" s="72"/>
      <c r="C16" s="78"/>
      <c r="D16" s="78"/>
      <c r="E16" s="78"/>
      <c r="F16" s="73" t="s">
        <v>1</v>
      </c>
      <c r="G16" s="78"/>
      <c r="H16" s="774" t="s">
        <v>101</v>
      </c>
      <c r="I16" s="774"/>
      <c r="J16" s="78"/>
      <c r="K16" s="73" t="s">
        <v>0</v>
      </c>
      <c r="L16" s="73"/>
      <c r="M16" s="142"/>
      <c r="N16" s="78"/>
      <c r="O16" s="78"/>
      <c r="P16" s="94"/>
      <c r="Q16" s="78"/>
      <c r="R16" s="72"/>
      <c r="S16" s="78"/>
      <c r="T16" s="78"/>
      <c r="U16" s="78"/>
      <c r="V16" s="73" t="s">
        <v>1</v>
      </c>
      <c r="W16" s="78"/>
      <c r="X16" s="823" t="s">
        <v>101</v>
      </c>
      <c r="Y16" s="823"/>
      <c r="Z16" s="78"/>
      <c r="AA16" s="73" t="s">
        <v>0</v>
      </c>
      <c r="AB16" s="73"/>
      <c r="AC16" s="142"/>
      <c r="AD16" s="78"/>
      <c r="AE16" s="78"/>
      <c r="AF16" s="94"/>
    </row>
    <row r="17" spans="1:34" ht="20.100000000000001" customHeight="1" thickBot="1">
      <c r="A17" s="5"/>
      <c r="B17" s="72"/>
      <c r="C17" s="78"/>
      <c r="D17" s="78"/>
      <c r="E17" s="73"/>
      <c r="F17" s="814">
        <v>15</v>
      </c>
      <c r="G17" s="754" t="e">
        <f>IF(F3+G3=0," ",IF($F$3+$G$3=43,IF(0&lt;0,0,0),(IF($F$3+$G$3=42,IF($O$13=$O$14,"résultat",IF($O$13&lt;$O$14,$K$13,$K$14)),IF($F$3+$G$3=32,IF($O$13=$O$14,"résultat",IF($O$13&lt;$O$14,$K$13,$K$14)))))))</f>
        <v>#REF!</v>
      </c>
      <c r="H17" s="755"/>
      <c r="I17" s="755"/>
      <c r="J17" s="756"/>
      <c r="K17" s="85">
        <v>1</v>
      </c>
      <c r="L17" s="73"/>
      <c r="M17" s="78"/>
      <c r="N17" s="78"/>
      <c r="O17" s="78"/>
      <c r="P17" s="91"/>
      <c r="Q17" s="78"/>
      <c r="R17" s="72"/>
      <c r="S17" s="78"/>
      <c r="T17" s="78"/>
      <c r="U17" s="226"/>
      <c r="V17" s="814">
        <v>17</v>
      </c>
      <c r="W17" s="754" t="e">
        <f>IF(V3+W3=0," ",IF($V$3+$W$3=43,IF(0&lt;0,0,0),(IF($V$3+$W$3=42,IF($AE$13=$AE$14,"résultat",IF($AE$13&lt;$AE$14,$AA$13,$AA$14)),IF($V$3+$W$3=32,IF($AE$13=$AE$14,"résultat",IF($AE$13&lt;$AE$14,$AA$13,$AA$14)))))))</f>
        <v>#REF!</v>
      </c>
      <c r="X17" s="755"/>
      <c r="Y17" s="755"/>
      <c r="Z17" s="756"/>
      <c r="AA17" s="85">
        <v>1</v>
      </c>
      <c r="AB17" s="73"/>
      <c r="AC17" s="78"/>
      <c r="AD17" s="78"/>
      <c r="AE17" s="78"/>
      <c r="AF17" s="94"/>
    </row>
    <row r="18" spans="1:34" ht="20.100000000000001" customHeight="1" thickBot="1">
      <c r="A18" s="5"/>
      <c r="B18" s="72"/>
      <c r="C18" s="78"/>
      <c r="D18" s="78"/>
      <c r="E18" s="78"/>
      <c r="F18" s="815"/>
      <c r="G18" s="751" t="e">
        <f>IF(F3+G3=0," ",IF($F$3+$G$3=43," ",(IF(F3+G3=42,IF($G$13=$G$14,"résultat",IF($G$13&gt;$G$14,$C$13,$C$14)),(IF($F$3+$G$3=32,IF($G$13=$G$14,"résultat",IF($G$13&gt;$G$14,$C$13,$C$14))))))))</f>
        <v>#REF!</v>
      </c>
      <c r="H18" s="752"/>
      <c r="I18" s="752"/>
      <c r="J18" s="753"/>
      <c r="K18" s="85">
        <v>0</v>
      </c>
      <c r="L18" s="73"/>
      <c r="M18" s="78"/>
      <c r="N18" s="78"/>
      <c r="O18" s="78"/>
      <c r="P18" s="91"/>
      <c r="Q18" s="78"/>
      <c r="R18" s="72"/>
      <c r="S18" s="78"/>
      <c r="T18" s="78"/>
      <c r="U18" s="78"/>
      <c r="V18" s="815"/>
      <c r="W18" s="751" t="e">
        <f>IF(V3+W3=0," ",IF($V$3+$W$3=43,IF(0&gt;0,0,0),(IF($V$3+$W$3=42,IF(W13=W14,"résultat",IF($W$13&gt;$W$14,$S$13,$S$14)),(IF($V$3+$W$3=32,IF(W13=W14,"résultat",IF($W$13&gt;$W$14,$S$13,$S$14))))))))</f>
        <v>#REF!</v>
      </c>
      <c r="X18" s="752"/>
      <c r="Y18" s="752"/>
      <c r="Z18" s="753"/>
      <c r="AA18" s="85">
        <v>0</v>
      </c>
      <c r="AB18" s="73"/>
      <c r="AC18" s="78"/>
      <c r="AD18" s="78"/>
      <c r="AE18" s="78"/>
      <c r="AF18" s="94"/>
    </row>
    <row r="19" spans="1:34" ht="20.100000000000001" customHeight="1" thickBot="1">
      <c r="A19" s="5"/>
      <c r="B19" s="72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91"/>
      <c r="Q19" s="76"/>
      <c r="R19" s="72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94"/>
    </row>
    <row r="20" spans="1:34" ht="20.100000000000001" customHeight="1" thickBot="1">
      <c r="A20" s="5"/>
      <c r="B20" s="72"/>
      <c r="C20" s="107"/>
      <c r="D20" s="78"/>
      <c r="E20" s="78"/>
      <c r="F20" s="78"/>
      <c r="G20" s="811" t="s">
        <v>60</v>
      </c>
      <c r="H20" s="812"/>
      <c r="I20" s="812"/>
      <c r="J20" s="813"/>
      <c r="K20" s="78"/>
      <c r="L20" s="107"/>
      <c r="M20" s="101"/>
      <c r="N20" s="99"/>
      <c r="O20" s="99"/>
      <c r="P20" s="94"/>
      <c r="Q20" s="78"/>
      <c r="R20" s="72"/>
      <c r="S20" s="78"/>
      <c r="T20" s="78"/>
      <c r="U20" s="78"/>
      <c r="V20" s="78"/>
      <c r="W20" s="811" t="s">
        <v>60</v>
      </c>
      <c r="X20" s="812"/>
      <c r="Y20" s="812"/>
      <c r="Z20" s="813"/>
      <c r="AA20" s="78"/>
      <c r="AB20" s="107"/>
      <c r="AC20" s="101"/>
      <c r="AD20" s="107"/>
      <c r="AE20" s="107"/>
      <c r="AF20" s="94"/>
    </row>
    <row r="21" spans="1:34" ht="20.100000000000001" customHeight="1">
      <c r="A21" s="5"/>
      <c r="B21" s="72"/>
      <c r="C21" s="107"/>
      <c r="D21" s="102" t="s">
        <v>80</v>
      </c>
      <c r="E21" s="107"/>
      <c r="F21" s="734" t="e">
        <f>IF(F3+G3=0," ",IF($F$3+$G$3=43,IF($O$13=$O$14,"résultat",IF($O$13&gt;$O$14,$K$13,$K$14)),(IF($F$3+$G$3=42,IF($O$13=$O$14,"résultat",IF($O$13&gt;$O$14,$K$13,$K$14)),(IF($F$3+$G$3=32,IF($O$13=$O$14,"résultat",IF($O$13&gt;$O$14,$K$13,$K$14))))))))</f>
        <v>#REF!</v>
      </c>
      <c r="G21" s="735"/>
      <c r="H21" s="735"/>
      <c r="I21" s="735"/>
      <c r="J21" s="735"/>
      <c r="K21" s="736"/>
      <c r="L21" s="107"/>
      <c r="M21" s="78"/>
      <c r="N21" s="99"/>
      <c r="O21" s="99"/>
      <c r="P21" s="81"/>
      <c r="Q21" s="130"/>
      <c r="R21" s="129"/>
      <c r="S21" s="107"/>
      <c r="T21" s="102" t="s">
        <v>80</v>
      </c>
      <c r="U21" s="78"/>
      <c r="V21" s="734" t="e">
        <f>IF(V3+W3=0," ",IF($V$3+$W$3=43,IF($AE$13=$AE$14,"résultat",IF($AE$13&gt;$AE$14,$AA$13,$AA$14)),(IF($V$3+$W$3=42,IF($AE$13=$AE$14,"résultat",IF($AE$13&gt;$AE$14,$AA$13,$AA$14)),(IF($V$3+$W$3=32,IF($AE$13=$AE$14,"résultat",IF($AE$13&gt;$AE$14,$AA$13,$AA$14))))))))</f>
        <v>#REF!</v>
      </c>
      <c r="W21" s="735"/>
      <c r="X21" s="735"/>
      <c r="Y21" s="735"/>
      <c r="Z21" s="735"/>
      <c r="AA21" s="736"/>
      <c r="AB21" s="107"/>
      <c r="AC21" s="78"/>
      <c r="AD21" s="78"/>
      <c r="AE21" s="107"/>
      <c r="AF21" s="94"/>
    </row>
    <row r="22" spans="1:34" ht="20.100000000000001" customHeight="1">
      <c r="A22" s="5"/>
      <c r="B22" s="72"/>
      <c r="C22" s="107"/>
      <c r="D22" s="105" t="s">
        <v>81</v>
      </c>
      <c r="E22" s="107"/>
      <c r="F22" s="792" t="e">
        <f>IF(F3+G3=0," ",IF($F$3+$G$3=43,IF($O$13=$O$14,"résultat",IF($O$13&lt;$O$14,$K$13,$K$14)),(IF($F$3+$G$3=42,IF($K$17=$K$18,"résultat",IF($K$17&gt;$K$18,$G$17,$G$18)),(IF($F$3+$G$3=32,IF($K$17=$K$18,"résultat",IF($K$17&gt;$K$18,$G$17,$G$18))))))))</f>
        <v>#REF!</v>
      </c>
      <c r="G22" s="793"/>
      <c r="H22" s="793"/>
      <c r="I22" s="793"/>
      <c r="J22" s="793"/>
      <c r="K22" s="794"/>
      <c r="L22" s="107"/>
      <c r="M22" s="78"/>
      <c r="N22" s="99"/>
      <c r="O22" s="99"/>
      <c r="P22" s="81"/>
      <c r="Q22" s="130"/>
      <c r="R22" s="129"/>
      <c r="S22" s="107"/>
      <c r="T22" s="105" t="s">
        <v>81</v>
      </c>
      <c r="U22" s="78"/>
      <c r="V22" s="792" t="e">
        <f>IF(V3+W3=0," ",IF($V$3+$W$3=43,IF($AE$13=$AE$14,"résultat",IF($AE$13&lt;$AE$14,$AA$13,$AA$14)),(IF($V$3+$W$3=42,IF($AA$17=$AA$18,"résultat",IF($AA$17&gt;$AA$18,$W$17,$W$18)),(IF($V$3+$W$3=32,IF($AA$17=$AA$18,"résultat",IF($AA$17&gt;$AA$18,$W$17,$W$18))))))))</f>
        <v>#REF!</v>
      </c>
      <c r="W22" s="793"/>
      <c r="X22" s="793"/>
      <c r="Y22" s="793"/>
      <c r="Z22" s="793"/>
      <c r="AA22" s="794"/>
      <c r="AB22" s="107"/>
      <c r="AC22" s="78"/>
      <c r="AD22" s="143"/>
      <c r="AE22" s="107"/>
      <c r="AF22" s="94"/>
    </row>
    <row r="23" spans="1:34" ht="20.100000000000001" customHeight="1" thickBot="1">
      <c r="A23" s="5"/>
      <c r="B23" s="72"/>
      <c r="C23" s="107"/>
      <c r="D23" s="106" t="s">
        <v>82</v>
      </c>
      <c r="E23" s="107"/>
      <c r="F23" s="801" t="e">
        <f>IF(F3+G3=0," ",IF($F$3+$G$3=43,IF($G$13=$G$14,"résultat",IF($G$13&gt;$G$14,$C$13,$C$14)),(IF($F$3+$G$3=42,"&amp;",(IF($F$3+$G$3=32,"&amp;"))))))</f>
        <v>#REF!</v>
      </c>
      <c r="G23" s="802"/>
      <c r="H23" s="802"/>
      <c r="I23" s="802"/>
      <c r="J23" s="802"/>
      <c r="K23" s="803"/>
      <c r="L23" s="107"/>
      <c r="M23" s="78"/>
      <c r="N23" s="99"/>
      <c r="O23" s="99"/>
      <c r="P23" s="81"/>
      <c r="Q23" s="130"/>
      <c r="R23" s="129"/>
      <c r="S23" s="107"/>
      <c r="T23" s="106" t="s">
        <v>82</v>
      </c>
      <c r="U23" s="78"/>
      <c r="V23" s="769" t="e">
        <f>IF(V3+W3=0," ",IF($V$3+$W$3=43,IF(W13=W14,"résultat",IF(W13&gt;W14,S13,S14)),IF($V$3+$W$3=42,"&amp;",(IF($V$3+$W$3=32,"&amp;")))))</f>
        <v>#REF!</v>
      </c>
      <c r="W23" s="770"/>
      <c r="X23" s="770"/>
      <c r="Y23" s="770"/>
      <c r="Z23" s="770"/>
      <c r="AA23" s="771"/>
      <c r="AB23" s="107"/>
      <c r="AC23" s="78"/>
      <c r="AD23" s="78"/>
      <c r="AE23" s="107"/>
      <c r="AF23" s="94"/>
    </row>
    <row r="24" spans="1:34" ht="20.100000000000001" customHeight="1" thickBot="1">
      <c r="A24" s="5"/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1"/>
      <c r="O24" s="111"/>
      <c r="P24" s="112"/>
      <c r="Q24" s="76"/>
      <c r="R24" s="108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2"/>
      <c r="AG24" s="6"/>
      <c r="AH24" s="6"/>
    </row>
    <row r="25" spans="1:34" ht="20.100000000000001" customHeight="1" thickBot="1"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</row>
    <row r="26" spans="1:34" ht="20.100000000000001" customHeight="1" thickBot="1">
      <c r="B26" s="130"/>
      <c r="C26" s="130"/>
      <c r="D26" s="130"/>
      <c r="E26" s="130"/>
      <c r="F26" s="798" t="s">
        <v>64</v>
      </c>
      <c r="G26" s="799"/>
      <c r="H26" s="80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</row>
    <row r="27" spans="1:34" ht="18.75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</row>
    <row r="28" spans="1:3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</sheetData>
  <sheetProtection formatCells="0" formatColumns="0" formatRows="0" insertColumns="0" insertRows="0" insertHyperlinks="0" deleteColumns="0" deleteRows="0" sort="0"/>
  <mergeCells count="63">
    <mergeCell ref="L12:M12"/>
    <mergeCell ref="AB12:AC12"/>
    <mergeCell ref="Z13:Z14"/>
    <mergeCell ref="R13:R14"/>
    <mergeCell ref="J13:J14"/>
    <mergeCell ref="B13:B14"/>
    <mergeCell ref="F17:F18"/>
    <mergeCell ref="H16:I16"/>
    <mergeCell ref="X16:Y16"/>
    <mergeCell ref="I1:L1"/>
    <mergeCell ref="B1:D1"/>
    <mergeCell ref="E1:G1"/>
    <mergeCell ref="B2:D2"/>
    <mergeCell ref="F2:G2"/>
    <mergeCell ref="I2:K2"/>
    <mergeCell ref="L2:P2"/>
    <mergeCell ref="N1:O1"/>
    <mergeCell ref="R2:T2"/>
    <mergeCell ref="R1:T1"/>
    <mergeCell ref="U1:W1"/>
    <mergeCell ref="Y1:AB1"/>
    <mergeCell ref="V2:W2"/>
    <mergeCell ref="Y2:AA2"/>
    <mergeCell ref="AB2:AF2"/>
    <mergeCell ref="AD1:AE1"/>
    <mergeCell ref="S8:V8"/>
    <mergeCell ref="Z8:Z9"/>
    <mergeCell ref="AA8:AD8"/>
    <mergeCell ref="S9:V9"/>
    <mergeCell ref="AA9:AD9"/>
    <mergeCell ref="C8:F8"/>
    <mergeCell ref="J8:J9"/>
    <mergeCell ref="K8:N8"/>
    <mergeCell ref="C9:F9"/>
    <mergeCell ref="K9:N9"/>
    <mergeCell ref="F26:H26"/>
    <mergeCell ref="G17:J17"/>
    <mergeCell ref="W17:Z17"/>
    <mergeCell ref="G18:J18"/>
    <mergeCell ref="W18:Z18"/>
    <mergeCell ref="F21:K21"/>
    <mergeCell ref="F22:K22"/>
    <mergeCell ref="F23:K23"/>
    <mergeCell ref="V21:AA21"/>
    <mergeCell ref="V22:AA22"/>
    <mergeCell ref="V23:AA23"/>
    <mergeCell ref="V17:V18"/>
    <mergeCell ref="B4:P4"/>
    <mergeCell ref="R4:AF4"/>
    <mergeCell ref="W20:Z20"/>
    <mergeCell ref="G20:J20"/>
    <mergeCell ref="T12:U12"/>
    <mergeCell ref="D12:E12"/>
    <mergeCell ref="AA13:AD13"/>
    <mergeCell ref="K13:N13"/>
    <mergeCell ref="K14:N14"/>
    <mergeCell ref="AA14:AD14"/>
    <mergeCell ref="C14:F14"/>
    <mergeCell ref="S14:V14"/>
    <mergeCell ref="S13:V13"/>
    <mergeCell ref="R8:R9"/>
    <mergeCell ref="C13:F13"/>
    <mergeCell ref="B8:B9"/>
  </mergeCells>
  <conditionalFormatting sqref="F21">
    <cfRule type="expression" dxfId="235" priority="201">
      <formula>$H$2=0</formula>
    </cfRule>
    <cfRule type="expression" dxfId="234" priority="202" stopIfTrue="1">
      <formula>(OR(H2="1",H2="2",H2="3"))</formula>
    </cfRule>
  </conditionalFormatting>
  <conditionalFormatting sqref="F22">
    <cfRule type="expression" dxfId="233" priority="200">
      <formula>(OR(H2="2",H2="3"))</formula>
    </cfRule>
  </conditionalFormatting>
  <conditionalFormatting sqref="F23">
    <cfRule type="expression" dxfId="232" priority="199">
      <formula>(H2="3")</formula>
    </cfRule>
  </conditionalFormatting>
  <conditionalFormatting sqref="V23 K13:K14 G17:J18 C13:F14">
    <cfRule type="cellIs" dxfId="231" priority="198" operator="equal">
      <formula>0</formula>
    </cfRule>
  </conditionalFormatting>
  <conditionalFormatting sqref="V22">
    <cfRule type="expression" dxfId="230" priority="214">
      <formula>$U$2=0</formula>
    </cfRule>
    <cfRule type="expression" dxfId="229" priority="215">
      <formula>$Z$2=5</formula>
    </cfRule>
    <cfRule type="expression" dxfId="228" priority="216">
      <formula>$Z$2=4</formula>
    </cfRule>
    <cfRule type="expression" dxfId="227" priority="217">
      <formula>$Z$2=3</formula>
    </cfRule>
    <cfRule type="expression" dxfId="226" priority="218">
      <formula>$Z$2=2</formula>
    </cfRule>
  </conditionalFormatting>
  <conditionalFormatting sqref="V23">
    <cfRule type="expression" dxfId="225" priority="210">
      <formula>$U$2=0</formula>
    </cfRule>
    <cfRule type="expression" dxfId="224" priority="211">
      <formula>$Z$2=5</formula>
    </cfRule>
    <cfRule type="expression" dxfId="223" priority="212">
      <formula>$Z$2=4</formula>
    </cfRule>
    <cfRule type="expression" dxfId="222" priority="213">
      <formula>$Z$2=3</formula>
    </cfRule>
  </conditionalFormatting>
  <conditionalFormatting sqref="V21">
    <cfRule type="expression" dxfId="221" priority="203">
      <formula>$Z$2=1</formula>
    </cfRule>
  </conditionalFormatting>
  <conditionalFormatting sqref="V21">
    <cfRule type="expression" dxfId="220" priority="186">
      <formula>$U$2=0</formula>
    </cfRule>
    <cfRule type="expression" dxfId="219" priority="187" stopIfTrue="1">
      <formula>(OR(Z2="1",Z2="2",Z2="3"))</formula>
    </cfRule>
  </conditionalFormatting>
  <conditionalFormatting sqref="V22">
    <cfRule type="expression" dxfId="218" priority="185">
      <formula>(OR(Z2="2",Z2="3"))</formula>
    </cfRule>
  </conditionalFormatting>
  <conditionalFormatting sqref="V23">
    <cfRule type="expression" dxfId="217" priority="184">
      <formula>(Z2="3")</formula>
    </cfRule>
  </conditionalFormatting>
  <conditionalFormatting sqref="V21">
    <cfRule type="expression" dxfId="216" priority="268">
      <formula>$Z$2=2</formula>
    </cfRule>
    <cfRule type="expression" dxfId="215" priority="269">
      <formula>$Z$2=5</formula>
    </cfRule>
    <cfRule type="expression" dxfId="214" priority="270">
      <formula>$Z$2=4</formula>
    </cfRule>
    <cfRule type="expression" dxfId="213" priority="271">
      <formula>$Z$2=3</formula>
    </cfRule>
    <cfRule type="expression" dxfId="212" priority="272">
      <formula>$U$2=0</formula>
    </cfRule>
  </conditionalFormatting>
  <conditionalFormatting sqref="V21">
    <cfRule type="expression" dxfId="211" priority="158">
      <formula>$X$2=2</formula>
    </cfRule>
    <cfRule type="expression" dxfId="210" priority="159">
      <formula>$X$2=5</formula>
    </cfRule>
    <cfRule type="expression" dxfId="209" priority="160">
      <formula>$X$2=4</formula>
    </cfRule>
    <cfRule type="expression" dxfId="208" priority="161">
      <formula>$X$2=3</formula>
    </cfRule>
    <cfRule type="expression" dxfId="207" priority="162">
      <formula>$H$2=0</formula>
    </cfRule>
  </conditionalFormatting>
  <conditionalFormatting sqref="V22">
    <cfRule type="expression" dxfId="206" priority="153">
      <formula>$X$2=0</formula>
    </cfRule>
    <cfRule type="expression" dxfId="205" priority="154">
      <formula>$X$2=5</formula>
    </cfRule>
    <cfRule type="expression" dxfId="204" priority="155">
      <formula>$X$2=4</formula>
    </cfRule>
    <cfRule type="expression" dxfId="203" priority="156">
      <formula>$X$2=3</formula>
    </cfRule>
    <cfRule type="expression" dxfId="202" priority="157">
      <formula>$X$2=2</formula>
    </cfRule>
  </conditionalFormatting>
  <conditionalFormatting sqref="V23">
    <cfRule type="expression" dxfId="201" priority="149">
      <formula>$X$2=0</formula>
    </cfRule>
    <cfRule type="expression" dxfId="200" priority="150">
      <formula>$X$2=5</formula>
    </cfRule>
    <cfRule type="expression" dxfId="199" priority="151">
      <formula>$X$2=4</formula>
    </cfRule>
    <cfRule type="expression" dxfId="198" priority="152">
      <formula>$X$2=3</formula>
    </cfRule>
  </conditionalFormatting>
  <conditionalFormatting sqref="V21">
    <cfRule type="expression" dxfId="197" priority="143">
      <formula>$X$2=1</formula>
    </cfRule>
  </conditionalFormatting>
  <conditionalFormatting sqref="F21">
    <cfRule type="expression" dxfId="196" priority="141">
      <formula>$H$2=0</formula>
    </cfRule>
    <cfRule type="expression" dxfId="195" priority="142" stopIfTrue="1">
      <formula>(OR(H2="1",H2="2",H2="3"))</formula>
    </cfRule>
  </conditionalFormatting>
  <conditionalFormatting sqref="F22">
    <cfRule type="expression" dxfId="194" priority="140">
      <formula>(OR(H2="2",H2="3"))</formula>
    </cfRule>
  </conditionalFormatting>
  <conditionalFormatting sqref="F23">
    <cfRule type="cellIs" dxfId="193" priority="138" operator="equal">
      <formula>0</formula>
    </cfRule>
    <cfRule type="expression" dxfId="192" priority="139">
      <formula>(H2="3")</formula>
    </cfRule>
  </conditionalFormatting>
  <conditionalFormatting sqref="V21">
    <cfRule type="expression" dxfId="191" priority="136">
      <formula>$H$2=0</formula>
    </cfRule>
    <cfRule type="expression" dxfId="190" priority="137" stopIfTrue="1">
      <formula>(OR(X2="1",X2="2",X2="3"))</formula>
    </cfRule>
  </conditionalFormatting>
  <conditionalFormatting sqref="V22">
    <cfRule type="expression" dxfId="189" priority="135">
      <formula>(OR(X2="2",X2="3"))</formula>
    </cfRule>
  </conditionalFormatting>
  <conditionalFormatting sqref="V23">
    <cfRule type="expression" dxfId="188" priority="134">
      <formula>(X2="3")</formula>
    </cfRule>
  </conditionalFormatting>
  <conditionalFormatting sqref="AA8:AA9 AB8:AD8 C8:F9">
    <cfRule type="expression" dxfId="187" priority="71">
      <formula>(OR($E$2=3,$E$2=4,$E$2=5))</formula>
    </cfRule>
  </conditionalFormatting>
  <conditionalFormatting sqref="AA9">
    <cfRule type="cellIs" dxfId="186" priority="11" operator="equal">
      <formula>$E$2=0</formula>
    </cfRule>
  </conditionalFormatting>
  <conditionalFormatting sqref="C14:F14 K9:N9 AA9 S14:V14">
    <cfRule type="containsText" dxfId="185" priority="4" operator="containsText" text="OFFICE">
      <formula>NOT(ISERROR(SEARCH("OFFICE",C9)))</formula>
    </cfRule>
  </conditionalFormatting>
  <pageMargins left="0.33" right="0.70866141732283472" top="0.36" bottom="0.44" header="0.22" footer="0.31496062992125984"/>
  <pageSetup paperSize="9" orientation="landscape" horizontalDpi="4294967292" r:id="rId1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tabColor rgb="FFFFFF00"/>
  </sheetPr>
  <dimension ref="A1:AI28"/>
  <sheetViews>
    <sheetView zoomScale="80" zoomScaleNormal="80" workbookViewId="0">
      <selection activeCell="L12" sqref="L12:M12"/>
    </sheetView>
  </sheetViews>
  <sheetFormatPr baseColWidth="10" defaultRowHeight="15"/>
  <cols>
    <col min="1" max="1" width="4" style="15" customWidth="1"/>
    <col min="2" max="2" width="6.85546875" style="15" customWidth="1"/>
    <col min="3" max="3" width="6.7109375" style="15" customWidth="1"/>
    <col min="4" max="5" width="8.7109375" style="15" customWidth="1"/>
    <col min="6" max="6" width="6.7109375" style="15" customWidth="1"/>
    <col min="7" max="7" width="6.85546875" style="15" customWidth="1"/>
    <col min="8" max="8" width="8.7109375" style="15" customWidth="1"/>
    <col min="9" max="9" width="6.7109375" style="15" customWidth="1"/>
    <col min="10" max="10" width="7" style="15" customWidth="1"/>
    <col min="11" max="11" width="6.85546875" style="15" customWidth="1"/>
    <col min="12" max="14" width="8.7109375" style="15" customWidth="1"/>
    <col min="15" max="16" width="6.7109375" style="15" customWidth="1"/>
    <col min="17" max="17" width="4.5703125" style="15" customWidth="1"/>
    <col min="18" max="19" width="6.7109375" style="15" customWidth="1"/>
    <col min="20" max="21" width="8.7109375" style="15" customWidth="1"/>
    <col min="22" max="22" width="6.7109375" style="15" customWidth="1"/>
    <col min="23" max="23" width="6.85546875" style="15" customWidth="1"/>
    <col min="24" max="25" width="8.7109375" style="15" customWidth="1"/>
    <col min="26" max="26" width="6.7109375" style="15" customWidth="1"/>
    <col min="27" max="27" width="6.85546875" style="15" customWidth="1"/>
    <col min="28" max="30" width="8.7109375" style="15" customWidth="1"/>
    <col min="31" max="32" width="6.7109375" style="15" customWidth="1"/>
    <col min="33" max="33" width="10.7109375" style="15" customWidth="1"/>
    <col min="34" max="34" width="11.28515625" style="15" customWidth="1"/>
    <col min="35" max="16384" width="11.42578125" style="15"/>
  </cols>
  <sheetData>
    <row r="1" spans="1:35" ht="21" thickBot="1">
      <c r="A1" s="5"/>
      <c r="B1" s="740" t="s">
        <v>84</v>
      </c>
      <c r="C1" s="741"/>
      <c r="D1" s="741"/>
      <c r="E1" s="742" t="e">
        <f>#REF!</f>
        <v>#REF!</v>
      </c>
      <c r="F1" s="742"/>
      <c r="G1" s="742"/>
      <c r="H1" s="66" t="e">
        <f>#REF!</f>
        <v>#REF!</v>
      </c>
      <c r="I1" s="742" t="e">
        <f>#REF!</f>
        <v>#REF!</v>
      </c>
      <c r="J1" s="742"/>
      <c r="K1" s="742"/>
      <c r="L1" s="742"/>
      <c r="M1" s="67" t="e">
        <f>#REF!</f>
        <v>#REF!</v>
      </c>
      <c r="N1" s="725" t="s">
        <v>83</v>
      </c>
      <c r="O1" s="726"/>
      <c r="P1" s="18" t="e">
        <f>#REF!</f>
        <v>#REF!</v>
      </c>
      <c r="Q1" s="5"/>
      <c r="R1" s="740" t="s">
        <v>84</v>
      </c>
      <c r="S1" s="741"/>
      <c r="T1" s="741"/>
      <c r="U1" s="742" t="e">
        <f>#REF!</f>
        <v>#REF!</v>
      </c>
      <c r="V1" s="742"/>
      <c r="W1" s="742"/>
      <c r="X1" s="66" t="e">
        <f>#REF!</f>
        <v>#REF!</v>
      </c>
      <c r="Y1" s="742" t="e">
        <f>#REF!</f>
        <v>#REF!</v>
      </c>
      <c r="Z1" s="742"/>
      <c r="AA1" s="742"/>
      <c r="AB1" s="742"/>
      <c r="AC1" s="67" t="e">
        <f>#REF!</f>
        <v>#REF!</v>
      </c>
      <c r="AD1" s="819" t="s">
        <v>83</v>
      </c>
      <c r="AE1" s="820"/>
      <c r="AF1" s="18" t="e">
        <f>#REF!</f>
        <v>#REF!</v>
      </c>
      <c r="AG1" s="6"/>
    </row>
    <row r="2" spans="1:35" ht="19.5" customHeight="1" thickBot="1">
      <c r="A2" s="5"/>
      <c r="B2" s="819" t="s">
        <v>24</v>
      </c>
      <c r="C2" s="742"/>
      <c r="D2" s="742"/>
      <c r="E2" s="131" t="e">
        <f>#REF!</f>
        <v>#REF!</v>
      </c>
      <c r="F2" s="742" t="s">
        <v>12</v>
      </c>
      <c r="G2" s="742"/>
      <c r="H2" s="10" t="e">
        <f>#REF!</f>
        <v>#REF!</v>
      </c>
      <c r="I2" s="740" t="s">
        <v>13</v>
      </c>
      <c r="J2" s="741"/>
      <c r="K2" s="741"/>
      <c r="L2" s="732">
        <f ca="1">TODAY()</f>
        <v>44191</v>
      </c>
      <c r="M2" s="733"/>
      <c r="N2" s="733"/>
      <c r="O2" s="733"/>
      <c r="P2" s="726"/>
      <c r="Q2" s="5"/>
      <c r="R2" s="819" t="s">
        <v>25</v>
      </c>
      <c r="S2" s="742"/>
      <c r="T2" s="742"/>
      <c r="U2" s="9" t="e">
        <f>#REF!</f>
        <v>#REF!</v>
      </c>
      <c r="V2" s="742" t="s">
        <v>12</v>
      </c>
      <c r="W2" s="742"/>
      <c r="X2" s="10" t="e">
        <f>#REF!</f>
        <v>#REF!</v>
      </c>
      <c r="Y2" s="740" t="s">
        <v>13</v>
      </c>
      <c r="Z2" s="741"/>
      <c r="AA2" s="741"/>
      <c r="AB2" s="732">
        <f ca="1">TODAY()</f>
        <v>44191</v>
      </c>
      <c r="AC2" s="733"/>
      <c r="AD2" s="733"/>
      <c r="AE2" s="733"/>
      <c r="AF2" s="726"/>
      <c r="AG2" s="6"/>
    </row>
    <row r="3" spans="1:35" ht="20.100000000000001" customHeight="1" thickBot="1">
      <c r="A3" s="5"/>
      <c r="B3" s="217" t="e">
        <f>+#REF!</f>
        <v>#REF!</v>
      </c>
      <c r="C3" s="146"/>
      <c r="D3" s="146"/>
      <c r="E3" s="146"/>
      <c r="F3" s="74" t="e">
        <f>CONCATENATE(E2,H2)</f>
        <v>#REF!</v>
      </c>
      <c r="G3" s="146"/>
      <c r="H3" s="146"/>
      <c r="I3" s="146"/>
      <c r="J3" s="146"/>
      <c r="K3" s="146"/>
      <c r="L3" s="146"/>
      <c r="M3" s="146"/>
      <c r="N3" s="146"/>
      <c r="O3" s="146"/>
      <c r="P3" s="147"/>
      <c r="Q3" s="76"/>
      <c r="R3" s="217" t="e">
        <f>+#REF!</f>
        <v>#REF!</v>
      </c>
      <c r="S3" s="146"/>
      <c r="T3" s="146"/>
      <c r="U3" s="148"/>
      <c r="V3" s="74" t="e">
        <f>CONCATENATE(U2,X2)</f>
        <v>#REF!</v>
      </c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6"/>
      <c r="AH3" s="6"/>
    </row>
    <row r="4" spans="1:35" ht="20.100000000000001" customHeight="1" thickBot="1">
      <c r="A4" s="5"/>
      <c r="B4" s="745" t="s">
        <v>98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7"/>
      <c r="Q4" s="79"/>
      <c r="R4" s="758" t="s">
        <v>98</v>
      </c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60"/>
      <c r="AG4" s="6"/>
    </row>
    <row r="5" spans="1:35" ht="20.100000000000001" customHeight="1">
      <c r="A5" s="5"/>
      <c r="B5" s="7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  <c r="Q5" s="76"/>
      <c r="R5" s="145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70"/>
      <c r="AG5" s="6"/>
      <c r="AH5" s="6"/>
    </row>
    <row r="6" spans="1:35" ht="20.100000000000001" customHeight="1" thickBot="1">
      <c r="A6" s="5"/>
      <c r="B6" s="72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94"/>
      <c r="Q6" s="76"/>
      <c r="R6" s="72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5"/>
      <c r="AG6" s="6"/>
      <c r="AH6" s="6"/>
    </row>
    <row r="7" spans="1:35" ht="20.100000000000001" customHeight="1" thickBot="1">
      <c r="A7" s="5"/>
      <c r="B7" s="82" t="s">
        <v>1</v>
      </c>
      <c r="C7" s="83" t="s">
        <v>8</v>
      </c>
      <c r="D7" s="77"/>
      <c r="E7" s="78"/>
      <c r="F7" s="78"/>
      <c r="G7" s="73" t="s">
        <v>0</v>
      </c>
      <c r="H7" s="73"/>
      <c r="I7" s="73"/>
      <c r="J7" s="73" t="s">
        <v>1</v>
      </c>
      <c r="K7" s="83" t="e">
        <f>IF(E2=2,"","C")</f>
        <v>#REF!</v>
      </c>
      <c r="L7" s="77"/>
      <c r="M7" s="78"/>
      <c r="N7" s="78"/>
      <c r="O7" s="73" t="s">
        <v>0</v>
      </c>
      <c r="P7" s="94"/>
      <c r="Q7" s="78"/>
      <c r="R7" s="82" t="s">
        <v>1</v>
      </c>
      <c r="S7" s="83" t="s">
        <v>8</v>
      </c>
      <c r="T7" s="77"/>
      <c r="U7" s="78"/>
      <c r="V7" s="78"/>
      <c r="W7" s="73" t="s">
        <v>0</v>
      </c>
      <c r="X7" s="73"/>
      <c r="Y7" s="73"/>
      <c r="Z7" s="73" t="s">
        <v>1</v>
      </c>
      <c r="AA7" s="83" t="e">
        <f>IF(U2=2,"","C")</f>
        <v>#REF!</v>
      </c>
      <c r="AB7" s="77"/>
      <c r="AC7" s="78"/>
      <c r="AD7" s="78"/>
      <c r="AE7" s="73" t="s">
        <v>0</v>
      </c>
      <c r="AF7" s="94"/>
      <c r="AH7" s="6"/>
      <c r="AI7" s="6"/>
    </row>
    <row r="8" spans="1:35" ht="20.100000000000001" customHeight="1" thickBot="1">
      <c r="A8" s="33">
        <v>33</v>
      </c>
      <c r="B8" s="730">
        <v>17</v>
      </c>
      <c r="C8" s="734" t="e">
        <f>+#REF!</f>
        <v>#REF!</v>
      </c>
      <c r="D8" s="735"/>
      <c r="E8" s="735"/>
      <c r="F8" s="736"/>
      <c r="G8" s="85">
        <v>1</v>
      </c>
      <c r="H8" s="86"/>
      <c r="I8" s="87">
        <v>35</v>
      </c>
      <c r="J8" s="730">
        <v>18</v>
      </c>
      <c r="K8" s="808" t="e">
        <f>+#REF!</f>
        <v>#REF!</v>
      </c>
      <c r="L8" s="809"/>
      <c r="M8" s="809"/>
      <c r="N8" s="810"/>
      <c r="O8" s="85">
        <v>1</v>
      </c>
      <c r="P8" s="94"/>
      <c r="Q8" s="78"/>
      <c r="R8" s="730">
        <v>19</v>
      </c>
      <c r="S8" s="734" t="e">
        <f>+#REF!</f>
        <v>#REF!</v>
      </c>
      <c r="T8" s="735"/>
      <c r="U8" s="735"/>
      <c r="V8" s="736"/>
      <c r="W8" s="85">
        <v>1</v>
      </c>
      <c r="X8" s="86"/>
      <c r="Y8" s="87">
        <v>39</v>
      </c>
      <c r="Z8" s="730">
        <v>20</v>
      </c>
      <c r="AA8" s="734" t="e">
        <f>+#REF!</f>
        <v>#REF!</v>
      </c>
      <c r="AB8" s="735"/>
      <c r="AC8" s="735"/>
      <c r="AD8" s="736"/>
      <c r="AE8" s="85">
        <v>1</v>
      </c>
      <c r="AF8" s="94"/>
      <c r="AH8" s="6"/>
      <c r="AI8" s="6"/>
    </row>
    <row r="9" spans="1:35" ht="20.100000000000001" customHeight="1" thickBot="1">
      <c r="A9" s="33">
        <v>34</v>
      </c>
      <c r="B9" s="731"/>
      <c r="C9" s="727" t="e">
        <f>+#REF!</f>
        <v>#REF!</v>
      </c>
      <c r="D9" s="728"/>
      <c r="E9" s="728"/>
      <c r="F9" s="729"/>
      <c r="G9" s="89">
        <v>0</v>
      </c>
      <c r="H9" s="86"/>
      <c r="I9" s="87">
        <v>36</v>
      </c>
      <c r="J9" s="731"/>
      <c r="K9" s="727" t="e">
        <f>IF(OR(AND(B3&gt;170,B3&lt;250))," ",#REF!)</f>
        <v>#REF!</v>
      </c>
      <c r="L9" s="728"/>
      <c r="M9" s="728"/>
      <c r="N9" s="729"/>
      <c r="O9" s="85">
        <v>0</v>
      </c>
      <c r="P9" s="94"/>
      <c r="Q9" s="78"/>
      <c r="R9" s="731"/>
      <c r="S9" s="727" t="e">
        <f>+#REF!</f>
        <v>#REF!</v>
      </c>
      <c r="T9" s="728"/>
      <c r="U9" s="728"/>
      <c r="V9" s="729"/>
      <c r="W9" s="166">
        <v>0</v>
      </c>
      <c r="X9" s="86"/>
      <c r="Y9" s="87">
        <v>40</v>
      </c>
      <c r="Z9" s="731"/>
      <c r="AA9" s="727" t="e">
        <f>IF(OR(AND(B3&gt;170,B3&lt;250))," ",#REF!)</f>
        <v>#REF!</v>
      </c>
      <c r="AB9" s="728"/>
      <c r="AC9" s="728"/>
      <c r="AD9" s="729"/>
      <c r="AE9" s="85">
        <v>0</v>
      </c>
      <c r="AF9" s="94"/>
      <c r="AH9" s="6"/>
      <c r="AI9" s="6"/>
    </row>
    <row r="10" spans="1:35" ht="20.100000000000001" customHeight="1" thickBot="1">
      <c r="A10" s="5"/>
      <c r="B10" s="72"/>
      <c r="C10" s="90" t="s">
        <v>9</v>
      </c>
      <c r="D10" s="77"/>
      <c r="E10" s="78"/>
      <c r="F10" s="78"/>
      <c r="G10" s="78"/>
      <c r="H10" s="78"/>
      <c r="I10" s="78"/>
      <c r="J10" s="78"/>
      <c r="K10" s="83" t="s">
        <v>40</v>
      </c>
      <c r="L10" s="77"/>
      <c r="M10" s="78"/>
      <c r="N10" s="78"/>
      <c r="O10" s="78"/>
      <c r="P10" s="94"/>
      <c r="Q10" s="78"/>
      <c r="R10" s="72"/>
      <c r="S10" s="90" t="s">
        <v>9</v>
      </c>
      <c r="T10" s="77"/>
      <c r="U10" s="78"/>
      <c r="V10" s="78"/>
      <c r="W10" s="78"/>
      <c r="X10" s="78"/>
      <c r="Y10" s="78"/>
      <c r="Z10" s="78"/>
      <c r="AA10" s="83" t="s">
        <v>40</v>
      </c>
      <c r="AB10" s="77"/>
      <c r="AC10" s="78"/>
      <c r="AD10" s="78"/>
      <c r="AE10" s="78"/>
      <c r="AF10" s="94"/>
      <c r="AI10" s="6"/>
    </row>
    <row r="11" spans="1:35" ht="20.100000000000001" customHeight="1">
      <c r="A11" s="5"/>
      <c r="B11" s="72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91"/>
      <c r="Q11" s="78"/>
      <c r="R11" s="72"/>
      <c r="S11" s="92"/>
      <c r="T11" s="92"/>
      <c r="U11" s="92"/>
      <c r="V11" s="92"/>
      <c r="W11" s="78"/>
      <c r="X11" s="78"/>
      <c r="Y11" s="78"/>
      <c r="Z11" s="78"/>
      <c r="AA11" s="78"/>
      <c r="AB11" s="78"/>
      <c r="AC11" s="78"/>
      <c r="AD11" s="78"/>
      <c r="AE11" s="78"/>
      <c r="AF11" s="91"/>
      <c r="AI11" s="6"/>
    </row>
    <row r="12" spans="1:35" ht="20.100000000000001" customHeight="1" thickBot="1">
      <c r="A12" s="5"/>
      <c r="B12" s="82" t="s">
        <v>1</v>
      </c>
      <c r="C12" s="78"/>
      <c r="D12" s="825" t="s">
        <v>62</v>
      </c>
      <c r="E12" s="825"/>
      <c r="F12" s="78"/>
      <c r="G12" s="73" t="s">
        <v>0</v>
      </c>
      <c r="H12" s="73"/>
      <c r="I12" s="73"/>
      <c r="J12" s="73" t="s">
        <v>1</v>
      </c>
      <c r="K12" s="78"/>
      <c r="L12" s="824" t="s">
        <v>61</v>
      </c>
      <c r="M12" s="824"/>
      <c r="N12" s="78"/>
      <c r="O12" s="73" t="s">
        <v>0</v>
      </c>
      <c r="P12" s="75"/>
      <c r="Q12" s="76"/>
      <c r="R12" s="93" t="s">
        <v>1</v>
      </c>
      <c r="S12" s="92"/>
      <c r="T12" s="825" t="s">
        <v>62</v>
      </c>
      <c r="U12" s="825"/>
      <c r="V12" s="92"/>
      <c r="W12" s="73" t="s">
        <v>0</v>
      </c>
      <c r="X12" s="73"/>
      <c r="Y12" s="73"/>
      <c r="Z12" s="73" t="s">
        <v>1</v>
      </c>
      <c r="AA12" s="78"/>
      <c r="AB12" s="824" t="s">
        <v>61</v>
      </c>
      <c r="AC12" s="824"/>
      <c r="AD12" s="78"/>
      <c r="AE12" s="73" t="s">
        <v>0</v>
      </c>
      <c r="AF12" s="94"/>
    </row>
    <row r="13" spans="1:35" ht="20.100000000000001" customHeight="1" thickBot="1">
      <c r="A13" s="5"/>
      <c r="B13" s="790">
        <v>20</v>
      </c>
      <c r="C13" s="734" t="e">
        <f>IF($G$8=$G$9,"résultat",IF($G$8&gt;$G$9,$C$9,$C$8))</f>
        <v>#REF!</v>
      </c>
      <c r="D13" s="767"/>
      <c r="E13" s="767"/>
      <c r="F13" s="768"/>
      <c r="G13" s="85">
        <v>1</v>
      </c>
      <c r="H13" s="86"/>
      <c r="I13" s="73"/>
      <c r="J13" s="790">
        <v>21</v>
      </c>
      <c r="K13" s="734" t="e">
        <f>IF($O$8=$O$9,"résultat",IF($O$8&gt;$O$9,$K$8,$K$9))</f>
        <v>#REF!</v>
      </c>
      <c r="L13" s="735"/>
      <c r="M13" s="735"/>
      <c r="N13" s="736"/>
      <c r="O13" s="85">
        <v>1</v>
      </c>
      <c r="P13" s="95"/>
      <c r="Q13" s="76"/>
      <c r="R13" s="790">
        <v>22</v>
      </c>
      <c r="S13" s="804" t="e">
        <f>IF($W$8=$W$9,"résultat",IF($W$8&gt;$W$9,$S$9,$S$8))</f>
        <v>#REF!</v>
      </c>
      <c r="T13" s="767"/>
      <c r="U13" s="767"/>
      <c r="V13" s="768"/>
      <c r="W13" s="85">
        <v>1</v>
      </c>
      <c r="X13" s="86"/>
      <c r="Y13" s="73"/>
      <c r="Z13" s="790">
        <v>23</v>
      </c>
      <c r="AA13" s="754" t="e">
        <f>IF(AE8=AE9,"résultat",IF($AE$8&gt;$AE$9,$AA$8,$AA$9))</f>
        <v>#REF!</v>
      </c>
      <c r="AB13" s="816"/>
      <c r="AC13" s="816"/>
      <c r="AD13" s="817"/>
      <c r="AE13" s="149">
        <v>1</v>
      </c>
      <c r="AF13" s="94"/>
    </row>
    <row r="14" spans="1:35" ht="20.100000000000001" customHeight="1" thickBot="1">
      <c r="A14" s="5"/>
      <c r="B14" s="791"/>
      <c r="C14" s="764" t="e">
        <f>IF($O$8=$O$9,"résultat",IF($O$8&lt;$O$9,$K$8,$K$9))</f>
        <v>#REF!</v>
      </c>
      <c r="D14" s="765"/>
      <c r="E14" s="765"/>
      <c r="F14" s="766"/>
      <c r="G14" s="97">
        <v>0</v>
      </c>
      <c r="H14" s="98"/>
      <c r="I14" s="73"/>
      <c r="J14" s="791"/>
      <c r="K14" s="801" t="e">
        <f>IF(G8=G9,"résultat",IF($G$8&gt;$G$9,$C$8,$C$9))</f>
        <v>#REF!</v>
      </c>
      <c r="L14" s="802"/>
      <c r="M14" s="802"/>
      <c r="N14" s="803"/>
      <c r="O14" s="89">
        <v>2</v>
      </c>
      <c r="P14" s="95"/>
      <c r="Q14" s="76"/>
      <c r="R14" s="791"/>
      <c r="S14" s="764" t="e">
        <f>IF($AE$8=$AE$9,"résultat",IF($AE$8&lt;$AE$9,$AA$8,$AA$9))</f>
        <v>#REF!</v>
      </c>
      <c r="T14" s="765"/>
      <c r="U14" s="765"/>
      <c r="V14" s="766"/>
      <c r="W14" s="85">
        <v>0</v>
      </c>
      <c r="X14" s="86"/>
      <c r="Y14" s="73"/>
      <c r="Z14" s="791"/>
      <c r="AA14" s="801" t="e">
        <f>IF(($W$9=$W$8),"résultat",IF(W8&gt;W9,S8,S9))</f>
        <v>#REF!</v>
      </c>
      <c r="AB14" s="802"/>
      <c r="AC14" s="802"/>
      <c r="AD14" s="803"/>
      <c r="AE14" s="166">
        <v>2</v>
      </c>
      <c r="AF14" s="94"/>
    </row>
    <row r="15" spans="1:35" ht="20.100000000000001" customHeight="1">
      <c r="A15" s="5"/>
      <c r="B15" s="72"/>
      <c r="C15" s="78"/>
      <c r="D15" s="78"/>
      <c r="E15" s="78"/>
      <c r="F15" s="78"/>
      <c r="G15" s="78"/>
      <c r="H15" s="78"/>
      <c r="I15" s="107"/>
      <c r="J15" s="107"/>
      <c r="K15" s="107"/>
      <c r="L15" s="107"/>
      <c r="M15" s="107"/>
      <c r="N15" s="107"/>
      <c r="O15" s="78"/>
      <c r="P15" s="91"/>
      <c r="Q15" s="76"/>
      <c r="R15" s="72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91"/>
      <c r="AG15" s="6"/>
      <c r="AH15" s="6"/>
    </row>
    <row r="16" spans="1:35" ht="20.100000000000001" customHeight="1" thickBot="1">
      <c r="A16" s="5"/>
      <c r="B16" s="72"/>
      <c r="C16" s="78"/>
      <c r="D16" s="78"/>
      <c r="E16" s="78"/>
      <c r="F16" s="73" t="s">
        <v>1</v>
      </c>
      <c r="G16" s="78"/>
      <c r="H16" s="774" t="s">
        <v>101</v>
      </c>
      <c r="I16" s="774"/>
      <c r="J16" s="78"/>
      <c r="K16" s="73" t="s">
        <v>0</v>
      </c>
      <c r="L16" s="73"/>
      <c r="M16" s="142"/>
      <c r="N16" s="78"/>
      <c r="O16" s="78"/>
      <c r="P16" s="91"/>
      <c r="Q16" s="78"/>
      <c r="R16" s="72"/>
      <c r="S16" s="78"/>
      <c r="T16" s="78"/>
      <c r="U16" s="78"/>
      <c r="V16" s="73" t="s">
        <v>1</v>
      </c>
      <c r="W16" s="78"/>
      <c r="X16" s="774" t="s">
        <v>101</v>
      </c>
      <c r="Y16" s="774"/>
      <c r="Z16" s="78"/>
      <c r="AA16" s="73" t="s">
        <v>0</v>
      </c>
      <c r="AB16" s="73"/>
      <c r="AC16" s="142"/>
      <c r="AD16" s="78"/>
      <c r="AE16" s="78"/>
      <c r="AF16" s="94"/>
    </row>
    <row r="17" spans="1:34" ht="20.100000000000001" customHeight="1" thickBot="1">
      <c r="A17" s="5"/>
      <c r="B17" s="72"/>
      <c r="C17" s="78"/>
      <c r="D17" s="78"/>
      <c r="E17" s="73"/>
      <c r="F17" s="814">
        <v>19</v>
      </c>
      <c r="G17" s="754" t="e">
        <f>IF(F3+G3=0," ",IF($F$3+$G$3=43," ",(IF($F$3+$G$3=42,IF($O$13=$O$14,"résultat",IF($O$13&lt;$O$14,$K$13,$K$14)),IF($F$3+$G$3=32,IF($O$13=$O$14,"résultat",IF($O$13&lt;$O$14,$K$13,$K$14)))))))</f>
        <v>#REF!</v>
      </c>
      <c r="H17" s="755"/>
      <c r="I17" s="755"/>
      <c r="J17" s="756"/>
      <c r="K17" s="85">
        <v>1</v>
      </c>
      <c r="L17" s="73"/>
      <c r="M17" s="78"/>
      <c r="N17" s="78"/>
      <c r="O17" s="78"/>
      <c r="P17" s="91"/>
      <c r="Q17" s="78"/>
      <c r="R17" s="72"/>
      <c r="S17" s="78"/>
      <c r="T17" s="78"/>
      <c r="U17" s="73"/>
      <c r="V17" s="814">
        <v>21</v>
      </c>
      <c r="W17" s="754" t="e">
        <f>IF(V3+W3=0," ",IF($V$3+$W$3=43," ",(IF($V$3+$W$3=42,IF($AE$13=$AE$14,"résultat",IF($AE$13&lt;$AE$14,$AA$13,$AA$14)),IF($V$3+$W$3=32,IF($AE$13=$AE$14,"résultat",IF($AE$13&lt;$AE$14,$AA$13,$AA$14)))))))</f>
        <v>#REF!</v>
      </c>
      <c r="X17" s="755"/>
      <c r="Y17" s="755"/>
      <c r="Z17" s="756"/>
      <c r="AA17" s="85">
        <v>2</v>
      </c>
      <c r="AB17" s="73"/>
      <c r="AC17" s="78"/>
      <c r="AD17" s="78"/>
      <c r="AE17" s="78"/>
      <c r="AF17" s="94"/>
    </row>
    <row r="18" spans="1:34" ht="20.100000000000001" customHeight="1" thickBot="1">
      <c r="A18" s="5"/>
      <c r="B18" s="72"/>
      <c r="C18" s="78"/>
      <c r="D18" s="78"/>
      <c r="E18" s="78"/>
      <c r="F18" s="815"/>
      <c r="G18" s="751" t="e">
        <f>IF(F3+G3=0," ",IF($F$3+$G$3=43," ",IF(F3+G3=42,IF($G$13=$G$14,"résultat",IF($G$13&gt;$G$14,$C$13,$C$14)),(IF($F$3+$G$3=32,IF($G$13=$G$14,"résultat",IF($G$13&gt;$G$14,$C$13,$C$14)))))))</f>
        <v>#REF!</v>
      </c>
      <c r="H18" s="752"/>
      <c r="I18" s="752"/>
      <c r="J18" s="753"/>
      <c r="K18" s="85">
        <v>0</v>
      </c>
      <c r="L18" s="73"/>
      <c r="M18" s="78"/>
      <c r="N18" s="78"/>
      <c r="O18" s="78"/>
      <c r="P18" s="91"/>
      <c r="Q18" s="78"/>
      <c r="R18" s="72"/>
      <c r="S18" s="78"/>
      <c r="T18" s="78"/>
      <c r="U18" s="78"/>
      <c r="V18" s="815"/>
      <c r="W18" s="751" t="e">
        <f>IF(V3+W3=0," ",IF($V$3+$W$3=43," ",IF($V$3+$W$3=42,IF(W13=W14,"résultat",IF($W$13&gt;$W$14,$S$13,$S$14)),(IF($V$3+$W$3=32,IF(W13=W14,"résultat",IF($W$13&gt;$W$14,$S$13,$S$14)))))))</f>
        <v>#REF!</v>
      </c>
      <c r="X18" s="752"/>
      <c r="Y18" s="752"/>
      <c r="Z18" s="753"/>
      <c r="AA18" s="85">
        <v>0</v>
      </c>
      <c r="AB18" s="73"/>
      <c r="AC18" s="78"/>
      <c r="AD18" s="78"/>
      <c r="AE18" s="78"/>
      <c r="AF18" s="94"/>
    </row>
    <row r="19" spans="1:34" ht="20.100000000000001" customHeight="1" thickBot="1">
      <c r="A19" s="5"/>
      <c r="B19" s="72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91"/>
      <c r="Q19" s="76"/>
      <c r="R19" s="72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91"/>
      <c r="AG19" s="6"/>
      <c r="AH19" s="6"/>
    </row>
    <row r="20" spans="1:34" ht="20.100000000000001" customHeight="1" thickBot="1">
      <c r="A20" s="5"/>
      <c r="B20" s="72"/>
      <c r="C20" s="107"/>
      <c r="D20" s="78"/>
      <c r="E20" s="78"/>
      <c r="F20" s="78"/>
      <c r="G20" s="811" t="s">
        <v>60</v>
      </c>
      <c r="H20" s="812"/>
      <c r="I20" s="812"/>
      <c r="J20" s="813"/>
      <c r="K20" s="78"/>
      <c r="L20" s="107"/>
      <c r="M20" s="107"/>
      <c r="N20" s="78"/>
      <c r="O20" s="78"/>
      <c r="P20" s="91"/>
      <c r="Q20" s="130"/>
      <c r="R20" s="129"/>
      <c r="S20" s="107"/>
      <c r="T20" s="78"/>
      <c r="U20" s="78"/>
      <c r="V20" s="78"/>
      <c r="W20" s="811" t="s">
        <v>60</v>
      </c>
      <c r="X20" s="812"/>
      <c r="Y20" s="812"/>
      <c r="Z20" s="813"/>
      <c r="AA20" s="78"/>
      <c r="AB20" s="107"/>
      <c r="AC20" s="107"/>
      <c r="AD20" s="78"/>
      <c r="AE20" s="78"/>
      <c r="AF20" s="94"/>
    </row>
    <row r="21" spans="1:34" ht="20.100000000000001" customHeight="1">
      <c r="A21" s="5"/>
      <c r="B21" s="72"/>
      <c r="C21" s="107"/>
      <c r="D21" s="102" t="s">
        <v>80</v>
      </c>
      <c r="E21" s="107"/>
      <c r="F21" s="754" t="e">
        <f>IF(F3+G3=0," ",IF($F$3+$G$3=43,IF($O$13=$O$14,"résultat",IF($O$13&gt;$O$14,$K$13,$K$14)),(IF($F$3+$G$3=42,IF($O$13=$O$14,"résultat",IF($O$13&gt;$O$14,$K$13,$K$14)),(IF($F$3+$G$3=32,IF($O$13=$O$14,"résultat",IF($O$13&gt;$O$14,$K$13,$K$14))))))))</f>
        <v>#REF!</v>
      </c>
      <c r="G21" s="816"/>
      <c r="H21" s="816"/>
      <c r="I21" s="816"/>
      <c r="J21" s="816"/>
      <c r="K21" s="817"/>
      <c r="L21" s="107"/>
      <c r="M21" s="107"/>
      <c r="N21" s="78"/>
      <c r="O21" s="78"/>
      <c r="P21" s="94"/>
      <c r="Q21" s="130"/>
      <c r="R21" s="129"/>
      <c r="S21" s="107"/>
      <c r="T21" s="102" t="s">
        <v>80</v>
      </c>
      <c r="U21" s="78"/>
      <c r="V21" s="754" t="e">
        <f>IF(V3+W3=0," ",IF($V$3+$W$3=43,IF($AE$13=$AE$14,"résultat",IF($AE$13&gt;$AE$14,$AA$13,$AA$14)),(IF($V$3+$W$3=42,IF($AE$13=$AE$14,"résultat",IF($AE$13&gt;$AE$14,$AA$13,$AA$14)),(IF($V$3+$W$3=32,IF($AE$13=$AE$14,"résultat",IF($AE$13&gt;$AE$14,$AA$13,$AA$14))))))))</f>
        <v>#REF!</v>
      </c>
      <c r="W21" s="816"/>
      <c r="X21" s="816"/>
      <c r="Y21" s="816"/>
      <c r="Z21" s="816"/>
      <c r="AA21" s="817"/>
      <c r="AB21" s="107"/>
      <c r="AC21" s="107"/>
      <c r="AD21" s="78"/>
      <c r="AE21" s="107"/>
      <c r="AF21" s="94"/>
    </row>
    <row r="22" spans="1:34" ht="20.100000000000001" customHeight="1">
      <c r="A22" s="5"/>
      <c r="B22" s="72"/>
      <c r="C22" s="107"/>
      <c r="D22" s="105" t="s">
        <v>81</v>
      </c>
      <c r="E22" s="107"/>
      <c r="F22" s="792" t="e">
        <f>IF(F3+G3=0," ",IF($F$3+$G$3=43,IF($O$13=$O$14,"résultat",IF($O$13&lt;$O$14,$K$13,$K$14)),(IF($F$3+$G$3=42,IF($K$17=$K$18,"résultat",IF($K$17&gt;$K$18,$G$17,$G$18)),(IF($F$3+$G$3=32,IF($K$17=$K$18,"résultat",IF($K$17&gt;$K$18,$G$17,$G$18))))))))</f>
        <v>#REF!</v>
      </c>
      <c r="G22" s="793"/>
      <c r="H22" s="793"/>
      <c r="I22" s="793"/>
      <c r="J22" s="793"/>
      <c r="K22" s="794"/>
      <c r="L22" s="107"/>
      <c r="M22" s="107"/>
      <c r="N22" s="143"/>
      <c r="O22" s="143"/>
      <c r="P22" s="94"/>
      <c r="Q22" s="130"/>
      <c r="R22" s="129"/>
      <c r="S22" s="107"/>
      <c r="T22" s="105" t="s">
        <v>81</v>
      </c>
      <c r="U22" s="78"/>
      <c r="V22" s="792" t="e">
        <f>IF(V3+W3=0," ",IF($V$3+$W$3=43,IF($AE$13=$AE$14,"résultat",IF($AE$13&lt;$AE$14,$AA$13,$AA$14)),(IF($V$3+$W$3=42,IF($AA$17=$AA$18,"résultat",IF($AA$17&gt;$AA$18,$W$17,$W$18)),(IF($V$3+$W$3=32,IF($AA$17=$AA$18,"résultat",IF($AA$17&gt;$AA$18,$W$17,$W$18))))))))</f>
        <v>#REF!</v>
      </c>
      <c r="W22" s="793"/>
      <c r="X22" s="793"/>
      <c r="Y22" s="793"/>
      <c r="Z22" s="793"/>
      <c r="AA22" s="794"/>
      <c r="AB22" s="107"/>
      <c r="AC22" s="107"/>
      <c r="AD22" s="143"/>
      <c r="AE22" s="143"/>
      <c r="AF22" s="94"/>
    </row>
    <row r="23" spans="1:34" ht="20.100000000000001" customHeight="1" thickBot="1">
      <c r="A23" s="5"/>
      <c r="B23" s="72"/>
      <c r="C23" s="107"/>
      <c r="D23" s="106" t="s">
        <v>82</v>
      </c>
      <c r="E23" s="107"/>
      <c r="F23" s="801" t="e">
        <f>IF(F3+G3=0," ",IF($F$3+$G$3=43,IF($G$13=$G$14,"résultat",IF($G$13&gt;$G$14,$C$13,$C$14)),(IF($F$3+$G$3=42,"&amp;",(IF($F$3+$G$3=32,"&amp;"))))))</f>
        <v>#REF!</v>
      </c>
      <c r="G23" s="802"/>
      <c r="H23" s="802"/>
      <c r="I23" s="802"/>
      <c r="J23" s="802"/>
      <c r="K23" s="803"/>
      <c r="L23" s="107"/>
      <c r="M23" s="107"/>
      <c r="N23" s="78"/>
      <c r="O23" s="78"/>
      <c r="P23" s="94"/>
      <c r="Q23" s="130"/>
      <c r="R23" s="129"/>
      <c r="S23" s="107"/>
      <c r="T23" s="106" t="s">
        <v>82</v>
      </c>
      <c r="U23" s="78"/>
      <c r="V23" s="769" t="e">
        <f>IF(V3+W3=0," ",IF($V$3+$W$3=43,IF(W13=W14,"résultat",IF(W13&gt;W14,S13,S14)),IF($V$3+$W$3=42,"&amp;",(IF($V$3+$W$3=32,"&amp;")))))</f>
        <v>#REF!</v>
      </c>
      <c r="W23" s="770"/>
      <c r="X23" s="770"/>
      <c r="Y23" s="770"/>
      <c r="Z23" s="770"/>
      <c r="AA23" s="771"/>
      <c r="AB23" s="107"/>
      <c r="AC23" s="107"/>
      <c r="AD23" s="78"/>
      <c r="AE23" s="78"/>
      <c r="AF23" s="94"/>
    </row>
    <row r="24" spans="1:34" ht="20.100000000000001" customHeight="1" thickBot="1">
      <c r="A24" s="5"/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1"/>
      <c r="O24" s="111"/>
      <c r="P24" s="112"/>
      <c r="Q24" s="76"/>
      <c r="R24" s="108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2"/>
      <c r="AG24" s="6"/>
      <c r="AH24" s="6"/>
    </row>
    <row r="25" spans="1:34" ht="20.100000000000001" customHeight="1" thickBot="1"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</row>
    <row r="26" spans="1:34" ht="20.100000000000001" customHeight="1" thickBot="1">
      <c r="B26" s="130"/>
      <c r="C26" s="130"/>
      <c r="D26" s="130"/>
      <c r="E26" s="130"/>
      <c r="F26" s="798" t="s">
        <v>64</v>
      </c>
      <c r="G26" s="799"/>
      <c r="H26" s="80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</row>
    <row r="28" spans="1:3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</sheetData>
  <sheetProtection formatCells="0" formatColumns="0" formatRows="0" insertColumns="0" insertRows="0" insertHyperlinks="0" deleteColumns="0" deleteRows="0" sort="0"/>
  <mergeCells count="63">
    <mergeCell ref="J13:J14"/>
    <mergeCell ref="B13:B14"/>
    <mergeCell ref="H16:I16"/>
    <mergeCell ref="X16:Y16"/>
    <mergeCell ref="U1:W1"/>
    <mergeCell ref="Y1:AB1"/>
    <mergeCell ref="V2:W2"/>
    <mergeCell ref="Y2:AA2"/>
    <mergeCell ref="AB2:AF2"/>
    <mergeCell ref="AD1:AE1"/>
    <mergeCell ref="C13:F13"/>
    <mergeCell ref="C14:F14"/>
    <mergeCell ref="D12:E12"/>
    <mergeCell ref="R2:T2"/>
    <mergeCell ref="R1:T1"/>
    <mergeCell ref="I1:L1"/>
    <mergeCell ref="B1:D1"/>
    <mergeCell ref="E1:G1"/>
    <mergeCell ref="B2:D2"/>
    <mergeCell ref="F2:G2"/>
    <mergeCell ref="I2:K2"/>
    <mergeCell ref="L2:P2"/>
    <mergeCell ref="N1:O1"/>
    <mergeCell ref="R13:R14"/>
    <mergeCell ref="B4:P4"/>
    <mergeCell ref="R4:AF4"/>
    <mergeCell ref="AB12:AC12"/>
    <mergeCell ref="T12:U12"/>
    <mergeCell ref="L12:M12"/>
    <mergeCell ref="AA13:AD13"/>
    <mergeCell ref="AA14:AD14"/>
    <mergeCell ref="S14:V14"/>
    <mergeCell ref="S13:V13"/>
    <mergeCell ref="K13:N13"/>
    <mergeCell ref="K14:N14"/>
    <mergeCell ref="Z13:Z14"/>
    <mergeCell ref="R8:R9"/>
    <mergeCell ref="F26:H26"/>
    <mergeCell ref="G17:J17"/>
    <mergeCell ref="W17:Z17"/>
    <mergeCell ref="G18:J18"/>
    <mergeCell ref="W18:Z18"/>
    <mergeCell ref="G20:J20"/>
    <mergeCell ref="F21:K21"/>
    <mergeCell ref="F22:K22"/>
    <mergeCell ref="F23:K23"/>
    <mergeCell ref="V21:AA21"/>
    <mergeCell ref="W20:Z20"/>
    <mergeCell ref="V22:AA22"/>
    <mergeCell ref="V23:AA23"/>
    <mergeCell ref="V17:V18"/>
    <mergeCell ref="F17:F18"/>
    <mergeCell ref="S8:V8"/>
    <mergeCell ref="Z8:Z9"/>
    <mergeCell ref="AA8:AD8"/>
    <mergeCell ref="S9:V9"/>
    <mergeCell ref="AA9:AD9"/>
    <mergeCell ref="B8:B9"/>
    <mergeCell ref="C8:F8"/>
    <mergeCell ref="J8:J9"/>
    <mergeCell ref="K8:N8"/>
    <mergeCell ref="C9:F9"/>
    <mergeCell ref="K9:N9"/>
  </mergeCells>
  <conditionalFormatting sqref="F21">
    <cfRule type="expression" dxfId="184" priority="293">
      <formula>$H$2=0</formula>
    </cfRule>
    <cfRule type="expression" dxfId="183" priority="294" stopIfTrue="1">
      <formula>(OR(H2="1",H2="2",H2="3"))</formula>
    </cfRule>
  </conditionalFormatting>
  <conditionalFormatting sqref="F22">
    <cfRule type="expression" dxfId="182" priority="292">
      <formula>(OR(H2="2",H2="3"))</formula>
    </cfRule>
  </conditionalFormatting>
  <conditionalFormatting sqref="F23">
    <cfRule type="expression" dxfId="181" priority="291">
      <formula>(H2="3")</formula>
    </cfRule>
  </conditionalFormatting>
  <conditionalFormatting sqref="V23 AA9:AD9">
    <cfRule type="cellIs" dxfId="180" priority="290" operator="equal">
      <formula>0</formula>
    </cfRule>
  </conditionalFormatting>
  <conditionalFormatting sqref="F21">
    <cfRule type="expression" dxfId="179" priority="233">
      <formula>$H$2=0</formula>
    </cfRule>
    <cfRule type="expression" dxfId="178" priority="234" stopIfTrue="1">
      <formula>(OR(H2="1",H2="2",H2="3"))</formula>
    </cfRule>
  </conditionalFormatting>
  <conditionalFormatting sqref="F22">
    <cfRule type="expression" dxfId="177" priority="232">
      <formula>(OR(H2="2",H2="3"))</formula>
    </cfRule>
  </conditionalFormatting>
  <conditionalFormatting sqref="F23">
    <cfRule type="cellIs" dxfId="176" priority="230" operator="equal">
      <formula>0</formula>
    </cfRule>
    <cfRule type="expression" dxfId="175" priority="231">
      <formula>(H2="3")</formula>
    </cfRule>
  </conditionalFormatting>
  <conditionalFormatting sqref="V21">
    <cfRule type="expression" dxfId="174" priority="229" stopIfTrue="1">
      <formula>(OR(X2="1",X2="2",X2="3"))</formula>
    </cfRule>
  </conditionalFormatting>
  <conditionalFormatting sqref="V22">
    <cfRule type="expression" dxfId="173" priority="227">
      <formula>(OR(X2="2",X2="3"))</formula>
    </cfRule>
  </conditionalFormatting>
  <conditionalFormatting sqref="C9:F9">
    <cfRule type="cellIs" dxfId="172" priority="141" operator="equal">
      <formula>$E$2=0</formula>
    </cfRule>
  </conditionalFormatting>
  <conditionalFormatting sqref="AA8:AD9 C8:F9">
    <cfRule type="expression" dxfId="171" priority="130">
      <formula>(OR($E$2=3,$E$2=4,$E$2=5))</formula>
    </cfRule>
  </conditionalFormatting>
  <conditionalFormatting sqref="AA9:AD9 S14:V14 C14:F14">
    <cfRule type="containsText" dxfId="170" priority="10" operator="containsText" text="OFFICE">
      <formula>NOT(ISERROR(SEARCH("OFFICE",C9)))</formula>
    </cfRule>
  </conditionalFormatting>
  <conditionalFormatting sqref="K9:N9">
    <cfRule type="containsText" dxfId="169" priority="7" operator="containsText" text="OFFICE">
      <formula>NOT(ISERROR(SEARCH("OFFICE",K9)))</formula>
    </cfRule>
    <cfRule type="containsText" dxfId="168" priority="8" operator="containsText" text="PFFICE">
      <formula>NOT(ISERROR(SEARCH("PFFICE",K9)))</formula>
    </cfRule>
  </conditionalFormatting>
  <conditionalFormatting sqref="V21:AA22">
    <cfRule type="expression" dxfId="167" priority="2">
      <formula>$X$2=2</formula>
    </cfRule>
    <cfRule type="expression" dxfId="166" priority="5">
      <formula>$X$2=3</formula>
    </cfRule>
  </conditionalFormatting>
  <conditionalFormatting sqref="V23">
    <cfRule type="expression" dxfId="165" priority="3">
      <formula>$X$2=3</formula>
    </cfRule>
  </conditionalFormatting>
  <pageMargins left="0.27559055118110237" right="0.23622047244094491" top="0.31496062992125984" bottom="0.43307086614173229" header="0.15748031496062992" footer="0.23622047244094491"/>
  <pageSetup paperSize="9" orientation="landscape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tabColor rgb="FFFFFF00"/>
    <pageSetUpPr fitToPage="1"/>
  </sheetPr>
  <dimension ref="A1:AI26"/>
  <sheetViews>
    <sheetView zoomScale="80" zoomScaleNormal="80" workbookViewId="0">
      <selection activeCell="M30" sqref="M30"/>
    </sheetView>
  </sheetViews>
  <sheetFormatPr baseColWidth="10" defaultRowHeight="15"/>
  <cols>
    <col min="1" max="1" width="4" style="8" customWidth="1"/>
    <col min="2" max="3" width="6.5703125" style="8" customWidth="1"/>
    <col min="4" max="5" width="8.7109375" style="8" customWidth="1"/>
    <col min="6" max="6" width="6.7109375" style="8" customWidth="1"/>
    <col min="7" max="7" width="7" style="8" customWidth="1"/>
    <col min="8" max="8" width="8.7109375" style="8" customWidth="1"/>
    <col min="9" max="9" width="6.7109375" style="8" customWidth="1"/>
    <col min="10" max="10" width="6.85546875" style="8" customWidth="1"/>
    <col min="11" max="13" width="8.7109375" style="8" customWidth="1"/>
    <col min="14" max="14" width="6.85546875" style="8" customWidth="1"/>
    <col min="15" max="15" width="7.28515625" style="8" customWidth="1"/>
    <col min="16" max="16" width="6.7109375" style="8" customWidth="1"/>
    <col min="17" max="17" width="4.7109375" style="8" customWidth="1"/>
    <col min="18" max="18" width="6.85546875" style="8" customWidth="1"/>
    <col min="19" max="19" width="6.7109375" style="8" customWidth="1"/>
    <col min="20" max="21" width="8.7109375" style="8" customWidth="1"/>
    <col min="22" max="22" width="6.7109375" style="8" customWidth="1"/>
    <col min="23" max="23" width="6.5703125" style="8" customWidth="1"/>
    <col min="24" max="24" width="8.7109375" style="8" customWidth="1"/>
    <col min="25" max="26" width="6.7109375" style="8" customWidth="1"/>
    <col min="27" max="29" width="8.7109375" style="8" customWidth="1"/>
    <col min="30" max="30" width="6.85546875" style="8" customWidth="1"/>
    <col min="31" max="31" width="7.140625" style="8" customWidth="1"/>
    <col min="32" max="32" width="6.85546875" style="8" customWidth="1"/>
    <col min="33" max="33" width="7.140625" style="8" hidden="1" customWidth="1"/>
    <col min="34" max="34" width="6.28515625" style="8" hidden="1" customWidth="1"/>
    <col min="35" max="16384" width="11.42578125" style="8"/>
  </cols>
  <sheetData>
    <row r="1" spans="1:35" s="44" customFormat="1" ht="29.25" customHeight="1" thickBot="1">
      <c r="B1" s="871" t="s">
        <v>84</v>
      </c>
      <c r="C1" s="870"/>
      <c r="D1" s="870"/>
      <c r="E1" s="694" t="e">
        <f>#REF!</f>
        <v>#REF!</v>
      </c>
      <c r="F1" s="694"/>
      <c r="G1" s="694"/>
      <c r="H1" s="150" t="e">
        <f>#REF!</f>
        <v>#REF!</v>
      </c>
      <c r="I1" s="870" t="e">
        <f>#REF!</f>
        <v>#REF!</v>
      </c>
      <c r="J1" s="870"/>
      <c r="K1" s="870"/>
      <c r="L1" s="870"/>
      <c r="M1" s="151" t="e">
        <f>#REF!</f>
        <v>#REF!</v>
      </c>
      <c r="N1" s="693" t="s">
        <v>83</v>
      </c>
      <c r="O1" s="695"/>
      <c r="P1" s="18" t="e">
        <f>#REF!</f>
        <v>#REF!</v>
      </c>
      <c r="R1" s="871" t="s">
        <v>84</v>
      </c>
      <c r="S1" s="870"/>
      <c r="T1" s="870"/>
      <c r="U1" s="694" t="e">
        <f>#REF!</f>
        <v>#REF!</v>
      </c>
      <c r="V1" s="694"/>
      <c r="W1" s="694"/>
      <c r="X1" s="150" t="e">
        <f>#REF!</f>
        <v>#REF!</v>
      </c>
      <c r="Y1" s="694" t="e">
        <f>#REF!</f>
        <v>#REF!</v>
      </c>
      <c r="Z1" s="694"/>
      <c r="AA1" s="694"/>
      <c r="AB1" s="694"/>
      <c r="AC1" s="151" t="e">
        <f>#REF!</f>
        <v>#REF!</v>
      </c>
      <c r="AD1" s="693" t="s">
        <v>83</v>
      </c>
      <c r="AE1" s="695"/>
      <c r="AF1" s="18" t="e">
        <f>#REF!</f>
        <v>#REF!</v>
      </c>
      <c r="AG1" s="64"/>
    </row>
    <row r="2" spans="1:35" ht="21.75" customHeight="1" thickBot="1">
      <c r="B2" s="782" t="s">
        <v>26</v>
      </c>
      <c r="C2" s="786"/>
      <c r="D2" s="786"/>
      <c r="E2" s="9" t="e">
        <f>#REF!</f>
        <v>#REF!</v>
      </c>
      <c r="F2" s="742" t="s">
        <v>12</v>
      </c>
      <c r="G2" s="742"/>
      <c r="H2" s="10" t="e">
        <f>#REF!</f>
        <v>#REF!</v>
      </c>
      <c r="I2" s="787" t="s">
        <v>13</v>
      </c>
      <c r="J2" s="788"/>
      <c r="K2" s="788"/>
      <c r="L2" s="732">
        <f ca="1">TODAY()</f>
        <v>44191</v>
      </c>
      <c r="M2" s="733"/>
      <c r="N2" s="733"/>
      <c r="O2" s="733"/>
      <c r="P2" s="726"/>
      <c r="R2" s="782" t="s">
        <v>27</v>
      </c>
      <c r="S2" s="786"/>
      <c r="T2" s="786"/>
      <c r="U2" s="9" t="e">
        <f>#REF!</f>
        <v>#REF!</v>
      </c>
      <c r="V2" s="742" t="s">
        <v>12</v>
      </c>
      <c r="W2" s="742"/>
      <c r="X2" s="10" t="e">
        <f>#REF!</f>
        <v>#REF!</v>
      </c>
      <c r="Y2" s="787" t="s">
        <v>13</v>
      </c>
      <c r="Z2" s="788"/>
      <c r="AA2" s="788"/>
      <c r="AB2" s="732">
        <f ca="1">TODAY()</f>
        <v>44191</v>
      </c>
      <c r="AC2" s="733"/>
      <c r="AD2" s="733"/>
      <c r="AE2" s="733"/>
      <c r="AF2" s="726"/>
      <c r="AG2" s="7"/>
    </row>
    <row r="3" spans="1:35" ht="19.5" customHeight="1" thickBot="1">
      <c r="B3" s="220" t="e">
        <f>+#REF!</f>
        <v>#REF!</v>
      </c>
      <c r="C3" s="154"/>
      <c r="D3" s="154"/>
      <c r="E3" s="154"/>
      <c r="F3" s="175" t="e">
        <f>CONCATENATE(E2,H2)</f>
        <v>#REF!</v>
      </c>
      <c r="G3" s="154"/>
      <c r="H3" s="154"/>
      <c r="I3" s="154"/>
      <c r="J3" s="154"/>
      <c r="K3" s="154"/>
      <c r="L3" s="154"/>
      <c r="M3" s="154"/>
      <c r="N3" s="154"/>
      <c r="O3" s="154"/>
      <c r="P3" s="155"/>
      <c r="R3" s="221" t="e">
        <f>+#REF!</f>
        <v>#REF!</v>
      </c>
      <c r="S3" s="31"/>
      <c r="T3" s="31"/>
      <c r="U3" s="70"/>
      <c r="V3" s="175" t="e">
        <f>CONCATENATE(U2,X2)</f>
        <v>#REF!</v>
      </c>
      <c r="W3" s="31"/>
      <c r="X3" s="31"/>
      <c r="Y3" s="31"/>
      <c r="Z3" s="31"/>
      <c r="AA3" s="31"/>
      <c r="AB3" s="31"/>
      <c r="AC3" s="31"/>
      <c r="AD3" s="31"/>
      <c r="AE3" s="31"/>
      <c r="AF3" s="36"/>
      <c r="AG3" s="7"/>
      <c r="AH3" s="7"/>
    </row>
    <row r="4" spans="1:35" s="44" customFormat="1" ht="20.100000000000001" customHeight="1" thickBot="1">
      <c r="B4" s="745" t="s">
        <v>98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7"/>
      <c r="Q4" s="79"/>
      <c r="R4" s="758" t="s">
        <v>98</v>
      </c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60"/>
      <c r="AG4" s="64"/>
    </row>
    <row r="5" spans="1:35" ht="20.100000000000001" customHeight="1">
      <c r="B5" s="35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68"/>
      <c r="R5" s="153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156"/>
      <c r="AG5" s="7"/>
      <c r="AH5" s="7"/>
    </row>
    <row r="6" spans="1:35" ht="20.100000000000001" customHeight="1" thickBot="1">
      <c r="B6" s="35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6"/>
      <c r="R6" s="35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57"/>
      <c r="AF6" s="59"/>
      <c r="AG6" s="7"/>
    </row>
    <row r="7" spans="1:35" ht="20.100000000000001" customHeight="1" thickBot="1">
      <c r="B7" s="16" t="s">
        <v>1</v>
      </c>
      <c r="C7" s="37" t="s">
        <v>8</v>
      </c>
      <c r="D7" s="70"/>
      <c r="E7" s="32"/>
      <c r="F7" s="32"/>
      <c r="G7" s="31" t="s">
        <v>0</v>
      </c>
      <c r="H7" s="31"/>
      <c r="I7" s="31"/>
      <c r="J7" s="31" t="s">
        <v>1</v>
      </c>
      <c r="K7" s="37" t="e">
        <f>IF(E2=2,"","C")</f>
        <v>#REF!</v>
      </c>
      <c r="L7" s="70"/>
      <c r="M7" s="32"/>
      <c r="N7" s="32"/>
      <c r="O7" s="31" t="s">
        <v>0</v>
      </c>
      <c r="P7" s="36"/>
      <c r="Q7" s="15"/>
      <c r="R7" s="16" t="s">
        <v>1</v>
      </c>
      <c r="S7" s="37" t="s">
        <v>8</v>
      </c>
      <c r="T7" s="70"/>
      <c r="U7" s="32"/>
      <c r="V7" s="32"/>
      <c r="W7" s="31" t="s">
        <v>0</v>
      </c>
      <c r="X7" s="31"/>
      <c r="Y7" s="31"/>
      <c r="Z7" s="31" t="s">
        <v>1</v>
      </c>
      <c r="AA7" s="37" t="e">
        <f>IF(U2=2,"","C")</f>
        <v>#REF!</v>
      </c>
      <c r="AB7" s="70"/>
      <c r="AC7" s="32"/>
      <c r="AD7" s="32"/>
      <c r="AE7" s="31" t="s">
        <v>0</v>
      </c>
      <c r="AF7" s="36"/>
      <c r="AG7" s="15"/>
      <c r="AH7" s="7"/>
      <c r="AI7" s="7"/>
    </row>
    <row r="8" spans="1:35" ht="20.100000000000001" customHeight="1" thickBot="1">
      <c r="A8" s="33">
        <v>41</v>
      </c>
      <c r="B8" s="865">
        <v>21</v>
      </c>
      <c r="C8" s="826" t="e">
        <f>+#REF!</f>
        <v>#REF!</v>
      </c>
      <c r="D8" s="827"/>
      <c r="E8" s="827"/>
      <c r="F8" s="828"/>
      <c r="G8" s="14">
        <v>4</v>
      </c>
      <c r="H8" s="31"/>
      <c r="I8" s="34">
        <v>43</v>
      </c>
      <c r="J8" s="865">
        <v>22</v>
      </c>
      <c r="K8" s="862" t="e">
        <f>+#REF!</f>
        <v>#REF!</v>
      </c>
      <c r="L8" s="863"/>
      <c r="M8" s="863"/>
      <c r="N8" s="864"/>
      <c r="O8" s="14">
        <v>1</v>
      </c>
      <c r="P8" s="36"/>
      <c r="Q8" s="15"/>
      <c r="R8" s="865">
        <v>23</v>
      </c>
      <c r="S8" s="842" t="e">
        <f>+#REF!</f>
        <v>#REF!</v>
      </c>
      <c r="T8" s="854"/>
      <c r="U8" s="854"/>
      <c r="V8" s="855"/>
      <c r="W8" s="132">
        <v>1</v>
      </c>
      <c r="X8" s="50"/>
      <c r="Y8" s="133">
        <v>47</v>
      </c>
      <c r="Z8" s="865">
        <v>24</v>
      </c>
      <c r="AA8" s="842" t="e">
        <f>+#REF!</f>
        <v>#REF!</v>
      </c>
      <c r="AB8" s="854"/>
      <c r="AC8" s="854"/>
      <c r="AD8" s="855"/>
      <c r="AE8" s="132">
        <v>1</v>
      </c>
      <c r="AF8" s="36"/>
      <c r="AG8" s="15"/>
      <c r="AH8" s="7"/>
      <c r="AI8" s="7"/>
    </row>
    <row r="9" spans="1:35" ht="20.100000000000001" customHeight="1" thickBot="1">
      <c r="A9" s="33">
        <v>42</v>
      </c>
      <c r="B9" s="866"/>
      <c r="C9" s="867" t="e">
        <f>+#REF!</f>
        <v>#REF!</v>
      </c>
      <c r="D9" s="868"/>
      <c r="E9" s="868"/>
      <c r="F9" s="869"/>
      <c r="G9" s="65">
        <v>0</v>
      </c>
      <c r="H9" s="31"/>
      <c r="I9" s="34">
        <v>44</v>
      </c>
      <c r="J9" s="866"/>
      <c r="K9" s="867" t="e">
        <f>IF(OR(AND(B3&gt;170,B3&lt;250))," ",#REF!)</f>
        <v>#REF!</v>
      </c>
      <c r="L9" s="868"/>
      <c r="M9" s="868"/>
      <c r="N9" s="869"/>
      <c r="O9" s="14">
        <v>0</v>
      </c>
      <c r="P9" s="36"/>
      <c r="Q9" s="15"/>
      <c r="R9" s="866"/>
      <c r="S9" s="862" t="e">
        <f>+#REF!</f>
        <v>#REF!</v>
      </c>
      <c r="T9" s="863"/>
      <c r="U9" s="863"/>
      <c r="V9" s="864"/>
      <c r="W9" s="136">
        <v>0</v>
      </c>
      <c r="X9" s="50"/>
      <c r="Y9" s="133">
        <v>48</v>
      </c>
      <c r="Z9" s="866"/>
      <c r="AA9" s="862" t="e">
        <f>IF(OR(AND(B3&gt;170,B3&lt;250))," ",#REF!)</f>
        <v>#REF!</v>
      </c>
      <c r="AB9" s="863"/>
      <c r="AC9" s="863"/>
      <c r="AD9" s="864"/>
      <c r="AE9" s="132">
        <v>0</v>
      </c>
      <c r="AF9" s="36"/>
      <c r="AG9" s="15"/>
      <c r="AH9" s="7"/>
      <c r="AI9" s="7"/>
    </row>
    <row r="10" spans="1:35" ht="20.100000000000001" customHeight="1" thickBot="1">
      <c r="B10" s="35"/>
      <c r="C10" s="20" t="s">
        <v>9</v>
      </c>
      <c r="D10" s="69"/>
      <c r="E10" s="11"/>
      <c r="F10" s="11"/>
      <c r="G10" s="32"/>
      <c r="H10" s="32"/>
      <c r="I10" s="32"/>
      <c r="J10" s="32"/>
      <c r="K10" s="13" t="s">
        <v>40</v>
      </c>
      <c r="L10" s="69"/>
      <c r="M10" s="11"/>
      <c r="N10" s="11"/>
      <c r="O10" s="32"/>
      <c r="P10" s="38"/>
      <c r="Q10" s="15"/>
      <c r="R10" s="35"/>
      <c r="S10" s="20" t="s">
        <v>9</v>
      </c>
      <c r="T10" s="69"/>
      <c r="U10" s="11"/>
      <c r="V10" s="11"/>
      <c r="W10" s="32"/>
      <c r="X10" s="32"/>
      <c r="Y10" s="32"/>
      <c r="Z10" s="32"/>
      <c r="AA10" s="13" t="s">
        <v>40</v>
      </c>
      <c r="AB10" s="69"/>
      <c r="AC10" s="11"/>
      <c r="AD10" s="11"/>
      <c r="AE10" s="32"/>
      <c r="AF10" s="38"/>
      <c r="AG10" s="38"/>
      <c r="AH10" s="7"/>
      <c r="AI10" s="7"/>
    </row>
    <row r="11" spans="1:35" ht="20.100000000000001" customHeight="1">
      <c r="B11" s="35"/>
      <c r="C11" s="11"/>
      <c r="D11" s="11"/>
      <c r="E11" s="11"/>
      <c r="F11" s="11"/>
      <c r="G11" s="32"/>
      <c r="H11" s="32"/>
      <c r="I11" s="32"/>
      <c r="J11" s="32"/>
      <c r="K11" s="11"/>
      <c r="L11" s="11"/>
      <c r="M11" s="11"/>
      <c r="N11" s="11"/>
      <c r="O11" s="32"/>
      <c r="P11" s="38"/>
      <c r="Q11" s="32"/>
      <c r="R11" s="35"/>
      <c r="S11" s="12"/>
      <c r="T11" s="12"/>
      <c r="U11" s="12"/>
      <c r="V11" s="12"/>
      <c r="W11" s="32"/>
      <c r="X11" s="32"/>
      <c r="Y11" s="32"/>
      <c r="Z11" s="32"/>
      <c r="AA11" s="11"/>
      <c r="AB11" s="11"/>
      <c r="AC11" s="11"/>
      <c r="AD11" s="11"/>
      <c r="AE11" s="32"/>
      <c r="AF11" s="38"/>
      <c r="AG11" s="38"/>
      <c r="AH11" s="7"/>
      <c r="AI11" s="7"/>
    </row>
    <row r="12" spans="1:35" ht="20.100000000000001" customHeight="1" thickBot="1">
      <c r="B12" s="16" t="s">
        <v>1</v>
      </c>
      <c r="C12" s="11"/>
      <c r="D12" s="825" t="s">
        <v>62</v>
      </c>
      <c r="E12" s="825"/>
      <c r="F12" s="11"/>
      <c r="G12" s="31" t="s">
        <v>0</v>
      </c>
      <c r="H12" s="31"/>
      <c r="I12" s="31"/>
      <c r="J12" s="31" t="s">
        <v>1</v>
      </c>
      <c r="K12" s="11"/>
      <c r="L12" s="824" t="s">
        <v>61</v>
      </c>
      <c r="M12" s="824"/>
      <c r="N12" s="11"/>
      <c r="O12" s="31" t="s">
        <v>0</v>
      </c>
      <c r="P12" s="36"/>
      <c r="Q12" s="31"/>
      <c r="R12" s="16" t="s">
        <v>1</v>
      </c>
      <c r="S12" s="12"/>
      <c r="T12" s="825" t="s">
        <v>62</v>
      </c>
      <c r="U12" s="825"/>
      <c r="V12" s="12"/>
      <c r="W12" s="31" t="s">
        <v>0</v>
      </c>
      <c r="X12" s="31"/>
      <c r="Y12" s="31"/>
      <c r="Z12" s="31" t="s">
        <v>1</v>
      </c>
      <c r="AA12" s="11"/>
      <c r="AB12" s="824" t="s">
        <v>61</v>
      </c>
      <c r="AC12" s="824"/>
      <c r="AD12" s="11"/>
      <c r="AE12" s="36" t="s">
        <v>0</v>
      </c>
      <c r="AF12" s="38"/>
    </row>
    <row r="13" spans="1:35" ht="20.100000000000001" customHeight="1" thickBot="1">
      <c r="B13" s="837">
        <v>24</v>
      </c>
      <c r="C13" s="826" t="e">
        <f>IF($G$8=$G$9,"résultat",IF($G$8&gt;$G$9,$C$9,$C$8))</f>
        <v>#REF!</v>
      </c>
      <c r="D13" s="833"/>
      <c r="E13" s="833"/>
      <c r="F13" s="834"/>
      <c r="G13" s="14">
        <v>1</v>
      </c>
      <c r="H13" s="31"/>
      <c r="I13" s="31"/>
      <c r="J13" s="835">
        <v>25</v>
      </c>
      <c r="K13" s="826" t="e">
        <f>IF($O$8=$O$9,"résultat",IF($O$8&gt;$O$9,$K$8,$K$9))</f>
        <v>#REF!</v>
      </c>
      <c r="L13" s="827"/>
      <c r="M13" s="827"/>
      <c r="N13" s="828"/>
      <c r="O13" s="14">
        <v>0</v>
      </c>
      <c r="P13" s="36"/>
      <c r="Q13" s="31"/>
      <c r="R13" s="835">
        <v>26</v>
      </c>
      <c r="S13" s="832" t="e">
        <f>IF($W$8=$W$9,"résultat",IF($W$8&gt;$W$9,$S$9,$S$8))</f>
        <v>#REF!</v>
      </c>
      <c r="T13" s="833"/>
      <c r="U13" s="833"/>
      <c r="V13" s="834"/>
      <c r="W13" s="14">
        <v>1</v>
      </c>
      <c r="X13" s="31"/>
      <c r="Y13" s="31"/>
      <c r="Z13" s="835">
        <v>27</v>
      </c>
      <c r="AA13" s="826" t="e">
        <f>IF(AE8=AE9,"résultat",IF($AE$8&gt;$AE$9,$AA$8,$AA$9))</f>
        <v>#REF!</v>
      </c>
      <c r="AB13" s="827"/>
      <c r="AC13" s="827"/>
      <c r="AD13" s="828"/>
      <c r="AE13" s="14">
        <v>1</v>
      </c>
      <c r="AF13" s="58"/>
      <c r="AG13" s="15"/>
    </row>
    <row r="14" spans="1:35" ht="20.100000000000001" customHeight="1" thickBot="1">
      <c r="B14" s="838"/>
      <c r="C14" s="829" t="e">
        <f>IF($O$8=$O$9,"résultat",IF($O$8&lt;$O$9,$K$8,$K$9))</f>
        <v>#REF!</v>
      </c>
      <c r="D14" s="830"/>
      <c r="E14" s="830"/>
      <c r="F14" s="831"/>
      <c r="G14" s="17">
        <v>0</v>
      </c>
      <c r="H14" s="70"/>
      <c r="I14" s="31"/>
      <c r="J14" s="836"/>
      <c r="K14" s="829" t="e">
        <f>IF(G8=G9,"résultat",IF($G$8&gt;$G$9,$C$8,$C$9))</f>
        <v>#REF!</v>
      </c>
      <c r="L14" s="830"/>
      <c r="M14" s="830"/>
      <c r="N14" s="831"/>
      <c r="O14" s="65">
        <v>1</v>
      </c>
      <c r="P14" s="36"/>
      <c r="Q14" s="31"/>
      <c r="R14" s="836"/>
      <c r="S14" s="829" t="e">
        <f>IF($AE$8=$AE$9,"résultat",IF($AE$8&lt;$AE$9,$AA$8,$AA$9))</f>
        <v>#REF!</v>
      </c>
      <c r="T14" s="830"/>
      <c r="U14" s="830"/>
      <c r="V14" s="831"/>
      <c r="W14" s="14">
        <v>0</v>
      </c>
      <c r="X14" s="31"/>
      <c r="Y14" s="31"/>
      <c r="Z14" s="836"/>
      <c r="AA14" s="829" t="e">
        <f>IF(W8=W9,"résultat",IF($W$8&gt;$W$9,S8,S9))</f>
        <v>#REF!</v>
      </c>
      <c r="AB14" s="830"/>
      <c r="AC14" s="830"/>
      <c r="AD14" s="831"/>
      <c r="AE14" s="65">
        <v>2</v>
      </c>
      <c r="AF14" s="58"/>
      <c r="AG14" s="15"/>
    </row>
    <row r="15" spans="1:35" ht="20.100000000000001" customHeight="1">
      <c r="B15" s="35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8"/>
      <c r="R15" s="3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8"/>
      <c r="AG15" s="7"/>
      <c r="AH15" s="7"/>
    </row>
    <row r="16" spans="1:35" ht="20.100000000000001" customHeight="1" thickBot="1">
      <c r="B16" s="35"/>
      <c r="C16" s="32"/>
      <c r="D16" s="32"/>
      <c r="E16" s="32"/>
      <c r="F16" s="31" t="s">
        <v>1</v>
      </c>
      <c r="G16" s="32"/>
      <c r="H16" s="823" t="s">
        <v>101</v>
      </c>
      <c r="I16" s="823"/>
      <c r="J16" s="32"/>
      <c r="K16" s="31" t="s">
        <v>0</v>
      </c>
      <c r="L16" s="31"/>
      <c r="M16" s="57"/>
      <c r="N16" s="57"/>
      <c r="O16" s="57"/>
      <c r="P16" s="58"/>
      <c r="Q16" s="32"/>
      <c r="R16" s="35"/>
      <c r="S16" s="32"/>
      <c r="T16" s="32"/>
      <c r="U16" s="32"/>
      <c r="V16" s="31" t="s">
        <v>1</v>
      </c>
      <c r="W16" s="32"/>
      <c r="X16" s="823" t="s">
        <v>101</v>
      </c>
      <c r="Y16" s="823"/>
      <c r="Z16" s="32"/>
      <c r="AA16" s="31" t="s">
        <v>0</v>
      </c>
      <c r="AB16" s="31"/>
      <c r="AC16" s="40"/>
      <c r="AD16" s="32"/>
      <c r="AE16" s="32"/>
      <c r="AF16" s="38"/>
    </row>
    <row r="17" spans="2:34" ht="20.100000000000001" customHeight="1" thickBot="1">
      <c r="B17" s="35"/>
      <c r="C17" s="32"/>
      <c r="D17" s="32"/>
      <c r="E17" s="31"/>
      <c r="F17" s="837">
        <v>23</v>
      </c>
      <c r="G17" s="842" t="e">
        <f>IF(F3+G3=0," ",IF($F$3+$G$3=43," ",(IF($F$3+$G$3=42,IF($O$13=$O$14,"résultat",IF($O$13&lt;$O$14,$K$13,$K$14)),IF($F$3+$G$3=32,IF($O$13=$O$14,"résultat",IF($O$13&lt;$O$14,$K$13,$K$14)))))))</f>
        <v>#REF!</v>
      </c>
      <c r="H17" s="843"/>
      <c r="I17" s="843"/>
      <c r="J17" s="844"/>
      <c r="K17" s="14">
        <v>1</v>
      </c>
      <c r="L17" s="31"/>
      <c r="M17" s="57"/>
      <c r="N17" s="57"/>
      <c r="O17" s="57"/>
      <c r="P17" s="58"/>
      <c r="Q17" s="32"/>
      <c r="R17" s="35"/>
      <c r="S17" s="32"/>
      <c r="T17" s="32"/>
      <c r="U17" s="31"/>
      <c r="V17" s="837">
        <v>25</v>
      </c>
      <c r="W17" s="842" t="e">
        <f>IF($V$3+$W$3=0," ",IF($V$3+$W$3=43,IF(0&lt;0,0,0),(IF($V$3+$W$3=42,IF($AE$13=$AE$14,"résultat",IF($AE$13&lt;$AE$14,$AA$13,$AA$14)),IF($V$3+$W$3=32,IF($AE$13=$AE$14,"résultat",IF($AE$13&lt;$AE$14,$AA$13,$AA$14)))))))</f>
        <v>#REF!</v>
      </c>
      <c r="X17" s="843"/>
      <c r="Y17" s="843"/>
      <c r="Z17" s="844"/>
      <c r="AA17" s="14">
        <v>1</v>
      </c>
      <c r="AB17" s="31"/>
      <c r="AC17" s="32"/>
      <c r="AD17" s="32"/>
      <c r="AE17" s="32"/>
      <c r="AF17" s="38"/>
    </row>
    <row r="18" spans="2:34" ht="20.100000000000001" customHeight="1" thickBot="1">
      <c r="B18" s="35"/>
      <c r="C18" s="32"/>
      <c r="D18" s="32"/>
      <c r="E18" s="32"/>
      <c r="F18" s="838"/>
      <c r="G18" s="845" t="e">
        <f>IF(F3+G3=0," ",IF($F$3+$G$3=43," ",IF(F3+G3=42,IF($G$13=$G$14,"résultat",IF($G$13&gt;$G$14,$C$13,$C$14)),(IF($F$3+$G$3=32,IF($G$13=$G$14,"résultat",IF($G$13&gt;$G$14,$C$13,$C$14)))))))</f>
        <v>#REF!</v>
      </c>
      <c r="H18" s="846"/>
      <c r="I18" s="846"/>
      <c r="J18" s="847"/>
      <c r="K18" s="14">
        <v>0</v>
      </c>
      <c r="L18" s="31"/>
      <c r="M18" s="57"/>
      <c r="N18" s="57"/>
      <c r="O18" s="57"/>
      <c r="P18" s="58"/>
      <c r="Q18" s="32"/>
      <c r="R18" s="35"/>
      <c r="S18" s="32"/>
      <c r="T18" s="32"/>
      <c r="U18" s="32"/>
      <c r="V18" s="838"/>
      <c r="W18" s="845" t="e">
        <f>IF($V$3+$W$3=0," ",IF($V$3+$W$3=43,IF(0&gt;0,0,0),(IF($V$3+$W$3=42,IF(W13=W14,"résultat",IF($W$13&gt;$W$14,$S$13,$S$14)),(IF($V$3+$W$3=32,IF(W13=W14,"résultat",IF($W$13&gt;$W$14,$S$13,$S$14))))))))</f>
        <v>#REF!</v>
      </c>
      <c r="X18" s="846"/>
      <c r="Y18" s="846"/>
      <c r="Z18" s="847"/>
      <c r="AA18" s="14">
        <v>0</v>
      </c>
      <c r="AB18" s="31"/>
      <c r="AC18" s="32"/>
      <c r="AD18" s="32"/>
      <c r="AE18" s="32"/>
      <c r="AF18" s="38"/>
    </row>
    <row r="19" spans="2:34" ht="29.25" customHeight="1" thickBot="1">
      <c r="B19" s="3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57"/>
      <c r="N19" s="57"/>
      <c r="O19" s="57"/>
      <c r="P19" s="58"/>
      <c r="R19" s="3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8"/>
      <c r="AG19" s="7"/>
      <c r="AH19" s="7"/>
    </row>
    <row r="20" spans="2:34" ht="20.100000000000001" customHeight="1" thickBot="1">
      <c r="B20" s="35"/>
      <c r="C20" s="32"/>
      <c r="D20" s="57"/>
      <c r="E20" s="57"/>
      <c r="F20" s="32"/>
      <c r="G20" s="848" t="s">
        <v>60</v>
      </c>
      <c r="H20" s="849"/>
      <c r="I20" s="849"/>
      <c r="J20" s="850"/>
      <c r="K20" s="32"/>
      <c r="L20" s="57"/>
      <c r="M20" s="57"/>
      <c r="N20" s="57"/>
      <c r="O20" s="57"/>
      <c r="P20" s="58"/>
      <c r="Q20" s="32"/>
      <c r="R20" s="35"/>
      <c r="S20" s="32"/>
      <c r="T20" s="32"/>
      <c r="U20" s="32"/>
      <c r="V20" s="32"/>
      <c r="W20" s="848" t="s">
        <v>60</v>
      </c>
      <c r="X20" s="849"/>
      <c r="Y20" s="849"/>
      <c r="Z20" s="850"/>
      <c r="AA20" s="32"/>
      <c r="AB20" s="57"/>
      <c r="AC20" s="39"/>
      <c r="AD20" s="32"/>
      <c r="AE20" s="32"/>
      <c r="AF20" s="38"/>
    </row>
    <row r="21" spans="2:34" ht="20.100000000000001" customHeight="1">
      <c r="B21" s="35"/>
      <c r="C21" s="32"/>
      <c r="D21" s="102" t="s">
        <v>80</v>
      </c>
      <c r="E21" s="57"/>
      <c r="F21" s="842" t="e">
        <f>IF(F3+G3=0," ",IF($F$3+$G$3=43,IF($O$13=$O$14,"résultat",IF($O$13&gt;$O$14,$K$13,$K$14)),(IF($F$3+$G$3=42,IF($O$13=$O$14,"résultat",IF($O$13&gt;$O$14,$K$13,$K$14)),(IF($F$3+$G$3=32,IF($O$13=$O$14,"résultat",IF($O$13&gt;$O$14,$K$13,$K$14))))))))</f>
        <v>#REF!</v>
      </c>
      <c r="G21" s="854"/>
      <c r="H21" s="854"/>
      <c r="I21" s="854"/>
      <c r="J21" s="854"/>
      <c r="K21" s="855"/>
      <c r="L21" s="57"/>
      <c r="M21" s="57"/>
      <c r="N21" s="57"/>
      <c r="O21" s="57"/>
      <c r="P21" s="58"/>
      <c r="R21" s="27"/>
      <c r="S21" s="57"/>
      <c r="T21" s="102" t="s">
        <v>80</v>
      </c>
      <c r="U21" s="32"/>
      <c r="V21" s="842" t="e">
        <f>IF(V3+W3=0," ",IF($V$3+$W$3=43,IF($AE$13=$AE$14,"résultat",IF($AE$13&gt;$AE$14,$AA$13,$AA$14)),(IF($V$3+$W$3=42,IF($AE$13=$AE$14,"résultat",IF($AE$13&gt;$AE$14,$AA$13,$AA$14)),(IF($V$3+$W$3=32,IF($AE$13=$AE$14,"résultat",IF($AE$13&gt;$AE$14,$AA$13,$AA$14))))))))</f>
        <v>#REF!</v>
      </c>
      <c r="W21" s="854"/>
      <c r="X21" s="854"/>
      <c r="Y21" s="854"/>
      <c r="Z21" s="854"/>
      <c r="AA21" s="855"/>
      <c r="AB21" s="57"/>
      <c r="AC21" s="32"/>
      <c r="AD21" s="32"/>
      <c r="AE21" s="32"/>
      <c r="AF21" s="38"/>
    </row>
    <row r="22" spans="2:34" ht="20.100000000000001" customHeight="1">
      <c r="B22" s="35"/>
      <c r="C22" s="32"/>
      <c r="D22" s="105" t="s">
        <v>81</v>
      </c>
      <c r="E22" s="57"/>
      <c r="F22" s="856" t="e">
        <f>IF(F3+G3=0," ",IF($F$3+$G$3=43,IF($O$13=$O$14,"résultat",IF($O$13&lt;$O$14,$K$13,$K$14)),(IF($F$3+$G$3=42,IF($K$17=$K$18,"résultat",IF($K$17&gt;$K$18,$G$17,$G$18)),(IF($F$3+$G$3=32,IF($K$17=$K$18,"résultat",IF($K$17&gt;$K$18,$G$17,$G$18))))))))</f>
        <v>#REF!</v>
      </c>
      <c r="G22" s="857"/>
      <c r="H22" s="857"/>
      <c r="I22" s="857"/>
      <c r="J22" s="857"/>
      <c r="K22" s="858"/>
      <c r="L22" s="57"/>
      <c r="M22" s="57"/>
      <c r="N22" s="57"/>
      <c r="O22" s="57"/>
      <c r="P22" s="58"/>
      <c r="R22" s="27"/>
      <c r="S22" s="57"/>
      <c r="T22" s="105" t="s">
        <v>81</v>
      </c>
      <c r="U22" s="32"/>
      <c r="V22" s="856" t="e">
        <f>IF(V3+W3=0," ",IF($V$3+$W$3=43,IF($AE$13=$AE$14,"résultat",IF($AE$13&lt;$AE$14,$AA$13,$AA$14)),(IF($V$3+$W$3=42,IF($AA$17=$AA$18,"résultat",IF($AA$17&gt;$AA$18,$W$17,$W$18)),(IF($V$3+$W$3=32,IF($AA$17=$AA$18,"résultat",IF($AA$17&gt;$AA$18,$W$17,$W$18))))))))</f>
        <v>#REF!</v>
      </c>
      <c r="W22" s="857"/>
      <c r="X22" s="857"/>
      <c r="Y22" s="857"/>
      <c r="Z22" s="857"/>
      <c r="AA22" s="858"/>
      <c r="AB22" s="57"/>
      <c r="AC22" s="32"/>
      <c r="AD22" s="41"/>
      <c r="AE22" s="32"/>
      <c r="AF22" s="38"/>
    </row>
    <row r="23" spans="2:34" ht="20.100000000000001" customHeight="1" thickBot="1">
      <c r="B23" s="35"/>
      <c r="C23" s="32"/>
      <c r="D23" s="106" t="s">
        <v>82</v>
      </c>
      <c r="E23" s="57"/>
      <c r="F23" s="851" t="e">
        <f>IF(F3+G3=0," ",IF($F$3+$G$3=43,IF($G$13=$G$14,"résultat",IF($G$13&gt;$G$14,$C$13,$C$14)),(IF($F$3+$G$3=42,"&amp;",(IF($F$3+$G$3=32,"&amp;"))))))</f>
        <v>#REF!</v>
      </c>
      <c r="G23" s="852"/>
      <c r="H23" s="852"/>
      <c r="I23" s="852"/>
      <c r="J23" s="852"/>
      <c r="K23" s="853"/>
      <c r="L23" s="57"/>
      <c r="M23" s="57"/>
      <c r="N23" s="57"/>
      <c r="O23" s="57"/>
      <c r="P23" s="58"/>
      <c r="R23" s="27"/>
      <c r="S23" s="57"/>
      <c r="T23" s="106" t="s">
        <v>82</v>
      </c>
      <c r="U23" s="32"/>
      <c r="V23" s="859" t="e">
        <f>IF(V3+W3=0," ",IF($V$3+$W$3=43,IF(W13=W14,"résultat",IF(W13&gt;W14,S13,S14)),IF($V$3+$W$3=42,"&amp;",(IF($V$3+$W$3=32,"&amp;")))))</f>
        <v>#REF!</v>
      </c>
      <c r="W23" s="860"/>
      <c r="X23" s="860"/>
      <c r="Y23" s="860"/>
      <c r="Z23" s="860"/>
      <c r="AA23" s="861"/>
      <c r="AB23" s="57"/>
      <c r="AC23" s="32"/>
      <c r="AD23" s="32"/>
      <c r="AE23" s="32"/>
      <c r="AF23" s="38"/>
    </row>
    <row r="24" spans="2:34" ht="20.100000000000001" customHeight="1" thickBot="1">
      <c r="B24" s="4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0"/>
      <c r="R24" s="42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30"/>
      <c r="AG24" s="7"/>
      <c r="AH24" s="7"/>
    </row>
    <row r="25" spans="2:34" ht="20.100000000000001" customHeight="1" thickBot="1"/>
    <row r="26" spans="2:34" ht="20.100000000000001" customHeight="1" thickBot="1">
      <c r="F26" s="839" t="s">
        <v>64</v>
      </c>
      <c r="G26" s="840"/>
      <c r="H26" s="841"/>
    </row>
  </sheetData>
  <sheetProtection formatCells="0" formatColumns="0" formatRows="0" insertColumns="0" insertRows="0" insertHyperlinks="0" deleteColumns="0" deleteRows="0" sort="0"/>
  <mergeCells count="63">
    <mergeCell ref="H16:I16"/>
    <mergeCell ref="X16:Y16"/>
    <mergeCell ref="I1:L1"/>
    <mergeCell ref="N1:O1"/>
    <mergeCell ref="B1:D1"/>
    <mergeCell ref="E1:G1"/>
    <mergeCell ref="B2:D2"/>
    <mergeCell ref="F2:G2"/>
    <mergeCell ref="I2:K2"/>
    <mergeCell ref="L2:P2"/>
    <mergeCell ref="R2:T2"/>
    <mergeCell ref="R1:T1"/>
    <mergeCell ref="U1:W1"/>
    <mergeCell ref="Y1:AB1"/>
    <mergeCell ref="B8:B9"/>
    <mergeCell ref="C8:F8"/>
    <mergeCell ref="V2:W2"/>
    <mergeCell ref="Y2:AA2"/>
    <mergeCell ref="AB2:AF2"/>
    <mergeCell ref="AD1:AE1"/>
    <mergeCell ref="AA8:AD8"/>
    <mergeCell ref="S9:V9"/>
    <mergeCell ref="AA9:AD9"/>
    <mergeCell ref="B4:P4"/>
    <mergeCell ref="R4:AF4"/>
    <mergeCell ref="R8:R9"/>
    <mergeCell ref="S8:V8"/>
    <mergeCell ref="Z8:Z9"/>
    <mergeCell ref="J8:J9"/>
    <mergeCell ref="K8:N8"/>
    <mergeCell ref="C9:F9"/>
    <mergeCell ref="K9:N9"/>
    <mergeCell ref="B13:B14"/>
    <mergeCell ref="F26:H26"/>
    <mergeCell ref="G17:J17"/>
    <mergeCell ref="W17:Z17"/>
    <mergeCell ref="G18:J18"/>
    <mergeCell ref="W18:Z18"/>
    <mergeCell ref="W20:Z20"/>
    <mergeCell ref="G20:J20"/>
    <mergeCell ref="F23:K23"/>
    <mergeCell ref="V21:AA21"/>
    <mergeCell ref="V22:AA22"/>
    <mergeCell ref="V23:AA23"/>
    <mergeCell ref="F22:K22"/>
    <mergeCell ref="F21:K21"/>
    <mergeCell ref="V17:V18"/>
    <mergeCell ref="F17:F18"/>
    <mergeCell ref="AA13:AD13"/>
    <mergeCell ref="AA14:AD14"/>
    <mergeCell ref="D12:E12"/>
    <mergeCell ref="L12:M12"/>
    <mergeCell ref="AB12:AC12"/>
    <mergeCell ref="T12:U12"/>
    <mergeCell ref="C14:F14"/>
    <mergeCell ref="S14:V14"/>
    <mergeCell ref="S13:V13"/>
    <mergeCell ref="C13:F13"/>
    <mergeCell ref="Z13:Z14"/>
    <mergeCell ref="R13:R14"/>
    <mergeCell ref="J13:J14"/>
    <mergeCell ref="K13:N13"/>
    <mergeCell ref="K14:N14"/>
  </mergeCells>
  <conditionalFormatting sqref="F21">
    <cfRule type="expression" dxfId="164" priority="248">
      <formula>$H$2=0</formula>
    </cfRule>
    <cfRule type="expression" dxfId="163" priority="249" stopIfTrue="1">
      <formula>(OR(H2="1",H2="2",H2="3"))</formula>
    </cfRule>
  </conditionalFormatting>
  <conditionalFormatting sqref="F22">
    <cfRule type="expression" dxfId="162" priority="247">
      <formula>(OR(H2="2",H2="3"))</formula>
    </cfRule>
  </conditionalFormatting>
  <conditionalFormatting sqref="F23">
    <cfRule type="expression" dxfId="161" priority="246">
      <formula>(H2="3")</formula>
    </cfRule>
  </conditionalFormatting>
  <conditionalFormatting sqref="K13:K14 V23 S8:V9">
    <cfRule type="cellIs" dxfId="160" priority="245" operator="equal">
      <formula>0</formula>
    </cfRule>
  </conditionalFormatting>
  <conditionalFormatting sqref="V23">
    <cfRule type="expression" dxfId="159" priority="275">
      <formula>$U$2=0</formula>
    </cfRule>
  </conditionalFormatting>
  <conditionalFormatting sqref="V22">
    <cfRule type="expression" dxfId="158" priority="261">
      <formula>$U$2=0</formula>
    </cfRule>
    <cfRule type="expression" dxfId="157" priority="262">
      <formula>$Z$2=5</formula>
    </cfRule>
    <cfRule type="expression" dxfId="156" priority="263">
      <formula>$Z$2=4</formula>
    </cfRule>
    <cfRule type="expression" dxfId="155" priority="264">
      <formula>$Z$2=3</formula>
    </cfRule>
    <cfRule type="expression" dxfId="154" priority="265">
      <formula>$Z$2=2</formula>
    </cfRule>
  </conditionalFormatting>
  <conditionalFormatting sqref="V21">
    <cfRule type="expression" dxfId="153" priority="233">
      <formula>$U$2=0</formula>
    </cfRule>
    <cfRule type="expression" dxfId="152" priority="234">
      <formula>(OR(X2="1",X2="2",X2="3"))</formula>
    </cfRule>
  </conditionalFormatting>
  <conditionalFormatting sqref="V22">
    <cfRule type="expression" dxfId="151" priority="232">
      <formula>(OR(X2="2",X2="3"))</formula>
    </cfRule>
  </conditionalFormatting>
  <conditionalFormatting sqref="V23">
    <cfRule type="expression" dxfId="150" priority="231">
      <formula>(X2="3")</formula>
    </cfRule>
  </conditionalFormatting>
  <conditionalFormatting sqref="V21">
    <cfRule type="expression" dxfId="149" priority="205">
      <formula>$X$2=2</formula>
    </cfRule>
    <cfRule type="expression" dxfId="148" priority="206">
      <formula>$X$2=5</formula>
    </cfRule>
    <cfRule type="expression" dxfId="147" priority="207">
      <formula>$X$2=4</formula>
    </cfRule>
    <cfRule type="expression" dxfId="146" priority="208">
      <formula>$X$2=3</formula>
    </cfRule>
    <cfRule type="expression" dxfId="145" priority="209">
      <formula>$H$2=0</formula>
    </cfRule>
  </conditionalFormatting>
  <conditionalFormatting sqref="V22">
    <cfRule type="expression" dxfId="144" priority="200">
      <formula>$X$2=0</formula>
    </cfRule>
    <cfRule type="expression" dxfId="143" priority="201">
      <formula>$X$2=5</formula>
    </cfRule>
    <cfRule type="expression" dxfId="142" priority="202">
      <formula>$X$2=4</formula>
    </cfRule>
    <cfRule type="expression" dxfId="141" priority="203">
      <formula>$X$2=3</formula>
    </cfRule>
    <cfRule type="expression" dxfId="140" priority="204">
      <formula>$X$2=2</formula>
    </cfRule>
  </conditionalFormatting>
  <conditionalFormatting sqref="V23">
    <cfRule type="expression" dxfId="139" priority="196">
      <formula>$X$2=0</formula>
    </cfRule>
    <cfRule type="expression" dxfId="138" priority="197">
      <formula>$X$2=5</formula>
    </cfRule>
    <cfRule type="expression" dxfId="137" priority="198">
      <formula>$X$2=4</formula>
    </cfRule>
    <cfRule type="expression" dxfId="136" priority="199">
      <formula>$X$2=3</formula>
    </cfRule>
  </conditionalFormatting>
  <conditionalFormatting sqref="V21">
    <cfRule type="expression" dxfId="135" priority="190">
      <formula>$X$2=1</formula>
    </cfRule>
  </conditionalFormatting>
  <conditionalFormatting sqref="F21">
    <cfRule type="expression" dxfId="134" priority="188">
      <formula>$H$2=0</formula>
    </cfRule>
    <cfRule type="expression" dxfId="133" priority="189" stopIfTrue="1">
      <formula>(OR(H2="1",H2="2",H2="3"))</formula>
    </cfRule>
  </conditionalFormatting>
  <conditionalFormatting sqref="F22">
    <cfRule type="expression" dxfId="132" priority="187">
      <formula>(OR(H2="2",H2="3"))</formula>
    </cfRule>
  </conditionalFormatting>
  <conditionalFormatting sqref="F23">
    <cfRule type="cellIs" dxfId="131" priority="185" operator="equal">
      <formula>0</formula>
    </cfRule>
    <cfRule type="expression" dxfId="130" priority="186">
      <formula>(H2="3")</formula>
    </cfRule>
  </conditionalFormatting>
  <conditionalFormatting sqref="V21">
    <cfRule type="expression" dxfId="129" priority="183">
      <formula>$H$2=0</formula>
    </cfRule>
    <cfRule type="expression" dxfId="128" priority="184" stopIfTrue="1">
      <formula>(OR(X2="1",X2="2",X2="3"))</formula>
    </cfRule>
  </conditionalFormatting>
  <conditionalFormatting sqref="V22">
    <cfRule type="expression" dxfId="127" priority="182">
      <formula>(OR(X2="2",X2="3"))</formula>
    </cfRule>
  </conditionalFormatting>
  <conditionalFormatting sqref="V23">
    <cfRule type="expression" dxfId="126" priority="181">
      <formula>(X2="3")</formula>
    </cfRule>
  </conditionalFormatting>
  <conditionalFormatting sqref="AA8:AD9 C8:F9">
    <cfRule type="expression" dxfId="125" priority="101">
      <formula>(OR($E$2=3,$E$2=4,$E$2=5))</formula>
    </cfRule>
  </conditionalFormatting>
  <conditionalFormatting sqref="AA9:AD9 S14:V14 K9:N9 C14:F14">
    <cfRule type="containsText" dxfId="124" priority="4" operator="containsText" text="OFFICE">
      <formula>NOT(ISERROR(SEARCH("OFFICE",C9)))</formula>
    </cfRule>
  </conditionalFormatting>
  <pageMargins left="0.7" right="0.7" top="0.75" bottom="0.75" header="0.3" footer="0.3"/>
  <pageSetup paperSize="9" scale="56" orientation="landscape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tabColor rgb="FFFFFF00"/>
    <pageSetUpPr fitToPage="1"/>
  </sheetPr>
  <dimension ref="A1:AI27"/>
  <sheetViews>
    <sheetView zoomScale="80" zoomScaleNormal="80" workbookViewId="0">
      <selection activeCell="D12" sqref="D12:E12"/>
    </sheetView>
  </sheetViews>
  <sheetFormatPr baseColWidth="10" defaultRowHeight="15"/>
  <cols>
    <col min="1" max="1" width="4" style="15" customWidth="1"/>
    <col min="2" max="3" width="6.7109375" style="15" customWidth="1"/>
    <col min="4" max="5" width="8.7109375" style="15" customWidth="1"/>
    <col min="6" max="7" width="6.7109375" style="15" customWidth="1"/>
    <col min="8" max="9" width="8.7109375" style="15" customWidth="1"/>
    <col min="10" max="11" width="6.7109375" style="15" customWidth="1"/>
    <col min="12" max="14" width="8.7109375" style="15" customWidth="1"/>
    <col min="15" max="15" width="6.85546875" style="15" customWidth="1"/>
    <col min="16" max="16" width="6.7109375" style="15" customWidth="1"/>
    <col min="17" max="17" width="4.5703125" style="15" customWidth="1"/>
    <col min="18" max="18" width="6.5703125" style="15" customWidth="1"/>
    <col min="19" max="21" width="8.7109375" style="15" customWidth="1"/>
    <col min="22" max="22" width="6.5703125" style="15" customWidth="1"/>
    <col min="23" max="23" width="6.85546875" style="15" customWidth="1"/>
    <col min="24" max="25" width="8.7109375" style="15" customWidth="1"/>
    <col min="26" max="27" width="6.7109375" style="15" customWidth="1"/>
    <col min="28" max="30" width="8.7109375" style="15" customWidth="1"/>
    <col min="31" max="31" width="6.7109375" style="15" customWidth="1"/>
    <col min="32" max="32" width="6.5703125" style="15" customWidth="1"/>
    <col min="33" max="33" width="11.28515625" style="15" customWidth="1"/>
    <col min="34" max="34" width="11.5703125" style="15" customWidth="1"/>
    <col min="35" max="16384" width="11.42578125" style="15"/>
  </cols>
  <sheetData>
    <row r="1" spans="1:35" s="134" customFormat="1" ht="30" customHeight="1" thickBot="1">
      <c r="A1" s="62"/>
      <c r="B1" s="725" t="s">
        <v>84</v>
      </c>
      <c r="C1" s="733"/>
      <c r="D1" s="733"/>
      <c r="E1" s="733" t="e">
        <f>#REF!</f>
        <v>#REF!</v>
      </c>
      <c r="F1" s="733"/>
      <c r="G1" s="733"/>
      <c r="H1" s="159" t="e">
        <f>#REF!</f>
        <v>#REF!</v>
      </c>
      <c r="I1" s="733" t="e">
        <f>#REF!</f>
        <v>#REF!</v>
      </c>
      <c r="J1" s="733"/>
      <c r="K1" s="733"/>
      <c r="L1" s="733"/>
      <c r="M1" s="157" t="e">
        <f>#REF!</f>
        <v>#REF!</v>
      </c>
      <c r="N1" s="872" t="s">
        <v>83</v>
      </c>
      <c r="O1" s="873"/>
      <c r="P1" s="18" t="e">
        <f>#REF!</f>
        <v>#REF!</v>
      </c>
      <c r="Q1" s="62"/>
      <c r="R1" s="725" t="s">
        <v>84</v>
      </c>
      <c r="S1" s="733"/>
      <c r="T1" s="733"/>
      <c r="U1" s="733" t="e">
        <f>#REF!</f>
        <v>#REF!</v>
      </c>
      <c r="V1" s="733"/>
      <c r="W1" s="733"/>
      <c r="X1" s="159" t="e">
        <f>#REF!</f>
        <v>#REF!</v>
      </c>
      <c r="Y1" s="733" t="e">
        <f>#REF!</f>
        <v>#REF!</v>
      </c>
      <c r="Z1" s="733"/>
      <c r="AA1" s="733"/>
      <c r="AB1" s="733"/>
      <c r="AC1" s="157" t="e">
        <f>#REF!</f>
        <v>#REF!</v>
      </c>
      <c r="AD1" s="161" t="s">
        <v>83</v>
      </c>
      <c r="AE1" s="162"/>
      <c r="AF1" s="18" t="e">
        <f>#REF!</f>
        <v>#REF!</v>
      </c>
      <c r="AG1" s="163"/>
    </row>
    <row r="2" spans="1:35" s="134" customFormat="1" ht="21.75" customHeight="1" thickBot="1">
      <c r="A2" s="62"/>
      <c r="B2" s="725" t="s">
        <v>28</v>
      </c>
      <c r="C2" s="733"/>
      <c r="D2" s="733"/>
      <c r="E2" s="173" t="e">
        <f>#REF!</f>
        <v>#REF!</v>
      </c>
      <c r="F2" s="733" t="s">
        <v>12</v>
      </c>
      <c r="G2" s="733"/>
      <c r="H2" s="165" t="e">
        <f>#REF!</f>
        <v>#REF!</v>
      </c>
      <c r="I2" s="733" t="s">
        <v>13</v>
      </c>
      <c r="J2" s="733"/>
      <c r="K2" s="733"/>
      <c r="L2" s="732">
        <f ca="1">TODAY()</f>
        <v>44191</v>
      </c>
      <c r="M2" s="733"/>
      <c r="N2" s="733"/>
      <c r="O2" s="733"/>
      <c r="P2" s="726"/>
      <c r="Q2" s="62"/>
      <c r="R2" s="725" t="s">
        <v>29</v>
      </c>
      <c r="S2" s="733"/>
      <c r="T2" s="733"/>
      <c r="U2" s="164" t="e">
        <f>#REF!</f>
        <v>#REF!</v>
      </c>
      <c r="V2" s="733" t="s">
        <v>12</v>
      </c>
      <c r="W2" s="733"/>
      <c r="X2" s="165" t="e">
        <f>#REF!</f>
        <v>#REF!</v>
      </c>
      <c r="Y2" s="733" t="s">
        <v>13</v>
      </c>
      <c r="Z2" s="733"/>
      <c r="AA2" s="733"/>
      <c r="AB2" s="732">
        <f ca="1">TODAY()</f>
        <v>44191</v>
      </c>
      <c r="AC2" s="733"/>
      <c r="AD2" s="733"/>
      <c r="AE2" s="733"/>
      <c r="AF2" s="726"/>
      <c r="AG2" s="163"/>
    </row>
    <row r="3" spans="1:35" ht="20.100000000000001" customHeight="1" thickBot="1">
      <c r="A3" s="5"/>
      <c r="B3" s="219" t="e">
        <f>+#REF!</f>
        <v>#REF!</v>
      </c>
      <c r="C3" s="167"/>
      <c r="D3" s="167"/>
      <c r="E3" s="167"/>
      <c r="F3" s="176" t="e">
        <f>CONCATENATE(E2,H2)</f>
        <v>#REF!</v>
      </c>
      <c r="G3" s="167"/>
      <c r="H3" s="167"/>
      <c r="I3" s="167"/>
      <c r="J3" s="167"/>
      <c r="K3" s="167"/>
      <c r="L3" s="167"/>
      <c r="M3" s="167"/>
      <c r="N3" s="167"/>
      <c r="O3" s="167"/>
      <c r="P3" s="168"/>
      <c r="Q3" s="5"/>
      <c r="R3" s="219" t="e">
        <f>+#REF!</f>
        <v>#REF!</v>
      </c>
      <c r="S3" s="167"/>
      <c r="T3" s="167"/>
      <c r="U3" s="174"/>
      <c r="V3" s="176" t="e">
        <f>CONCATENATE(U2,X2)</f>
        <v>#REF!</v>
      </c>
      <c r="W3" s="167"/>
      <c r="X3" s="167"/>
      <c r="Y3" s="167"/>
      <c r="Z3" s="167"/>
      <c r="AA3" s="167"/>
      <c r="AB3" s="167"/>
      <c r="AC3" s="167"/>
      <c r="AD3" s="167"/>
      <c r="AE3" s="167"/>
      <c r="AF3" s="168"/>
      <c r="AG3" s="6"/>
      <c r="AH3" s="6"/>
    </row>
    <row r="4" spans="1:35" ht="20.100000000000001" customHeight="1" thickBot="1">
      <c r="A4" s="5"/>
      <c r="B4" s="745" t="s">
        <v>98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7"/>
      <c r="Q4" s="79"/>
      <c r="R4" s="758" t="s">
        <v>98</v>
      </c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60"/>
      <c r="AG4" s="6"/>
    </row>
    <row r="5" spans="1:35" ht="20.100000000000001" customHeight="1">
      <c r="A5" s="5"/>
      <c r="B5" s="7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  <c r="Q5" s="76"/>
      <c r="R5" s="145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70"/>
      <c r="AG5" s="6"/>
      <c r="AH5" s="6"/>
    </row>
    <row r="6" spans="1:35" ht="20.100000000000001" customHeight="1" thickBot="1">
      <c r="A6" s="5"/>
      <c r="B6" s="72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94"/>
      <c r="Q6" s="76"/>
      <c r="R6" s="72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94"/>
      <c r="AG6" s="6"/>
      <c r="AH6" s="6"/>
    </row>
    <row r="7" spans="1:35" ht="20.100000000000001" customHeight="1" thickBot="1">
      <c r="A7" s="5"/>
      <c r="B7" s="82" t="s">
        <v>1</v>
      </c>
      <c r="C7" s="83" t="s">
        <v>8</v>
      </c>
      <c r="D7" s="77"/>
      <c r="E7" s="78"/>
      <c r="F7" s="78"/>
      <c r="G7" s="73" t="s">
        <v>0</v>
      </c>
      <c r="H7" s="73"/>
      <c r="I7" s="73"/>
      <c r="J7" s="73" t="s">
        <v>1</v>
      </c>
      <c r="K7" s="83" t="e">
        <f>IF(E2=2,"","C")</f>
        <v>#REF!</v>
      </c>
      <c r="L7" s="77"/>
      <c r="M7" s="78"/>
      <c r="N7" s="78"/>
      <c r="O7" s="73" t="s">
        <v>0</v>
      </c>
      <c r="P7" s="94"/>
      <c r="Q7" s="78"/>
      <c r="R7" s="82" t="s">
        <v>1</v>
      </c>
      <c r="S7" s="83" t="s">
        <v>8</v>
      </c>
      <c r="T7" s="77"/>
      <c r="U7" s="78"/>
      <c r="V7" s="78"/>
      <c r="W7" s="73" t="s">
        <v>0</v>
      </c>
      <c r="X7" s="73"/>
      <c r="Y7" s="73"/>
      <c r="Z7" s="73" t="s">
        <v>1</v>
      </c>
      <c r="AA7" s="83" t="e">
        <f>IF(U2=2,"","C")</f>
        <v>#REF!</v>
      </c>
      <c r="AB7" s="77"/>
      <c r="AC7" s="78"/>
      <c r="AD7" s="78"/>
      <c r="AE7" s="73" t="s">
        <v>0</v>
      </c>
      <c r="AF7" s="94"/>
      <c r="AH7" s="6"/>
      <c r="AI7" s="6"/>
    </row>
    <row r="8" spans="1:35" ht="20.100000000000001" customHeight="1" thickBot="1">
      <c r="A8" s="33">
        <v>49</v>
      </c>
      <c r="B8" s="730">
        <v>25</v>
      </c>
      <c r="C8" s="734" t="e">
        <f>+#REF!</f>
        <v>#REF!</v>
      </c>
      <c r="D8" s="735"/>
      <c r="E8" s="735"/>
      <c r="F8" s="736"/>
      <c r="G8" s="85">
        <v>1</v>
      </c>
      <c r="H8" s="86"/>
      <c r="I8" s="87">
        <v>51</v>
      </c>
      <c r="J8" s="730">
        <v>25</v>
      </c>
      <c r="K8" s="808" t="e">
        <f>+#REF!</f>
        <v>#REF!</v>
      </c>
      <c r="L8" s="809"/>
      <c r="M8" s="809"/>
      <c r="N8" s="810"/>
      <c r="O8" s="85">
        <v>1</v>
      </c>
      <c r="P8" s="94"/>
      <c r="Q8" s="78"/>
      <c r="R8" s="730">
        <v>27</v>
      </c>
      <c r="S8" s="734" t="e">
        <f>+#REF!</f>
        <v>#REF!</v>
      </c>
      <c r="T8" s="735"/>
      <c r="U8" s="735"/>
      <c r="V8" s="736"/>
      <c r="W8" s="85">
        <v>1</v>
      </c>
      <c r="X8" s="86"/>
      <c r="Y8" s="171">
        <v>55</v>
      </c>
      <c r="Z8" s="730">
        <v>28</v>
      </c>
      <c r="AA8" s="734" t="e">
        <f>+#REF!</f>
        <v>#REF!</v>
      </c>
      <c r="AB8" s="735"/>
      <c r="AC8" s="735"/>
      <c r="AD8" s="736"/>
      <c r="AE8" s="85">
        <v>1</v>
      </c>
      <c r="AF8" s="94"/>
      <c r="AH8" s="6"/>
      <c r="AI8" s="6"/>
    </row>
    <row r="9" spans="1:35" ht="20.100000000000001" customHeight="1" thickBot="1">
      <c r="A9" s="33">
        <v>50</v>
      </c>
      <c r="B9" s="731"/>
      <c r="C9" s="727" t="e">
        <f>+#REF!</f>
        <v>#REF!</v>
      </c>
      <c r="D9" s="728"/>
      <c r="E9" s="728"/>
      <c r="F9" s="729"/>
      <c r="G9" s="158">
        <v>0</v>
      </c>
      <c r="H9" s="86"/>
      <c r="I9" s="87">
        <v>52</v>
      </c>
      <c r="J9" s="731"/>
      <c r="K9" s="727" t="e">
        <f>IF(OR(AND(B3&gt;170,B3&lt;250))," ",#REF!)</f>
        <v>#REF!</v>
      </c>
      <c r="L9" s="738"/>
      <c r="M9" s="738"/>
      <c r="N9" s="739"/>
      <c r="O9" s="85">
        <v>0</v>
      </c>
      <c r="P9" s="94"/>
      <c r="Q9" s="78"/>
      <c r="R9" s="731"/>
      <c r="S9" s="727" t="e">
        <f>+#REF!</f>
        <v>#REF!</v>
      </c>
      <c r="T9" s="728"/>
      <c r="U9" s="728"/>
      <c r="V9" s="729"/>
      <c r="W9" s="158">
        <v>0</v>
      </c>
      <c r="X9" s="86"/>
      <c r="Y9" s="171">
        <v>56</v>
      </c>
      <c r="Z9" s="731"/>
      <c r="AA9" s="727" t="e">
        <f>IF(OR(AND(B3&gt;170,B3&lt;250))," ",#REF!)</f>
        <v>#REF!</v>
      </c>
      <c r="AB9" s="738"/>
      <c r="AC9" s="738"/>
      <c r="AD9" s="739"/>
      <c r="AE9" s="85">
        <v>0</v>
      </c>
      <c r="AF9" s="94"/>
      <c r="AH9" s="6"/>
      <c r="AI9" s="6"/>
    </row>
    <row r="10" spans="1:35" ht="20.100000000000001" customHeight="1" thickBot="1">
      <c r="A10" s="5"/>
      <c r="B10" s="72"/>
      <c r="C10" s="90" t="s">
        <v>9</v>
      </c>
      <c r="D10" s="77"/>
      <c r="E10" s="78"/>
      <c r="F10" s="78"/>
      <c r="G10" s="78"/>
      <c r="H10" s="78"/>
      <c r="I10" s="78"/>
      <c r="J10" s="78"/>
      <c r="K10" s="83" t="s">
        <v>40</v>
      </c>
      <c r="L10" s="77"/>
      <c r="M10" s="78"/>
      <c r="N10" s="78"/>
      <c r="O10" s="78"/>
      <c r="P10" s="94"/>
      <c r="Q10" s="78"/>
      <c r="R10" s="72"/>
      <c r="S10" s="90" t="s">
        <v>9</v>
      </c>
      <c r="T10" s="77"/>
      <c r="U10" s="78"/>
      <c r="V10" s="78"/>
      <c r="W10" s="78"/>
      <c r="X10" s="78"/>
      <c r="Y10" s="78"/>
      <c r="Z10" s="78"/>
      <c r="AA10" s="83" t="s">
        <v>40</v>
      </c>
      <c r="AB10" s="77"/>
      <c r="AC10" s="78"/>
      <c r="AD10" s="78"/>
      <c r="AE10" s="78"/>
      <c r="AF10" s="94"/>
      <c r="AI10" s="6"/>
    </row>
    <row r="11" spans="1:35" ht="20.100000000000001" customHeight="1">
      <c r="A11" s="5"/>
      <c r="B11" s="72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91"/>
      <c r="Q11" s="78"/>
      <c r="R11" s="72"/>
      <c r="S11" s="92"/>
      <c r="T11" s="92"/>
      <c r="U11" s="92"/>
      <c r="V11" s="92"/>
      <c r="W11" s="78"/>
      <c r="X11" s="78"/>
      <c r="Y11" s="78"/>
      <c r="Z11" s="78"/>
      <c r="AA11" s="78"/>
      <c r="AB11" s="78"/>
      <c r="AC11" s="78"/>
      <c r="AD11" s="78"/>
      <c r="AE11" s="78"/>
      <c r="AF11" s="91"/>
      <c r="AI11" s="6"/>
    </row>
    <row r="12" spans="1:35" ht="20.100000000000001" customHeight="1" thickBot="1">
      <c r="A12" s="5"/>
      <c r="B12" s="82" t="s">
        <v>1</v>
      </c>
      <c r="C12" s="78"/>
      <c r="D12" s="724" t="s">
        <v>62</v>
      </c>
      <c r="E12" s="724"/>
      <c r="F12" s="78"/>
      <c r="G12" s="73" t="s">
        <v>0</v>
      </c>
      <c r="H12" s="73"/>
      <c r="I12" s="73"/>
      <c r="J12" s="73" t="s">
        <v>1</v>
      </c>
      <c r="K12" s="78"/>
      <c r="L12" s="824" t="s">
        <v>61</v>
      </c>
      <c r="M12" s="824"/>
      <c r="N12" s="78"/>
      <c r="O12" s="73" t="s">
        <v>0</v>
      </c>
      <c r="P12" s="75"/>
      <c r="Q12" s="130"/>
      <c r="R12" s="93" t="s">
        <v>1</v>
      </c>
      <c r="S12" s="92"/>
      <c r="T12" s="724" t="s">
        <v>62</v>
      </c>
      <c r="U12" s="724"/>
      <c r="V12" s="92"/>
      <c r="W12" s="73" t="s">
        <v>0</v>
      </c>
      <c r="X12" s="73"/>
      <c r="Y12" s="73"/>
      <c r="Z12" s="73" t="s">
        <v>1</v>
      </c>
      <c r="AA12" s="78"/>
      <c r="AB12" s="824" t="s">
        <v>61</v>
      </c>
      <c r="AC12" s="824"/>
      <c r="AD12" s="78"/>
      <c r="AE12" s="75" t="s">
        <v>0</v>
      </c>
      <c r="AF12" s="94"/>
    </row>
    <row r="13" spans="1:35" ht="20.100000000000001" customHeight="1" thickBot="1">
      <c r="A13" s="5"/>
      <c r="B13" s="790">
        <v>28</v>
      </c>
      <c r="C13" s="734" t="e">
        <f>IF($G$8=$G$9,"résultat",IF($G$8&gt;$G$9,$C$9,$C$8))</f>
        <v>#REF!</v>
      </c>
      <c r="D13" s="767"/>
      <c r="E13" s="767"/>
      <c r="F13" s="768"/>
      <c r="G13" s="85">
        <v>1</v>
      </c>
      <c r="H13" s="86"/>
      <c r="I13" s="73"/>
      <c r="J13" s="790">
        <v>29</v>
      </c>
      <c r="K13" s="734" t="e">
        <f>IF($O$8=$O$9,"résultat",IF($O$8&gt;$O$9,$K$8,$K$9))</f>
        <v>#REF!</v>
      </c>
      <c r="L13" s="735"/>
      <c r="M13" s="735"/>
      <c r="N13" s="736"/>
      <c r="O13" s="85">
        <v>1</v>
      </c>
      <c r="P13" s="95"/>
      <c r="Q13" s="172">
        <f>IF(G9&gt;G8,1)+IF(O9&gt;O8,1)</f>
        <v>0</v>
      </c>
      <c r="R13" s="790">
        <v>30</v>
      </c>
      <c r="S13" s="804" t="e">
        <f>IF($W$8=$W$9,"résultat",IF($W$8&gt;$W$9,$S$9,$S$8))</f>
        <v>#REF!</v>
      </c>
      <c r="T13" s="767"/>
      <c r="U13" s="767"/>
      <c r="V13" s="768"/>
      <c r="W13" s="85">
        <v>1</v>
      </c>
      <c r="X13" s="86"/>
      <c r="Y13" s="73"/>
      <c r="Z13" s="790">
        <v>31</v>
      </c>
      <c r="AA13" s="734" t="e">
        <f>IF(AE8=AE9,"résultat",IF($AE$8&gt;$AE$9,$AA$8,$AA$9))</f>
        <v>#REF!</v>
      </c>
      <c r="AB13" s="735"/>
      <c r="AC13" s="735"/>
      <c r="AD13" s="736"/>
      <c r="AE13" s="85">
        <v>1</v>
      </c>
      <c r="AF13" s="96">
        <f>IF(W8&gt;W9,1)+IF(AE8&gt;AE9,1)</f>
        <v>2</v>
      </c>
    </row>
    <row r="14" spans="1:35" ht="20.100000000000001" customHeight="1" thickBot="1">
      <c r="A14" s="5"/>
      <c r="B14" s="791"/>
      <c r="C14" s="764" t="e">
        <f>IF($O$8=$O$9,"résultat",IF($O$8&lt;$O$9,$K$8,$K$9))</f>
        <v>#REF!</v>
      </c>
      <c r="D14" s="765"/>
      <c r="E14" s="765"/>
      <c r="F14" s="766"/>
      <c r="G14" s="97">
        <v>0</v>
      </c>
      <c r="H14" s="98"/>
      <c r="I14" s="73"/>
      <c r="J14" s="791"/>
      <c r="K14" s="801" t="e">
        <f>IF(G8=G9,"résultat",IF($G$8&gt;$G$9,$C$8,$C$9))</f>
        <v>#REF!</v>
      </c>
      <c r="L14" s="802"/>
      <c r="M14" s="802"/>
      <c r="N14" s="803"/>
      <c r="O14" s="158">
        <v>2</v>
      </c>
      <c r="P14" s="95"/>
      <c r="Q14" s="172">
        <f>IF(G9&gt;G8,1)+IF(O8&gt;O9,1)</f>
        <v>1</v>
      </c>
      <c r="R14" s="791"/>
      <c r="S14" s="764" t="e">
        <f>IF($AE$8=$AE$9,"résultat",IF($AE$8&lt;$AE$9,$AA$8,$AA$9))</f>
        <v>#REF!</v>
      </c>
      <c r="T14" s="765"/>
      <c r="U14" s="765"/>
      <c r="V14" s="766"/>
      <c r="W14" s="85">
        <v>0</v>
      </c>
      <c r="X14" s="86"/>
      <c r="Y14" s="73"/>
      <c r="Z14" s="791"/>
      <c r="AA14" s="801" t="e">
        <f>IF(($W$9=$W$8),"résultat",IF(W8&gt;W9,S8,S9))</f>
        <v>#REF!</v>
      </c>
      <c r="AB14" s="802"/>
      <c r="AC14" s="802"/>
      <c r="AD14" s="803"/>
      <c r="AE14" s="158">
        <v>2</v>
      </c>
      <c r="AF14" s="96">
        <f>IF(W8&gt;W9,1)+IF(AE9&gt;AE8,1)</f>
        <v>1</v>
      </c>
    </row>
    <row r="15" spans="1:35" ht="20.100000000000001" customHeight="1">
      <c r="A15" s="5"/>
      <c r="B15" s="72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91"/>
      <c r="Q15" s="76"/>
      <c r="R15" s="72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91"/>
      <c r="AG15" s="6"/>
      <c r="AH15" s="6"/>
    </row>
    <row r="16" spans="1:35" ht="20.100000000000001" customHeight="1" thickBot="1">
      <c r="A16" s="5"/>
      <c r="B16" s="72"/>
      <c r="C16" s="78"/>
      <c r="D16" s="78"/>
      <c r="E16" s="78"/>
      <c r="F16" s="73" t="s">
        <v>1</v>
      </c>
      <c r="G16" s="78"/>
      <c r="H16" s="774" t="s">
        <v>101</v>
      </c>
      <c r="I16" s="774"/>
      <c r="J16" s="78"/>
      <c r="K16" s="73" t="s">
        <v>0</v>
      </c>
      <c r="L16" s="73"/>
      <c r="M16" s="107"/>
      <c r="N16" s="107"/>
      <c r="O16" s="107"/>
      <c r="P16" s="91"/>
      <c r="Q16" s="78"/>
      <c r="R16" s="72"/>
      <c r="S16" s="78"/>
      <c r="T16" s="78"/>
      <c r="U16" s="78"/>
      <c r="V16" s="73" t="s">
        <v>1</v>
      </c>
      <c r="W16" s="78"/>
      <c r="X16" s="774" t="s">
        <v>101</v>
      </c>
      <c r="Y16" s="774"/>
      <c r="Z16" s="78"/>
      <c r="AA16" s="73" t="s">
        <v>0</v>
      </c>
      <c r="AB16" s="73"/>
      <c r="AC16" s="142"/>
      <c r="AD16" s="78"/>
      <c r="AE16" s="78"/>
      <c r="AF16" s="94"/>
    </row>
    <row r="17" spans="1:34" ht="20.100000000000001" customHeight="1" thickBot="1">
      <c r="A17" s="5"/>
      <c r="B17" s="72"/>
      <c r="C17" s="78"/>
      <c r="D17" s="78"/>
      <c r="E17" s="73"/>
      <c r="F17" s="814">
        <v>27</v>
      </c>
      <c r="G17" s="754" t="e">
        <f>IF($F$3+$G$3=0," ",IF($F$3+$G$3=43,IF(0&lt;0,0,0),(IF($F$3+$G$3=42,IF($O$13=$O$14,"résultat",IF($O$13&lt;$O$14,$K$13,$K$14)),IF($F$3+$G$3=32,IF($O$13=$O$14,"résultat",IF($O$13&lt;$O$14,$K$13,$K$14)))))))</f>
        <v>#REF!</v>
      </c>
      <c r="H17" s="755"/>
      <c r="I17" s="755"/>
      <c r="J17" s="756"/>
      <c r="K17" s="85">
        <v>1</v>
      </c>
      <c r="L17" s="73"/>
      <c r="M17" s="107"/>
      <c r="N17" s="107"/>
      <c r="O17" s="107"/>
      <c r="P17" s="91"/>
      <c r="Q17" s="78"/>
      <c r="R17" s="72"/>
      <c r="S17" s="78"/>
      <c r="T17" s="78"/>
      <c r="U17" s="73"/>
      <c r="V17" s="814">
        <v>29</v>
      </c>
      <c r="W17" s="754" t="e">
        <f>IF(V3+W3=0," ",IF($V$3+$W$3=43,IF(0&lt;0,0,0),(IF($V$3+$W$3=42,IF($AE$13=$AE$14,"résultat",IF($AE$13&lt;$AE$14,$AA$13,$AA$14)),IF($V$3+$W$3=32,IF($AE$13=$AE$14,"résultat",IF($AE$13&lt;$AE$14,$AA$13,$AA$14)))))))</f>
        <v>#REF!</v>
      </c>
      <c r="X17" s="755"/>
      <c r="Y17" s="755"/>
      <c r="Z17" s="756"/>
      <c r="AA17" s="85">
        <v>1</v>
      </c>
      <c r="AB17" s="73"/>
      <c r="AC17" s="78"/>
      <c r="AD17" s="78"/>
      <c r="AE17" s="78"/>
      <c r="AF17" s="94"/>
    </row>
    <row r="18" spans="1:34" ht="20.100000000000001" customHeight="1" thickBot="1">
      <c r="A18" s="5"/>
      <c r="B18" s="72"/>
      <c r="C18" s="78"/>
      <c r="D18" s="78"/>
      <c r="E18" s="78"/>
      <c r="F18" s="815"/>
      <c r="G18" s="751" t="e">
        <f>IF($F$3+$G$3=0," ",IF($F$3+$G$3=43,IF(0&gt;0,0,0),(IF(F3+G3=42,IF($G$13=$G$14,"résultat",IF($G$13&gt;$G$14,$C$13,$C$14)),(IF($F$3+$G$3=32,IF($G$13=$G$14,"résultat",IF($G$13&gt;$G$14,$C$13,$C$14))))))))</f>
        <v>#REF!</v>
      </c>
      <c r="H18" s="752"/>
      <c r="I18" s="752"/>
      <c r="J18" s="753"/>
      <c r="K18" s="85">
        <v>0</v>
      </c>
      <c r="L18" s="73"/>
      <c r="M18" s="107"/>
      <c r="N18" s="107"/>
      <c r="O18" s="107"/>
      <c r="P18" s="91"/>
      <c r="Q18" s="78"/>
      <c r="R18" s="72"/>
      <c r="S18" s="78"/>
      <c r="T18" s="78"/>
      <c r="U18" s="78"/>
      <c r="V18" s="815"/>
      <c r="W18" s="751" t="e">
        <f>IF(V3+W3=0," ",IF($V$3+$W$3=43,IF(0&gt;0,0,0),(IF($V$3+$W$3=42,IF(W13=W14,"résultat",IF($W$13&gt;$W$14,$S$13,$S$14)),(IF($V$3+$W$3=32,IF(W13=W14,"résultat",IF($W$13&gt;$W$14,$S$13,$S$14))))))))</f>
        <v>#REF!</v>
      </c>
      <c r="X18" s="752"/>
      <c r="Y18" s="752"/>
      <c r="Z18" s="753"/>
      <c r="AA18" s="85">
        <v>0</v>
      </c>
      <c r="AB18" s="73"/>
      <c r="AC18" s="78"/>
      <c r="AD18" s="78"/>
      <c r="AE18" s="78"/>
      <c r="AF18" s="94"/>
    </row>
    <row r="19" spans="1:34" ht="24" customHeight="1" thickBot="1">
      <c r="A19" s="5"/>
      <c r="B19" s="72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107"/>
      <c r="N19" s="107"/>
      <c r="O19" s="107"/>
      <c r="P19" s="91"/>
      <c r="Q19" s="76"/>
      <c r="R19" s="72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91"/>
      <c r="AG19" s="6"/>
      <c r="AH19" s="6"/>
    </row>
    <row r="20" spans="1:34" ht="20.100000000000001" customHeight="1" thickBot="1">
      <c r="A20" s="5"/>
      <c r="B20" s="72"/>
      <c r="C20" s="107"/>
      <c r="D20" s="107"/>
      <c r="E20" s="107"/>
      <c r="F20" s="78"/>
      <c r="G20" s="811" t="s">
        <v>60</v>
      </c>
      <c r="H20" s="812"/>
      <c r="I20" s="812"/>
      <c r="J20" s="813"/>
      <c r="K20" s="78"/>
      <c r="L20" s="78"/>
      <c r="M20" s="107"/>
      <c r="N20" s="107"/>
      <c r="O20" s="107"/>
      <c r="P20" s="94"/>
      <c r="Q20" s="78"/>
      <c r="R20" s="72"/>
      <c r="S20" s="78"/>
      <c r="T20" s="78"/>
      <c r="U20" s="78"/>
      <c r="V20" s="78"/>
      <c r="W20" s="811" t="s">
        <v>60</v>
      </c>
      <c r="X20" s="812"/>
      <c r="Y20" s="812"/>
      <c r="Z20" s="813"/>
      <c r="AA20" s="78"/>
      <c r="AB20" s="107"/>
      <c r="AC20" s="101"/>
      <c r="AD20" s="78"/>
      <c r="AE20" s="78"/>
      <c r="AF20" s="94"/>
    </row>
    <row r="21" spans="1:34" ht="20.100000000000001" customHeight="1">
      <c r="A21" s="5"/>
      <c r="B21" s="72"/>
      <c r="C21" s="107"/>
      <c r="D21" s="102" t="s">
        <v>80</v>
      </c>
      <c r="E21" s="107"/>
      <c r="F21" s="734" t="e">
        <f>IF(F3+G3=0," ",IF($F$3+$G$3=43,IF($O$13=$O$14,"résultat",IF($O$13&gt;$O$14,$K$13,$K$14)),(IF($F$3+$G$3=42,IF($O$13=$O$14,"résultat",IF($O$13&gt;$O$14,$K$13,$K$14)),(IF($F$3+$G$3=32,IF($O$13=$O$14,"résultat",IF($O$13&gt;$O$14,$K$13,$K$14))))))))</f>
        <v>#REF!</v>
      </c>
      <c r="G21" s="735"/>
      <c r="H21" s="735"/>
      <c r="I21" s="735"/>
      <c r="J21" s="735"/>
      <c r="K21" s="736"/>
      <c r="L21" s="107"/>
      <c r="M21" s="107"/>
      <c r="N21" s="107"/>
      <c r="O21" s="107"/>
      <c r="P21" s="94"/>
      <c r="Q21" s="130"/>
      <c r="R21" s="129"/>
      <c r="S21" s="107"/>
      <c r="T21" s="102" t="s">
        <v>80</v>
      </c>
      <c r="U21" s="78"/>
      <c r="V21" s="734" t="e">
        <f>IF(V3+W3=0," ",IF($V$3+$W$3=43,IF($AE$13=$AE$14,"résultat",IF($AE$13&gt;$AE$14,$AA$13,$AA$14)),(IF($V$3+$W$3=42,IF($AE$13=$AE$14,"résultat",IF($AE$13&gt;$AE$14,$AA$13,$AA$14)),(IF($V$3+$W$3=32,IF($AE$13=$AE$14,"résultat",IF($AE$13&gt;$AE$14,$AA$13,$AA$14))))))))</f>
        <v>#REF!</v>
      </c>
      <c r="W21" s="735"/>
      <c r="X21" s="735"/>
      <c r="Y21" s="735"/>
      <c r="Z21" s="735"/>
      <c r="AA21" s="736"/>
      <c r="AB21" s="107"/>
      <c r="AC21" s="78"/>
      <c r="AD21" s="78"/>
      <c r="AE21" s="107"/>
      <c r="AF21" s="94"/>
    </row>
    <row r="22" spans="1:34" ht="20.100000000000001" customHeight="1">
      <c r="A22" s="5"/>
      <c r="B22" s="72"/>
      <c r="C22" s="107"/>
      <c r="D22" s="105" t="s">
        <v>81</v>
      </c>
      <c r="E22" s="107"/>
      <c r="F22" s="792" t="e">
        <f>IF(F3+G3=0," ",IF($F$3+$G$3=43,IF($O$13=$O$14,"résultat",IF($O$13&lt;$O$14,$K$13,$K$14)),(IF($F$3+$G$3=42,IF($K$17=$K$18,"résultat",IF($K$17&gt;$K$18,$G$17,$G$18)),(IF($F$3+$G$3=32,IF($K$17=$K$18,"résultat",IF($K$17&gt;$K$18,$G$17,$G$18))))))))</f>
        <v>#REF!</v>
      </c>
      <c r="G22" s="793"/>
      <c r="H22" s="793"/>
      <c r="I22" s="793"/>
      <c r="J22" s="793"/>
      <c r="K22" s="794"/>
      <c r="L22" s="107"/>
      <c r="M22" s="107"/>
      <c r="N22" s="107"/>
      <c r="O22" s="107"/>
      <c r="P22" s="94"/>
      <c r="Q22" s="130"/>
      <c r="R22" s="129"/>
      <c r="S22" s="107"/>
      <c r="T22" s="105" t="s">
        <v>81</v>
      </c>
      <c r="U22" s="78"/>
      <c r="V22" s="792" t="e">
        <f>IF(V3+W3=0," ",IF($V$3+$W$3=43,IF($AE$13=$AE$14,"résultat",IF($AE$13&lt;$AE$14,$AA$13,$AA$14)),(IF($V$3+$W$3=42,IF($AA$17=$AA$18,"résultat",IF($AA$17&gt;$AA$18,$W$17,$W$18)),(IF($V$3+$W$3=32,IF($AA$17=$AA$18,"résultat",IF($AA$17&gt;$AA$18,$W$17,$W$18))))))))</f>
        <v>#REF!</v>
      </c>
      <c r="W22" s="793"/>
      <c r="X22" s="793"/>
      <c r="Y22" s="793"/>
      <c r="Z22" s="793"/>
      <c r="AA22" s="794"/>
      <c r="AB22" s="107"/>
      <c r="AC22" s="78"/>
      <c r="AD22" s="143"/>
      <c r="AE22" s="143"/>
      <c r="AF22" s="94"/>
    </row>
    <row r="23" spans="1:34" ht="20.100000000000001" customHeight="1" thickBot="1">
      <c r="A23" s="5"/>
      <c r="B23" s="72"/>
      <c r="C23" s="107"/>
      <c r="D23" s="106" t="s">
        <v>82</v>
      </c>
      <c r="E23" s="107"/>
      <c r="F23" s="801" t="e">
        <f>IF(F3+G3=0," ",IF($F$3+$G$3=43,IF($G$13=$G$14,"résultat",IF($G$13&gt;$G$14,$C$13,$C$14)),(IF($F$3+$G$3=42,"&amp;",(IF($F$3+$G$3=32,"&amp;"))))))</f>
        <v>#REF!</v>
      </c>
      <c r="G23" s="802"/>
      <c r="H23" s="802"/>
      <c r="I23" s="802"/>
      <c r="J23" s="802"/>
      <c r="K23" s="803"/>
      <c r="L23" s="107"/>
      <c r="M23" s="107"/>
      <c r="N23" s="107"/>
      <c r="O23" s="107"/>
      <c r="P23" s="94"/>
      <c r="Q23" s="130"/>
      <c r="R23" s="129"/>
      <c r="S23" s="107"/>
      <c r="T23" s="106" t="s">
        <v>82</v>
      </c>
      <c r="U23" s="78"/>
      <c r="V23" s="769" t="e">
        <f>IF(V3+W3=0," ",IF($V$3+$W$3=43,IF(W13=W14,"résultat",IF(W13&gt;W14,S13,S14)),IF($V$3+$W$3=42,"&amp;",(IF($V$3+$W$3=32,"&amp;")))))</f>
        <v>#REF!</v>
      </c>
      <c r="W23" s="770"/>
      <c r="X23" s="770"/>
      <c r="Y23" s="770"/>
      <c r="Z23" s="770"/>
      <c r="AA23" s="771"/>
      <c r="AB23" s="107"/>
      <c r="AC23" s="78"/>
      <c r="AD23" s="78"/>
      <c r="AE23" s="78"/>
      <c r="AF23" s="94"/>
    </row>
    <row r="24" spans="1:34" ht="20.100000000000001" customHeight="1" thickBot="1">
      <c r="A24" s="5"/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1"/>
      <c r="O24" s="111"/>
      <c r="P24" s="112"/>
      <c r="Q24" s="76"/>
      <c r="R24" s="108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2"/>
      <c r="AG24" s="6"/>
      <c r="AH24" s="6"/>
    </row>
    <row r="25" spans="1:34" ht="20.100000000000001" customHeight="1" thickBot="1"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</row>
    <row r="26" spans="1:34" ht="20.100000000000001" customHeight="1" thickBot="1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798" t="s">
        <v>64</v>
      </c>
      <c r="N26" s="799"/>
      <c r="O26" s="80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</row>
    <row r="27" spans="1:34" ht="18.75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</row>
  </sheetData>
  <sheetProtection formatCells="0" formatColumns="0" formatRows="0" insertColumns="0" insertRows="0" insertHyperlinks="0" deleteColumns="0" deleteRows="0" sort="0"/>
  <mergeCells count="62">
    <mergeCell ref="B13:B14"/>
    <mergeCell ref="F17:F18"/>
    <mergeCell ref="V17:V18"/>
    <mergeCell ref="Z13:Z14"/>
    <mergeCell ref="R13:R14"/>
    <mergeCell ref="J13:J14"/>
    <mergeCell ref="H16:I16"/>
    <mergeCell ref="X16:Y16"/>
    <mergeCell ref="C14:F14"/>
    <mergeCell ref="S14:V14"/>
    <mergeCell ref="G17:J17"/>
    <mergeCell ref="W17:Z17"/>
    <mergeCell ref="G18:J18"/>
    <mergeCell ref="W18:Z18"/>
    <mergeCell ref="I1:L1"/>
    <mergeCell ref="N1:O1"/>
    <mergeCell ref="Y1:AB1"/>
    <mergeCell ref="B1:D1"/>
    <mergeCell ref="E1:G1"/>
    <mergeCell ref="R1:T1"/>
    <mergeCell ref="U1:W1"/>
    <mergeCell ref="V2:W2"/>
    <mergeCell ref="Y2:AA2"/>
    <mergeCell ref="AB2:AF2"/>
    <mergeCell ref="C13:F13"/>
    <mergeCell ref="S9:V9"/>
    <mergeCell ref="AA9:AD9"/>
    <mergeCell ref="Z8:Z9"/>
    <mergeCell ref="AA8:AD8"/>
    <mergeCell ref="F2:G2"/>
    <mergeCell ref="I2:K2"/>
    <mergeCell ref="L2:P2"/>
    <mergeCell ref="R2:T2"/>
    <mergeCell ref="B2:D2"/>
    <mergeCell ref="S13:V13"/>
    <mergeCell ref="R8:R9"/>
    <mergeCell ref="S8:V8"/>
    <mergeCell ref="B4:P4"/>
    <mergeCell ref="R4:AF4"/>
    <mergeCell ref="K13:N13"/>
    <mergeCell ref="K14:N14"/>
    <mergeCell ref="L12:M12"/>
    <mergeCell ref="AA13:AD13"/>
    <mergeCell ref="AB12:AC12"/>
    <mergeCell ref="AA14:AD14"/>
    <mergeCell ref="D12:E12"/>
    <mergeCell ref="T12:U12"/>
    <mergeCell ref="B8:B9"/>
    <mergeCell ref="C8:F8"/>
    <mergeCell ref="J8:J9"/>
    <mergeCell ref="K8:N8"/>
    <mergeCell ref="C9:F9"/>
    <mergeCell ref="K9:N9"/>
    <mergeCell ref="M26:O26"/>
    <mergeCell ref="G20:J20"/>
    <mergeCell ref="W20:Z20"/>
    <mergeCell ref="F21:K21"/>
    <mergeCell ref="F22:K22"/>
    <mergeCell ref="F23:K23"/>
    <mergeCell ref="V21:AA21"/>
    <mergeCell ref="V22:AA22"/>
    <mergeCell ref="V23:AA23"/>
  </mergeCells>
  <conditionalFormatting sqref="F21">
    <cfRule type="expression" dxfId="123" priority="280">
      <formula>$H$2=0</formula>
    </cfRule>
    <cfRule type="expression" dxfId="122" priority="281" stopIfTrue="1">
      <formula>(OR(H2="1",H2="2",H2="3"))</formula>
    </cfRule>
  </conditionalFormatting>
  <conditionalFormatting sqref="F22">
    <cfRule type="expression" dxfId="121" priority="279">
      <formula>(OR(H2="2",H2="3"))</formula>
    </cfRule>
  </conditionalFormatting>
  <conditionalFormatting sqref="F23">
    <cfRule type="expression" dxfId="120" priority="278">
      <formula>(H2="3")</formula>
    </cfRule>
  </conditionalFormatting>
  <conditionalFormatting sqref="C13:F14 W17:Z17 V23">
    <cfRule type="cellIs" dxfId="119" priority="277" operator="equal">
      <formula>0</formula>
    </cfRule>
  </conditionalFormatting>
  <conditionalFormatting sqref="V22">
    <cfRule type="expression" dxfId="118" priority="294">
      <formula>$Z$2=5</formula>
    </cfRule>
    <cfRule type="expression" dxfId="117" priority="295">
      <formula>$Z$2=4</formula>
    </cfRule>
    <cfRule type="expression" dxfId="116" priority="296">
      <formula>$Z$2=3</formula>
    </cfRule>
    <cfRule type="expression" dxfId="115" priority="297">
      <formula>$Z$2=2</formula>
    </cfRule>
  </conditionalFormatting>
  <conditionalFormatting sqref="V23">
    <cfRule type="expression" dxfId="114" priority="290">
      <formula>$Z$2=5</formula>
    </cfRule>
    <cfRule type="expression" dxfId="113" priority="291">
      <formula>$Z$2=4</formula>
    </cfRule>
    <cfRule type="expression" dxfId="112" priority="292">
      <formula>$Z$2=3</formula>
    </cfRule>
  </conditionalFormatting>
  <conditionalFormatting sqref="V21">
    <cfRule type="expression" dxfId="111" priority="282">
      <formula>$Z$2=1</formula>
    </cfRule>
  </conditionalFormatting>
  <conditionalFormatting sqref="V21">
    <cfRule type="expression" dxfId="110" priority="266" stopIfTrue="1">
      <formula>(OR(Z2="1",Z2="2",Z2="3"))</formula>
    </cfRule>
  </conditionalFormatting>
  <conditionalFormatting sqref="V22">
    <cfRule type="expression" dxfId="109" priority="264">
      <formula>(OR(Z2="2",Z2="3"))</formula>
    </cfRule>
  </conditionalFormatting>
  <conditionalFormatting sqref="V23">
    <cfRule type="expression" dxfId="108" priority="263">
      <formula>(Z2="3")</formula>
    </cfRule>
  </conditionalFormatting>
  <conditionalFormatting sqref="V21">
    <cfRule type="expression" dxfId="107" priority="347">
      <formula>$Z$2=2</formula>
    </cfRule>
    <cfRule type="expression" dxfId="106" priority="348">
      <formula>$Z$2=5</formula>
    </cfRule>
    <cfRule type="expression" dxfId="105" priority="349">
      <formula>$Z$2=4</formula>
    </cfRule>
    <cfRule type="expression" dxfId="104" priority="350">
      <formula>$Z$2=3</formula>
    </cfRule>
  </conditionalFormatting>
  <conditionalFormatting sqref="V21">
    <cfRule type="expression" dxfId="103" priority="237">
      <formula>$X$2=2</formula>
    </cfRule>
    <cfRule type="expression" dxfId="102" priority="238">
      <formula>$X$2=5</formula>
    </cfRule>
    <cfRule type="expression" dxfId="101" priority="239">
      <formula>$X$2=4</formula>
    </cfRule>
    <cfRule type="expression" dxfId="100" priority="240">
      <formula>$X$2=3</formula>
    </cfRule>
  </conditionalFormatting>
  <conditionalFormatting sqref="V22">
    <cfRule type="expression" dxfId="99" priority="233">
      <formula>$X$2=5</formula>
    </cfRule>
    <cfRule type="expression" dxfId="98" priority="234">
      <formula>$X$2=4</formula>
    </cfRule>
    <cfRule type="expression" dxfId="97" priority="235">
      <formula>$X$2=3</formula>
    </cfRule>
    <cfRule type="expression" dxfId="96" priority="236">
      <formula>$X$2=2</formula>
    </cfRule>
  </conditionalFormatting>
  <conditionalFormatting sqref="V23">
    <cfRule type="expression" dxfId="95" priority="229">
      <formula>$X$2=5</formula>
    </cfRule>
    <cfRule type="expression" dxfId="94" priority="230">
      <formula>$X$2=4</formula>
    </cfRule>
    <cfRule type="expression" dxfId="93" priority="231">
      <formula>$X$2=3</formula>
    </cfRule>
  </conditionalFormatting>
  <conditionalFormatting sqref="V21">
    <cfRule type="expression" dxfId="92" priority="222">
      <formula>$X$2=1</formula>
    </cfRule>
  </conditionalFormatting>
  <conditionalFormatting sqref="F21">
    <cfRule type="expression" dxfId="91" priority="220">
      <formula>$H$2=0</formula>
    </cfRule>
    <cfRule type="expression" dxfId="90" priority="221" stopIfTrue="1">
      <formula>(OR(H2="1",H2="2",H2="3"))</formula>
    </cfRule>
  </conditionalFormatting>
  <conditionalFormatting sqref="F22">
    <cfRule type="expression" dxfId="89" priority="219">
      <formula>(OR(H2="2",H2="3"))</formula>
    </cfRule>
  </conditionalFormatting>
  <conditionalFormatting sqref="F23">
    <cfRule type="cellIs" dxfId="88" priority="217" operator="equal">
      <formula>0</formula>
    </cfRule>
    <cfRule type="expression" dxfId="87" priority="218">
      <formula>(H2="3")</formula>
    </cfRule>
  </conditionalFormatting>
  <conditionalFormatting sqref="V21">
    <cfRule type="expression" dxfId="86" priority="216" stopIfTrue="1">
      <formula>(OR(X2="1",X2="2",X2="3"))</formula>
    </cfRule>
  </conditionalFormatting>
  <conditionalFormatting sqref="V22">
    <cfRule type="expression" dxfId="85" priority="214">
      <formula>(OR(X2="2",X2="3"))</formula>
    </cfRule>
  </conditionalFormatting>
  <conditionalFormatting sqref="V23">
    <cfRule type="expression" dxfId="84" priority="213">
      <formula>(X2="3")</formula>
    </cfRule>
  </conditionalFormatting>
  <conditionalFormatting sqref="AA8:AA9 AB8:AD8 C8:F9">
    <cfRule type="expression" dxfId="83" priority="100">
      <formula>(OR($E$2=3,$E$2=4,$E$2=5))</formula>
    </cfRule>
  </conditionalFormatting>
  <conditionalFormatting sqref="AA9:AD9 S14:V14 K9:N9 C14:F14">
    <cfRule type="containsText" dxfId="82" priority="4" operator="containsText" text="OFFICE">
      <formula>NOT(ISERROR(SEARCH("OFFICE",C9)))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8</vt:i4>
      </vt:variant>
    </vt:vector>
  </HeadingPairs>
  <TitlesOfParts>
    <vt:vector size="20" baseType="lpstr">
      <vt:lpstr>Données</vt:lpstr>
      <vt:lpstr>Tableau Général</vt:lpstr>
      <vt:lpstr>Poule 1 et 2</vt:lpstr>
      <vt:lpstr>Poule 3 et 4</vt:lpstr>
      <vt:lpstr>Poule 5 et 6</vt:lpstr>
      <vt:lpstr>Poule 7 et 8</vt:lpstr>
      <vt:lpstr>Poule 9 et 10</vt:lpstr>
      <vt:lpstr>Poule 11 et 12</vt:lpstr>
      <vt:lpstr>Poule 13 et 14</vt:lpstr>
      <vt:lpstr>Poule 15 et 16</vt:lpstr>
      <vt:lpstr>Manuel</vt:lpstr>
      <vt:lpstr>Feuil1</vt:lpstr>
      <vt:lpstr>Catégorie</vt:lpstr>
      <vt:lpstr>féminine</vt:lpstr>
      <vt:lpstr>Jeunes</vt:lpstr>
      <vt:lpstr>Masculin</vt:lpstr>
      <vt:lpstr>Série</vt:lpstr>
      <vt:lpstr>Manuel!Zone_d_impression</vt:lpstr>
      <vt:lpstr>'Poule 1 et 2'!Zone_d_impression</vt:lpstr>
      <vt:lpstr>'Poule 5 et 6'!Zone_d_impression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Alain</cp:lastModifiedBy>
  <cp:lastPrinted>2020-04-08T09:59:51Z</cp:lastPrinted>
  <dcterms:created xsi:type="dcterms:W3CDTF">2013-08-06T09:32:55Z</dcterms:created>
  <dcterms:modified xsi:type="dcterms:W3CDTF">2020-12-26T22:01:51Z</dcterms:modified>
</cp:coreProperties>
</file>