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210" windowWidth="12015" windowHeight="11340" tabRatio="570" firstSheet="1" activeTab="1"/>
  </bookViews>
  <sheets>
    <sheet name="Données" sheetId="10" state="hidden" r:id="rId1"/>
    <sheet name="Tableau Général" sheetId="16" r:id="rId2"/>
    <sheet name="Poule 1 et 2" sheetId="1" state="hidden" r:id="rId3"/>
    <sheet name="Poule 3 et 4" sheetId="2" state="hidden" r:id="rId4"/>
    <sheet name="Poule 5 et 6" sheetId="3" state="hidden" r:id="rId5"/>
    <sheet name="Poule 7 et 8" sheetId="4" state="hidden" r:id="rId6"/>
    <sheet name="Poule 9 et 10" sheetId="5" state="hidden" r:id="rId7"/>
    <sheet name="Poule 11 et 12" sheetId="6" state="hidden" r:id="rId8"/>
    <sheet name="Poule 13 et 14" sheetId="7" state="hidden" r:id="rId9"/>
    <sheet name="Poule 15 et 16" sheetId="8" state="hidden" r:id="rId10"/>
    <sheet name="parties élimin. 1.16ème" sheetId="14" state="hidden" r:id="rId11"/>
    <sheet name="Manuel" sheetId="15" state="hidden" r:id="rId12"/>
    <sheet name="Changements" sheetId="17" r:id="rId13"/>
  </sheets>
  <externalReferences>
    <externalReference r:id="rId14"/>
    <externalReference r:id="rId15"/>
  </externalReferences>
  <definedNames>
    <definedName name="Catégorie">Données!$A$2:$A$4</definedName>
    <definedName name="Féminine">Données!$C$2:$C$7</definedName>
    <definedName name="Jeunes">Données!$D$2:$D$9</definedName>
    <definedName name="Masculin">Données!$B$2:$B$6</definedName>
    <definedName name="Série">Données!$E$2:$E$5</definedName>
    <definedName name="_xlnm.Print_Area" localSheetId="2">'Poule 1 et 2'!$A$1:$AG$30</definedName>
    <definedName name="_xlnm.Print_Area" localSheetId="4">'Poule 5 et 6'!$A$1:$AF$26</definedName>
  </definedNames>
  <calcPr calcId="125725"/>
</workbook>
</file>

<file path=xl/calcChain.xml><?xml version="1.0" encoding="utf-8"?>
<calcChain xmlns="http://schemas.openxmlformats.org/spreadsheetml/2006/main">
  <c r="AE37" i="16"/>
  <c r="AE45" l="1"/>
  <c r="AE63"/>
  <c r="AE47"/>
  <c r="AE43"/>
  <c r="AY51"/>
  <c r="M18"/>
  <c r="F18" l="1"/>
  <c r="E18"/>
  <c r="H18"/>
  <c r="G18"/>
  <c r="J18"/>
  <c r="I18"/>
  <c r="L18"/>
  <c r="K18"/>
  <c r="N18"/>
  <c r="AE49" l="1"/>
  <c r="AE57"/>
  <c r="AE65"/>
  <c r="AE69"/>
  <c r="AE67"/>
  <c r="AE61"/>
  <c r="AE59"/>
  <c r="AE55"/>
  <c r="AE53"/>
  <c r="AE51"/>
  <c r="AE35"/>
  <c r="AE71"/>
  <c r="AC45"/>
  <c r="AC67"/>
  <c r="AC72"/>
  <c r="AC71"/>
  <c r="AC70"/>
  <c r="AC66"/>
  <c r="AC69"/>
  <c r="AC68"/>
  <c r="AC65"/>
  <c r="AC64"/>
  <c r="AC63"/>
  <c r="AC62"/>
  <c r="AC61"/>
  <c r="AC60"/>
  <c r="AC59"/>
  <c r="AC58"/>
  <c r="AC57"/>
  <c r="AC56"/>
  <c r="AC55"/>
  <c r="AC54"/>
  <c r="AC53"/>
  <c r="AC52"/>
  <c r="AG52" s="1"/>
  <c r="AC51"/>
  <c r="AC50"/>
  <c r="AC49"/>
  <c r="AC48"/>
  <c r="AG48" s="1"/>
  <c r="AC47"/>
  <c r="AC46"/>
  <c r="AC44"/>
  <c r="AG47" l="1"/>
  <c r="AN46" s="1"/>
  <c r="AG45"/>
  <c r="AN45" s="1"/>
  <c r="AE39"/>
  <c r="AG46"/>
  <c r="AN47" s="1"/>
  <c r="AC40"/>
  <c r="AG40" s="1"/>
  <c r="AC43"/>
  <c r="AG43" s="1"/>
  <c r="AN42" s="1"/>
  <c r="AC42"/>
  <c r="AG42" s="1"/>
  <c r="AN43" s="1"/>
  <c r="AC41"/>
  <c r="AG41" s="1"/>
  <c r="AN41" s="1"/>
  <c r="AC37"/>
  <c r="AG37" s="1"/>
  <c r="AN37" s="1"/>
  <c r="AC36"/>
  <c r="AC39"/>
  <c r="AG39" s="1"/>
  <c r="AN38" s="1"/>
  <c r="AC38"/>
  <c r="AG38" s="1"/>
  <c r="AN39" s="1"/>
  <c r="AG72"/>
  <c r="AG71"/>
  <c r="AN70" s="1"/>
  <c r="AG70"/>
  <c r="AN71" s="1"/>
  <c r="AG69"/>
  <c r="AN69" s="1"/>
  <c r="AG68"/>
  <c r="AG66"/>
  <c r="AN67" s="1"/>
  <c r="AG65"/>
  <c r="AN65" s="1"/>
  <c r="AG64"/>
  <c r="AN64" s="1"/>
  <c r="AG62"/>
  <c r="AN63" s="1"/>
  <c r="AG61"/>
  <c r="AN61" s="1"/>
  <c r="AG60"/>
  <c r="AG59"/>
  <c r="AN58" s="1"/>
  <c r="AG58"/>
  <c r="AN59" s="1"/>
  <c r="AG57"/>
  <c r="AN57" s="1"/>
  <c r="AG56"/>
  <c r="AG55"/>
  <c r="AN54" s="1"/>
  <c r="AG54"/>
  <c r="AN55" s="1"/>
  <c r="AG53"/>
  <c r="AN53" s="1"/>
  <c r="AG51"/>
  <c r="AN50" s="1"/>
  <c r="AG50"/>
  <c r="AN51" s="1"/>
  <c r="AG49"/>
  <c r="AN49" s="1"/>
  <c r="AG44"/>
  <c r="AG35"/>
  <c r="AN34" s="1"/>
  <c r="AG32"/>
  <c r="AN32" s="1"/>
  <c r="AG31"/>
  <c r="AG30"/>
  <c r="AN31" s="1"/>
  <c r="AG29"/>
  <c r="AN29" s="1"/>
  <c r="AG28"/>
  <c r="AN28" s="1"/>
  <c r="AG27"/>
  <c r="AN26" s="1"/>
  <c r="AG26"/>
  <c r="AN27" s="1"/>
  <c r="AG25"/>
  <c r="AN25" s="1"/>
  <c r="AG24"/>
  <c r="AN24" s="1"/>
  <c r="AG23"/>
  <c r="AN22" s="1"/>
  <c r="AG22"/>
  <c r="AN23" s="1"/>
  <c r="AG21"/>
  <c r="AN21" s="1"/>
  <c r="AG20"/>
  <c r="AN20" s="1"/>
  <c r="AG19"/>
  <c r="AG18"/>
  <c r="AN19" s="1"/>
  <c r="AG17"/>
  <c r="AN17" s="1"/>
  <c r="AG16"/>
  <c r="AG15"/>
  <c r="AG14"/>
  <c r="AN15" s="1"/>
  <c r="AG13"/>
  <c r="AN13" s="1"/>
  <c r="AG12"/>
  <c r="AG11"/>
  <c r="AG34"/>
  <c r="AN35" s="1"/>
  <c r="AG33"/>
  <c r="AN33" s="1"/>
  <c r="AG10"/>
  <c r="AN11" s="1"/>
  <c r="AG9"/>
  <c r="AN9" s="1"/>
  <c r="AG67"/>
  <c r="AN66" s="1"/>
  <c r="AG63"/>
  <c r="AN62" s="1"/>
  <c r="AE41"/>
  <c r="AE33"/>
  <c r="AE27"/>
  <c r="AE25"/>
  <c r="AE23"/>
  <c r="T18"/>
  <c r="S18"/>
  <c r="R18"/>
  <c r="Q18"/>
  <c r="P18"/>
  <c r="O18"/>
  <c r="T17"/>
  <c r="S17"/>
  <c r="R17"/>
  <c r="Q17"/>
  <c r="P17"/>
  <c r="O17"/>
  <c r="N17"/>
  <c r="M17"/>
  <c r="L17"/>
  <c r="K17"/>
  <c r="J17"/>
  <c r="I17"/>
  <c r="H17"/>
  <c r="G17"/>
  <c r="F17"/>
  <c r="E17"/>
  <c r="G11"/>
  <c r="BA4" s="1"/>
  <c r="G10"/>
  <c r="D3"/>
  <c r="C3"/>
  <c r="AN40" l="1"/>
  <c r="AF40"/>
  <c r="AN12"/>
  <c r="AN16"/>
  <c r="AN10"/>
  <c r="AN14"/>
  <c r="AF28"/>
  <c r="AF24"/>
  <c r="AI46"/>
  <c r="AI54"/>
  <c r="AI70"/>
  <c r="AI50"/>
  <c r="AI58"/>
  <c r="AI66"/>
  <c r="AF20"/>
  <c r="AN18"/>
  <c r="AF32"/>
  <c r="AN30"/>
  <c r="AF44"/>
  <c r="AN44"/>
  <c r="AF52"/>
  <c r="AN52"/>
  <c r="AF56"/>
  <c r="AN56"/>
  <c r="AF60"/>
  <c r="AN60"/>
  <c r="AF68"/>
  <c r="AN68"/>
  <c r="AF72"/>
  <c r="AN72"/>
  <c r="AF48"/>
  <c r="AN48"/>
  <c r="AI14"/>
  <c r="AI42"/>
  <c r="AY43" s="1"/>
  <c r="AI26"/>
  <c r="AI62"/>
  <c r="AI22"/>
  <c r="AI10"/>
  <c r="AI30"/>
  <c r="AI34"/>
  <c r="AI38"/>
  <c r="AI18"/>
  <c r="AY17" s="1"/>
  <c r="BV18" s="1"/>
  <c r="CC18" s="1"/>
  <c r="AF64"/>
  <c r="AG36"/>
  <c r="D17"/>
  <c r="D18"/>
  <c r="CZ7"/>
  <c r="CI20" l="1"/>
  <c r="CM20" s="1"/>
  <c r="CG18"/>
  <c r="AT46"/>
  <c r="AT47"/>
  <c r="AY59"/>
  <c r="AY47"/>
  <c r="AY55"/>
  <c r="R6"/>
  <c r="BX4" s="1"/>
  <c r="AY39"/>
  <c r="AT38"/>
  <c r="AT39"/>
  <c r="AY57"/>
  <c r="AY71"/>
  <c r="AY69"/>
  <c r="AY45"/>
  <c r="BV58" s="1"/>
  <c r="AY63"/>
  <c r="AY61"/>
  <c r="AY41"/>
  <c r="AT42"/>
  <c r="AY42" s="1"/>
  <c r="BV71" s="1"/>
  <c r="CC39" s="1"/>
  <c r="AT43"/>
  <c r="AY67"/>
  <c r="AY65"/>
  <c r="AY49"/>
  <c r="BV66" s="1"/>
  <c r="AY53"/>
  <c r="BV70" s="1"/>
  <c r="AY35"/>
  <c r="AT35"/>
  <c r="AY31"/>
  <c r="AT31"/>
  <c r="AT30"/>
  <c r="AY23"/>
  <c r="AT23"/>
  <c r="AT22"/>
  <c r="AY27"/>
  <c r="AT27"/>
  <c r="AT26"/>
  <c r="AY15"/>
  <c r="AT15"/>
  <c r="AT14"/>
  <c r="AY14" s="1"/>
  <c r="AY19"/>
  <c r="AT19"/>
  <c r="AT18"/>
  <c r="AY18" s="1"/>
  <c r="BV51" s="1"/>
  <c r="AY11"/>
  <c r="AT11"/>
  <c r="AT10"/>
  <c r="AF36"/>
  <c r="AN36"/>
  <c r="P10"/>
  <c r="CG38" l="1"/>
  <c r="CI37"/>
  <c r="BV31"/>
  <c r="BV50"/>
  <c r="CC19" s="1"/>
  <c r="CG19" s="1"/>
  <c r="BV47"/>
  <c r="B13" i="2"/>
  <c r="Z13" i="1"/>
  <c r="R13"/>
  <c r="J13"/>
  <c r="B13"/>
  <c r="H2" i="14"/>
  <c r="CO53" i="16" l="1"/>
  <c r="CM37"/>
  <c r="B3" i="1"/>
  <c r="X2" i="5" l="1"/>
  <c r="R3" i="1" l="1"/>
  <c r="R3" i="2"/>
  <c r="B3" i="3"/>
  <c r="R3"/>
  <c r="R3" i="4"/>
  <c r="B3"/>
  <c r="R3" i="5"/>
  <c r="B3"/>
  <c r="R3" i="6"/>
  <c r="B3"/>
  <c r="R3" i="7"/>
  <c r="B3"/>
  <c r="B3" i="8"/>
  <c r="R3"/>
  <c r="B3" i="2"/>
  <c r="AB2" i="7" l="1"/>
  <c r="L2"/>
  <c r="AB2" i="1"/>
  <c r="L2"/>
  <c r="AB2" i="2"/>
  <c r="L2"/>
  <c r="AB2" i="3"/>
  <c r="L2"/>
  <c r="AB2" i="4"/>
  <c r="L2"/>
  <c r="AB2" i="5"/>
  <c r="L2"/>
  <c r="AB2" i="6"/>
  <c r="L2"/>
  <c r="AB2" i="8"/>
  <c r="L2"/>
  <c r="H2" i="1"/>
  <c r="AA9" i="5" l="1"/>
  <c r="K9" i="4"/>
  <c r="AF1" i="8"/>
  <c r="P1"/>
  <c r="AF1" i="7"/>
  <c r="P1"/>
  <c r="AF1" i="6"/>
  <c r="P1"/>
  <c r="AF1" i="5"/>
  <c r="P1"/>
  <c r="P1" i="4"/>
  <c r="AF1"/>
  <c r="AF1" i="3"/>
  <c r="P1"/>
  <c r="AF1" i="2"/>
  <c r="P1"/>
  <c r="P1" i="1"/>
  <c r="AF1"/>
  <c r="K9" i="2"/>
  <c r="J2" i="14"/>
  <c r="AA9" i="1" l="1"/>
  <c r="E2" i="2"/>
  <c r="K9" i="3"/>
  <c r="K9" i="6"/>
  <c r="K9" i="7"/>
  <c r="K9" i="8"/>
  <c r="E2" i="1"/>
  <c r="AA9" i="2"/>
  <c r="AA9" i="3"/>
  <c r="S14" s="1"/>
  <c r="K9" i="5"/>
  <c r="AA9" i="6"/>
  <c r="AA9" i="7"/>
  <c r="AA9" i="8"/>
  <c r="AA9" i="4"/>
  <c r="AJ3" i="14" l="1"/>
  <c r="AK1" l="1"/>
  <c r="AC1"/>
  <c r="X1"/>
  <c r="Q14" i="7" l="1"/>
  <c r="Q13"/>
  <c r="S8" i="2"/>
  <c r="C9" l="1"/>
  <c r="C13" s="1"/>
  <c r="S9" i="1"/>
  <c r="S13" s="1"/>
  <c r="K9"/>
  <c r="K8" i="2"/>
  <c r="AA8" i="1"/>
  <c r="AA13" s="1"/>
  <c r="S8"/>
  <c r="AA14" s="1"/>
  <c r="AY13" i="16"/>
  <c r="BV14" s="1"/>
  <c r="CC14" s="1"/>
  <c r="AA8" i="8"/>
  <c r="AA13" s="1"/>
  <c r="AT70" i="16"/>
  <c r="AY70" s="1"/>
  <c r="BV27" s="1"/>
  <c r="S8" i="8"/>
  <c r="AA14" s="1"/>
  <c r="C9"/>
  <c r="C13" s="1"/>
  <c r="AT67" i="16"/>
  <c r="AA8" i="7"/>
  <c r="AA13" s="1"/>
  <c r="S8"/>
  <c r="AA14" s="1"/>
  <c r="C9"/>
  <c r="C13" s="1"/>
  <c r="AA8" i="6"/>
  <c r="AA13" s="1"/>
  <c r="S8"/>
  <c r="AA14" s="1"/>
  <c r="C9"/>
  <c r="C13" s="1"/>
  <c r="AA8" i="5"/>
  <c r="AA13" s="1"/>
  <c r="S8"/>
  <c r="AA14" s="1"/>
  <c r="C9"/>
  <c r="AA8" i="4"/>
  <c r="AA13" s="1"/>
  <c r="S8"/>
  <c r="AA14" s="1"/>
  <c r="C9"/>
  <c r="AA8" i="3"/>
  <c r="AA13" s="1"/>
  <c r="S8"/>
  <c r="AA14" s="1"/>
  <c r="C9"/>
  <c r="AA8" i="2"/>
  <c r="AA13" s="1"/>
  <c r="S9" i="8"/>
  <c r="S13" s="1"/>
  <c r="AT71" i="16"/>
  <c r="K8" i="8"/>
  <c r="K13" s="1"/>
  <c r="AT66" i="16"/>
  <c r="AY66" s="1"/>
  <c r="BV35" s="1"/>
  <c r="C8" i="8"/>
  <c r="K14" s="1"/>
  <c r="S9" i="7"/>
  <c r="S13" s="1"/>
  <c r="K8"/>
  <c r="K13" s="1"/>
  <c r="C8"/>
  <c r="K14" s="1"/>
  <c r="S9" i="6"/>
  <c r="S13" s="1"/>
  <c r="K8"/>
  <c r="K13" s="1"/>
  <c r="C8"/>
  <c r="K14" s="1"/>
  <c r="S9" i="5"/>
  <c r="S13" s="1"/>
  <c r="K8"/>
  <c r="K13" s="1"/>
  <c r="C8"/>
  <c r="K14" s="1"/>
  <c r="S9" i="4"/>
  <c r="S13" s="1"/>
  <c r="K8"/>
  <c r="K13" s="1"/>
  <c r="C8"/>
  <c r="K14" s="1"/>
  <c r="S9" i="3"/>
  <c r="K8"/>
  <c r="K13" s="1"/>
  <c r="C8"/>
  <c r="K14" s="1"/>
  <c r="S9" i="2"/>
  <c r="S13" s="1"/>
  <c r="K13"/>
  <c r="AA14"/>
  <c r="S14"/>
  <c r="C14" i="4"/>
  <c r="S14"/>
  <c r="C14" i="6"/>
  <c r="C14" i="7"/>
  <c r="C14" i="8"/>
  <c r="S14" i="1"/>
  <c r="C14" i="2"/>
  <c r="S14" i="5"/>
  <c r="S14" i="6"/>
  <c r="S14" i="7"/>
  <c r="S14" i="8"/>
  <c r="AF14" i="7"/>
  <c r="AF13"/>
  <c r="AT58" i="16" l="1"/>
  <c r="AY58" s="1"/>
  <c r="BV19" s="1"/>
  <c r="C13" i="4"/>
  <c r="C14" i="5"/>
  <c r="C13"/>
  <c r="C14" i="3"/>
  <c r="C13"/>
  <c r="S13"/>
  <c r="AT59" i="16" l="1"/>
  <c r="C8" i="1" l="1"/>
  <c r="K14" s="1"/>
  <c r="AY9" i="16"/>
  <c r="BV10" s="1"/>
  <c r="CC10" s="1"/>
  <c r="CI12" s="1"/>
  <c r="C9" i="1"/>
  <c r="K8"/>
  <c r="K13" s="1"/>
  <c r="C13"/>
  <c r="AC1" i="8"/>
  <c r="Y1"/>
  <c r="CM12" i="16" l="1"/>
  <c r="AY10"/>
  <c r="BV46" s="1"/>
  <c r="CC15" s="1"/>
  <c r="CI13" s="1"/>
  <c r="U1" i="8"/>
  <c r="M1"/>
  <c r="I1"/>
  <c r="E1"/>
  <c r="CO16" i="16" l="1"/>
  <c r="CU20" s="1"/>
  <c r="CM13"/>
  <c r="CO46"/>
  <c r="AC1" i="7"/>
  <c r="Y1"/>
  <c r="U1"/>
  <c r="M1"/>
  <c r="I1"/>
  <c r="E1"/>
  <c r="AC1" i="6"/>
  <c r="Y1"/>
  <c r="U1"/>
  <c r="M1"/>
  <c r="I1"/>
  <c r="E1"/>
  <c r="CS16" i="16" l="1"/>
  <c r="AC1" i="5"/>
  <c r="Y1"/>
  <c r="U1"/>
  <c r="M1"/>
  <c r="I1"/>
  <c r="E1"/>
  <c r="AC1" i="4" l="1"/>
  <c r="Y1"/>
  <c r="U1"/>
  <c r="M1"/>
  <c r="I1"/>
  <c r="E1"/>
  <c r="AC1" i="3" l="1"/>
  <c r="Y1"/>
  <c r="U1"/>
  <c r="M1"/>
  <c r="I1"/>
  <c r="E1"/>
  <c r="AC1" i="2" l="1"/>
  <c r="Y1"/>
  <c r="U1"/>
  <c r="M1"/>
  <c r="I1"/>
  <c r="E1"/>
  <c r="AF14" i="1" l="1"/>
  <c r="AF13" l="1"/>
  <c r="C14" l="1"/>
  <c r="AC1" l="1"/>
  <c r="Y1"/>
  <c r="U1"/>
  <c r="M1"/>
  <c r="I1"/>
  <c r="E1"/>
  <c r="X2" i="8" l="1"/>
  <c r="H2"/>
  <c r="X2" i="7"/>
  <c r="H2"/>
  <c r="X2" i="6"/>
  <c r="H2"/>
  <c r="H2" i="5"/>
  <c r="X2" i="4"/>
  <c r="H2"/>
  <c r="X2" i="3"/>
  <c r="H2"/>
  <c r="X2" i="2"/>
  <c r="H2"/>
  <c r="X2" i="1" l="1"/>
  <c r="U2" i="8"/>
  <c r="E2"/>
  <c r="E2" i="7"/>
  <c r="U2" i="4" l="1"/>
  <c r="AA7" s="1"/>
  <c r="U2" i="5"/>
  <c r="V3" s="1"/>
  <c r="V23" s="1"/>
  <c r="U2" i="6"/>
  <c r="AA7" s="1"/>
  <c r="U2" i="7"/>
  <c r="AA7" s="1"/>
  <c r="E2" i="5"/>
  <c r="F3" s="1"/>
  <c r="F23" s="1"/>
  <c r="E2" i="6"/>
  <c r="K7" s="1"/>
  <c r="J3" i="14"/>
  <c r="AA7" i="8"/>
  <c r="K7" i="7"/>
  <c r="K7" i="8"/>
  <c r="V3"/>
  <c r="V23" s="1"/>
  <c r="F3"/>
  <c r="F23" s="1"/>
  <c r="F3" i="7"/>
  <c r="F23" s="1"/>
  <c r="AT63" i="16" l="1"/>
  <c r="AT51"/>
  <c r="BV42"/>
  <c r="CC11" s="1"/>
  <c r="AY37"/>
  <c r="AT50"/>
  <c r="AY50" s="1"/>
  <c r="BV15" s="1"/>
  <c r="AT62"/>
  <c r="AY62" s="1"/>
  <c r="BV23" s="1"/>
  <c r="AT54"/>
  <c r="AY54" s="1"/>
  <c r="BV11" s="1"/>
  <c r="AT55"/>
  <c r="AY46"/>
  <c r="K7" i="5"/>
  <c r="AA7"/>
  <c r="F3" i="6"/>
  <c r="F23" s="1"/>
  <c r="V3" i="7"/>
  <c r="V23" s="1"/>
  <c r="V3" i="6"/>
  <c r="V23" s="1"/>
  <c r="V3" i="4"/>
  <c r="V23" s="1"/>
  <c r="E2"/>
  <c r="F3" s="1"/>
  <c r="F23" s="1"/>
  <c r="D20" i="14" s="1"/>
  <c r="U2" i="3"/>
  <c r="AA7" s="1"/>
  <c r="F21" i="5"/>
  <c r="G17"/>
  <c r="G18"/>
  <c r="F21" i="7"/>
  <c r="G17"/>
  <c r="G18"/>
  <c r="V21" i="5"/>
  <c r="J22" i="14" s="1"/>
  <c r="W17" i="5"/>
  <c r="W18"/>
  <c r="G18" i="8"/>
  <c r="F21"/>
  <c r="G17"/>
  <c r="W18"/>
  <c r="W17"/>
  <c r="V21"/>
  <c r="BV43" i="16" l="1"/>
  <c r="BV62"/>
  <c r="BV38"/>
  <c r="CC38" s="1"/>
  <c r="CG39" s="1"/>
  <c r="AY38"/>
  <c r="AY29"/>
  <c r="AY33"/>
  <c r="BV34" s="1"/>
  <c r="CC34" s="1"/>
  <c r="CG35" s="1"/>
  <c r="AY30"/>
  <c r="AT34"/>
  <c r="AY34" s="1"/>
  <c r="BV63" s="1"/>
  <c r="CC31" s="1"/>
  <c r="J16" i="14"/>
  <c r="F21" i="6"/>
  <c r="J25" i="14" s="1"/>
  <c r="W18" i="6"/>
  <c r="G18"/>
  <c r="K7" i="4"/>
  <c r="V21" i="6"/>
  <c r="J28" i="14" s="1"/>
  <c r="G17" i="6"/>
  <c r="F22" s="1"/>
  <c r="D11" i="14" s="1"/>
  <c r="W18" i="7"/>
  <c r="V21"/>
  <c r="W17"/>
  <c r="W17" i="4"/>
  <c r="W18"/>
  <c r="V21"/>
  <c r="J8" i="14" s="1"/>
  <c r="W17" i="6"/>
  <c r="V22" s="1"/>
  <c r="D8" i="14" s="1"/>
  <c r="V3" i="3"/>
  <c r="V23" s="1"/>
  <c r="E2"/>
  <c r="K7" s="1"/>
  <c r="V22" i="7"/>
  <c r="F22" i="8"/>
  <c r="F22" i="7"/>
  <c r="D14" i="14" s="1"/>
  <c r="V22" i="4"/>
  <c r="D28" i="14" s="1"/>
  <c r="F22" i="5"/>
  <c r="D17" i="14"/>
  <c r="V22" i="5"/>
  <c r="J19" i="14" s="1"/>
  <c r="F21" i="4"/>
  <c r="D25" i="14" s="1"/>
  <c r="G17" i="4"/>
  <c r="G18"/>
  <c r="V22" i="8"/>
  <c r="U2" i="1"/>
  <c r="CG30" i="16" l="1"/>
  <c r="CI29"/>
  <c r="BV59"/>
  <c r="CC27" s="1"/>
  <c r="CG27" s="1"/>
  <c r="BV67"/>
  <c r="CC35" s="1"/>
  <c r="BV30"/>
  <c r="CC30" s="1"/>
  <c r="CG31" s="1"/>
  <c r="CG14"/>
  <c r="AY25"/>
  <c r="BV26" s="1"/>
  <c r="CC26" s="1"/>
  <c r="J13" i="14"/>
  <c r="V21" i="3"/>
  <c r="D22" i="14" s="1"/>
  <c r="W17" i="3"/>
  <c r="V22" s="1"/>
  <c r="J14" i="14" s="1"/>
  <c r="W18" i="3"/>
  <c r="F3"/>
  <c r="F23" s="1"/>
  <c r="J7" i="14" s="1"/>
  <c r="AY26" i="16"/>
  <c r="BV55" s="1"/>
  <c r="U2" i="2"/>
  <c r="AA7" s="1"/>
  <c r="F22" i="4"/>
  <c r="J11" i="14" s="1"/>
  <c r="AA7" i="1"/>
  <c r="K7" i="2"/>
  <c r="F3"/>
  <c r="F23" s="1"/>
  <c r="CM29" i="16" l="1"/>
  <c r="CI28"/>
  <c r="CG26"/>
  <c r="CI36"/>
  <c r="CG34"/>
  <c r="CG15"/>
  <c r="AY21"/>
  <c r="D26" i="14"/>
  <c r="Q8"/>
  <c r="G17" i="3"/>
  <c r="F22" s="1"/>
  <c r="J23" i="14" s="1"/>
  <c r="G18" i="3"/>
  <c r="F21"/>
  <c r="D19" i="14" s="1"/>
  <c r="V3" i="2"/>
  <c r="V23" s="1"/>
  <c r="Q25" i="14" s="1"/>
  <c r="C28" i="2"/>
  <c r="G17"/>
  <c r="G18"/>
  <c r="F3" i="1"/>
  <c r="F23" s="1"/>
  <c r="D23" i="14" s="1"/>
  <c r="V3" i="1"/>
  <c r="V23" s="1"/>
  <c r="D29" i="14" s="1"/>
  <c r="K7" i="1"/>
  <c r="CO25" i="16" l="1"/>
  <c r="CU37" s="1"/>
  <c r="CM36"/>
  <c r="CO52"/>
  <c r="CM28"/>
  <c r="CO24"/>
  <c r="BV22"/>
  <c r="CC22" s="1"/>
  <c r="CG23" s="1"/>
  <c r="CG10"/>
  <c r="AY22"/>
  <c r="CG11"/>
  <c r="J10" i="14"/>
  <c r="Q28"/>
  <c r="Q19"/>
  <c r="V21" i="2"/>
  <c r="D13" i="14" s="1"/>
  <c r="F22" i="2"/>
  <c r="D16" i="14" s="1"/>
  <c r="Q22"/>
  <c r="Q14"/>
  <c r="G17" i="1"/>
  <c r="F21"/>
  <c r="D7" i="14" s="1"/>
  <c r="W17" i="1"/>
  <c r="W18"/>
  <c r="G18"/>
  <c r="V21"/>
  <c r="D10" i="14" s="1"/>
  <c r="W18" i="2"/>
  <c r="W17"/>
  <c r="X1" i="8"/>
  <c r="H1"/>
  <c r="X1" i="7"/>
  <c r="H1" i="6"/>
  <c r="H1" i="7"/>
  <c r="X1" i="6"/>
  <c r="H1" i="5"/>
  <c r="X1"/>
  <c r="X1" i="4"/>
  <c r="H1"/>
  <c r="X1" i="3"/>
  <c r="H1"/>
  <c r="X1" i="2"/>
  <c r="H1"/>
  <c r="X1" i="1"/>
  <c r="H1"/>
  <c r="CS23" i="16" l="1"/>
  <c r="CS22"/>
  <c r="CU21"/>
  <c r="CS53"/>
  <c r="CU53" s="1"/>
  <c r="CS52"/>
  <c r="CU47" s="1"/>
  <c r="BV54"/>
  <c r="CC23" s="1"/>
  <c r="BV39"/>
  <c r="Q16" i="14"/>
  <c r="F22" i="1"/>
  <c r="J29" i="14" s="1"/>
  <c r="V22" i="2"/>
  <c r="J17" i="14" s="1"/>
  <c r="Q10"/>
  <c r="Q7"/>
  <c r="CG22" i="16" l="1"/>
  <c r="CI21"/>
  <c r="BY4"/>
  <c r="Q17" i="14"/>
  <c r="Q29"/>
  <c r="U26"/>
  <c r="U29"/>
  <c r="U8"/>
  <c r="U19"/>
  <c r="V22" i="1"/>
  <c r="J26" i="14" s="1"/>
  <c r="W20"/>
  <c r="CO17" i="16" l="1"/>
  <c r="CU36" s="1"/>
  <c r="CY36" s="1"/>
  <c r="DB19" s="1"/>
  <c r="CM21"/>
  <c r="CO47"/>
  <c r="CS47" s="1"/>
  <c r="CU52" s="1"/>
  <c r="U17" i="14"/>
  <c r="AA20"/>
  <c r="AC26" s="1"/>
  <c r="AG26" s="1"/>
  <c r="AI30" s="1"/>
  <c r="Q11"/>
  <c r="Q26"/>
  <c r="U16"/>
  <c r="W14"/>
  <c r="U14"/>
  <c r="U22"/>
  <c r="W26"/>
  <c r="CS17" i="16" l="1"/>
  <c r="CY52"/>
  <c r="DB23" s="1"/>
  <c r="CY53"/>
  <c r="DB24" s="1"/>
  <c r="AA26" i="14"/>
  <c r="AC20" s="1"/>
  <c r="AG20" s="1"/>
  <c r="AI29" s="1"/>
  <c r="U11"/>
  <c r="AA14"/>
  <c r="AC25" s="1"/>
  <c r="AG25" s="1"/>
  <c r="AI25" s="1"/>
  <c r="AM25" s="1"/>
  <c r="AP19" s="1"/>
  <c r="AM30"/>
  <c r="AP21" s="1"/>
  <c r="U7"/>
  <c r="W7"/>
  <c r="U25"/>
  <c r="U10"/>
  <c r="W8"/>
  <c r="U28"/>
  <c r="C8" i="2" l="1"/>
  <c r="K14" s="1"/>
  <c r="AA8" i="14"/>
  <c r="AC19" s="1"/>
  <c r="AG19" s="1"/>
  <c r="AI24" s="1"/>
  <c r="AA7"/>
  <c r="AC7" s="1"/>
  <c r="AM29"/>
  <c r="AP20" s="1"/>
  <c r="AG7" l="1"/>
  <c r="AI10" s="1"/>
  <c r="F21" i="2"/>
  <c r="CS46" i="16" l="1"/>
  <c r="CU46" s="1"/>
  <c r="CY37"/>
  <c r="DB20" s="1"/>
  <c r="J20" i="14"/>
  <c r="Q20" s="1"/>
  <c r="W25"/>
  <c r="AM10"/>
  <c r="AP14" s="1"/>
  <c r="AM24"/>
  <c r="AP18" s="1"/>
  <c r="Q23"/>
  <c r="Q13"/>
  <c r="W19"/>
  <c r="CY47" i="16" l="1"/>
  <c r="DB22" s="1"/>
  <c r="CY46"/>
  <c r="DB21" s="1"/>
  <c r="CY20"/>
  <c r="DB17" s="1"/>
  <c r="AA25" i="14"/>
  <c r="AC14" s="1"/>
  <c r="U20"/>
  <c r="AA19"/>
  <c r="AC13" s="1"/>
  <c r="U23"/>
  <c r="U13"/>
  <c r="W13"/>
  <c r="CY21" i="16" l="1"/>
  <c r="DB18" s="1"/>
  <c r="AG14" i="14"/>
  <c r="AI20" s="1"/>
  <c r="AG13"/>
  <c r="AI11" s="1"/>
  <c r="AA13"/>
  <c r="AC8" s="1"/>
  <c r="AM20" l="1"/>
  <c r="AP17" s="1"/>
  <c r="AG8"/>
  <c r="AI19" s="1"/>
  <c r="AM11"/>
  <c r="AP15" s="1"/>
  <c r="AM19" l="1"/>
  <c r="AP16" s="1"/>
</calcChain>
</file>

<file path=xl/sharedStrings.xml><?xml version="1.0" encoding="utf-8"?>
<sst xmlns="http://schemas.openxmlformats.org/spreadsheetml/2006/main" count="1078" uniqueCount="346">
  <si>
    <t>Score</t>
  </si>
  <si>
    <t>Jeu</t>
  </si>
  <si>
    <t>Parties éliminatoires (Championnat et Repêchage)</t>
  </si>
  <si>
    <t>1/8èmes de Finale</t>
  </si>
  <si>
    <t>1/4 de Finale</t>
  </si>
  <si>
    <t>Championnat</t>
  </si>
  <si>
    <t>1/2 Finale</t>
  </si>
  <si>
    <t>Repêchage</t>
  </si>
  <si>
    <t xml:space="preserve"> Finale</t>
  </si>
  <si>
    <t>1/16èmes de Finale</t>
  </si>
  <si>
    <t>A</t>
  </si>
  <si>
    <t>B</t>
  </si>
  <si>
    <t>Poule 3</t>
  </si>
  <si>
    <t>Poule 4</t>
  </si>
  <si>
    <t>Equipes</t>
  </si>
  <si>
    <t>Qualifiés</t>
  </si>
  <si>
    <t>Nombre d'équipes participantes</t>
  </si>
  <si>
    <t>Année</t>
  </si>
  <si>
    <t>Poule 1</t>
  </si>
  <si>
    <t>Poule 2</t>
  </si>
  <si>
    <t>Poule 5</t>
  </si>
  <si>
    <t>Poule 6</t>
  </si>
  <si>
    <t>Poule 7</t>
  </si>
  <si>
    <t>Poule 8</t>
  </si>
  <si>
    <t>Poule 9</t>
  </si>
  <si>
    <t>Poule 10</t>
  </si>
  <si>
    <t>Poule 11</t>
  </si>
  <si>
    <t>Poule 12</t>
  </si>
  <si>
    <t>Poule 13</t>
  </si>
  <si>
    <t>Poule 14</t>
  </si>
  <si>
    <t>Poule 15</t>
  </si>
  <si>
    <t>Poule 16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</si>
  <si>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</si>
  <si>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</si>
  <si>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</si>
  <si>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</si>
  <si>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</si>
  <si>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</si>
  <si>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</si>
  <si>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</si>
  <si>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</si>
  <si>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</si>
  <si>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</si>
  <si>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</si>
  <si>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</si>
  <si>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</si>
  <si>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</si>
  <si>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</si>
  <si>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D</t>
  </si>
  <si>
    <t>E</t>
  </si>
  <si>
    <t>Nombre d'équipes qualifiées au Ch de France :</t>
  </si>
  <si>
    <t>Fédéral du Comité de l'Ardèche</t>
  </si>
  <si>
    <t>Année:</t>
  </si>
  <si>
    <t>Type:</t>
  </si>
  <si>
    <t>Division(s):</t>
  </si>
  <si>
    <t>1ère PARTIE</t>
  </si>
  <si>
    <t>2ème PARTIE</t>
  </si>
  <si>
    <t>C</t>
  </si>
  <si>
    <t>F</t>
  </si>
  <si>
    <t>G</t>
  </si>
  <si>
    <t>H</t>
  </si>
  <si>
    <t>K</t>
  </si>
  <si>
    <t>L</t>
  </si>
  <si>
    <t>M</t>
  </si>
  <si>
    <t>N</t>
  </si>
  <si>
    <t>P</t>
  </si>
  <si>
    <t>R</t>
  </si>
  <si>
    <t>S</t>
  </si>
  <si>
    <t>T</t>
  </si>
  <si>
    <t>TIRAGE</t>
  </si>
  <si>
    <t>NOMS</t>
  </si>
  <si>
    <t>AS</t>
  </si>
  <si>
    <t xml:space="preserve">Nombre d'équipes qualifiées </t>
  </si>
  <si>
    <t>Classement</t>
  </si>
  <si>
    <t>Gagnants</t>
  </si>
  <si>
    <t>Perdants</t>
  </si>
  <si>
    <t>Vérouillage: AB</t>
  </si>
  <si>
    <t>Nb équ. par poule</t>
  </si>
  <si>
    <t xml:space="preserve">FEDERAL  DE </t>
  </si>
  <si>
    <t>jeux</t>
  </si>
  <si>
    <t>A2</t>
  </si>
  <si>
    <t>A3</t>
  </si>
  <si>
    <t>A4</t>
  </si>
  <si>
    <t>A5</t>
  </si>
  <si>
    <t>A6</t>
  </si>
  <si>
    <t>C2</t>
  </si>
  <si>
    <t>C3</t>
  </si>
  <si>
    <t>C4</t>
  </si>
  <si>
    <t>B5</t>
  </si>
  <si>
    <t>C5</t>
  </si>
  <si>
    <t>B6</t>
  </si>
  <si>
    <t>C6</t>
  </si>
  <si>
    <t>D6</t>
  </si>
  <si>
    <t>A7</t>
  </si>
  <si>
    <t>B7</t>
  </si>
  <si>
    <t>C7</t>
  </si>
  <si>
    <t>D7</t>
  </si>
  <si>
    <t>A8</t>
  </si>
  <si>
    <t>B8</t>
  </si>
  <si>
    <t>C8</t>
  </si>
  <si>
    <t>D8</t>
  </si>
  <si>
    <t>A9</t>
  </si>
  <si>
    <t>B9</t>
  </si>
  <si>
    <t>C9</t>
  </si>
  <si>
    <t>D9</t>
  </si>
  <si>
    <t>A10</t>
  </si>
  <si>
    <t>B10</t>
  </si>
  <si>
    <t>C10</t>
  </si>
  <si>
    <t>D10</t>
  </si>
  <si>
    <t>A11</t>
  </si>
  <si>
    <t>B11</t>
  </si>
  <si>
    <t>C11</t>
  </si>
  <si>
    <t>D11</t>
  </si>
  <si>
    <t>A12</t>
  </si>
  <si>
    <t>B12</t>
  </si>
  <si>
    <t>A1</t>
  </si>
  <si>
    <t>C1</t>
  </si>
  <si>
    <t>Poules</t>
  </si>
  <si>
    <t>C12</t>
  </si>
  <si>
    <t>D12</t>
  </si>
  <si>
    <t>A13</t>
  </si>
  <si>
    <t>B13</t>
  </si>
  <si>
    <t>C13</t>
  </si>
  <si>
    <t>D13</t>
  </si>
  <si>
    <t>A14</t>
  </si>
  <si>
    <t>B14</t>
  </si>
  <si>
    <t>C14</t>
  </si>
  <si>
    <t>D14</t>
  </si>
  <si>
    <t>A15</t>
  </si>
  <si>
    <t>B15</t>
  </si>
  <si>
    <t>C15</t>
  </si>
  <si>
    <t>D15</t>
  </si>
  <si>
    <t>A16</t>
  </si>
  <si>
    <t>B16</t>
  </si>
  <si>
    <t>C16</t>
  </si>
  <si>
    <t>D16</t>
  </si>
  <si>
    <t>.</t>
  </si>
  <si>
    <t>Nbre Eq.</t>
  </si>
  <si>
    <t>Nbre Q. P.</t>
  </si>
  <si>
    <t>Nb de qualifiés Poules</t>
  </si>
  <si>
    <t>1 à 64</t>
  </si>
  <si>
    <t>TIRAGE 32 EQ.</t>
  </si>
  <si>
    <t>D5</t>
  </si>
  <si>
    <t>Code verrouillage AB</t>
  </si>
  <si>
    <t>7 à 32 jeux</t>
  </si>
  <si>
    <t xml:space="preserve">Nbre éq. </t>
  </si>
  <si>
    <t xml:space="preserve">1er </t>
  </si>
  <si>
    <t xml:space="preserve">2ème </t>
  </si>
  <si>
    <t xml:space="preserve">3ème </t>
  </si>
  <si>
    <t>Nbre éq.</t>
  </si>
  <si>
    <t xml:space="preserve">FEDERAL DE </t>
  </si>
  <si>
    <t>1er  et  2ème place</t>
  </si>
  <si>
    <t>3ème et 4ème place</t>
  </si>
  <si>
    <t>=SI(OU(A2=83;A2=9;A2=10;A2=87);"OFFICE";SI(ET(Z3=2);P1;SI(ET(G7=G8);"Perdant 1/4";0)))</t>
  </si>
  <si>
    <t>5ème  et  6ème  place</t>
  </si>
  <si>
    <t>7ème et 8ème place</t>
  </si>
  <si>
    <t>'=SI(OU(A2=0);"OFFICE";SI(ET(A2=85;G7=G8);"résultat";SI(ET(A2&gt;80;A2&lt;85);'Poule 1 et 2'!H25;SI(ET(A2&gt;84;A2&lt;87);H7;SI(ET(A2&gt;90;A2&lt;97);H7;SI(ET(A2&gt;99;A2&lt;169);H7;0))))))</t>
  </si>
  <si>
    <t>Barrages</t>
  </si>
  <si>
    <t>poules</t>
  </si>
  <si>
    <t>NOM</t>
  </si>
  <si>
    <t>score</t>
  </si>
  <si>
    <t>Jeux</t>
  </si>
  <si>
    <t>1/4  de Finale</t>
  </si>
  <si>
    <t>1/2  Finale</t>
  </si>
  <si>
    <t>FINALE</t>
  </si>
  <si>
    <t>=SI(OU(ET(B3&gt;0;B3&lt;0));5;SI(OU(ET(B3&gt;0;R3&lt;0));0;0))</t>
  </si>
  <si>
    <t>=SI(OU(ET(R3&gt;0;R3&lt;0));6;SI(OU(ET(R3&gt;0;R3&lt;0));0;0))</t>
  </si>
  <si>
    <r>
      <t xml:space="preserve"> </t>
    </r>
    <r>
      <rPr>
        <u/>
        <sz val="14"/>
        <color theme="1"/>
        <rFont val="Times New Roman"/>
        <family val="1"/>
      </rPr>
      <t>Remarque</t>
    </r>
    <r>
      <rPr>
        <sz val="14"/>
        <color theme="1"/>
        <rFont val="Times New Roman"/>
        <family val="1"/>
      </rPr>
      <t>: Phase 2, les perdants de la Phase 1 sont sur la gauche de l'écran et les gagnants sur la droite</t>
    </r>
  </si>
  <si>
    <t>'=SI(OU(ET(R3&gt;170;R3&lt;176));9;SI(OU(ET(B3=173));" ";SI(ET(B3=176));" ";SI(OU(ET(R3&gt;0;R3&lt;0));0;0)))</t>
  </si>
  <si>
    <t>'=SI(OU(ET(B3&gt;170;B3&lt;176));7;SI(OU(ET(B3=173));" ";SI(ET((B3=176));" ";SI(OU(ET(B3&gt;0;B3&lt;0));0;0))))</t>
  </si>
  <si>
    <t>Barrage</t>
  </si>
  <si>
    <t>;ET(J10&gt;0;J10&lt;0);ET(J10&gt;0;J10&lt;0);ET(J10&gt;0;J10&lt;0);ET(J10&gt;0;J10&lt;0);ET(J10&gt;0;J10&lt;0);ET(J10&gt;0;J10&lt;0);ET(J10&gt;0;J10&lt;0)</t>
  </si>
  <si>
    <t>'=SI(F3+G3=0;" ";SI($F$3+$G$3=43;SI($G$13=$G$14;"résultat";SI($G$13&gt;$G$14;$C$13;$C$14));(SI($F$3+$G$3=42;"&amp;";(SI($F$3+$G$3=32;"&amp;"))))))</t>
  </si>
  <si>
    <t>B7-C9</t>
  </si>
  <si>
    <t>B8-A9</t>
  </si>
  <si>
    <t>=SI(OU(H3&lt;17);"OFFICE";SI(ET(F2&gt;300;F2&lt;649);'Poule 1 et 2'!$F21))</t>
  </si>
  <si>
    <t>B10-C11</t>
  </si>
  <si>
    <t>B9-C12</t>
  </si>
  <si>
    <t>B10-A12</t>
  </si>
  <si>
    <t>B6-C14</t>
  </si>
  <si>
    <t>B5-A14</t>
  </si>
  <si>
    <t>B3-C15</t>
  </si>
  <si>
    <t>B4-A15</t>
  </si>
  <si>
    <t>B7-A13</t>
  </si>
  <si>
    <t>B8-C13</t>
  </si>
  <si>
    <t>B1-C16</t>
  </si>
  <si>
    <t>B8-C10</t>
  </si>
  <si>
    <t>B9-A10</t>
  </si>
  <si>
    <t>C9-B9-A11</t>
  </si>
  <si>
    <t>B2-A16</t>
  </si>
  <si>
    <t>'=SI(OU(G2&lt;320);"OFFICE";SI(ET(G2&gt;320;G2&lt;330);'Poule 7 et 8'!V23;SI(ET(G2&gt;330;G2&lt;370);'Poule 9 et 10'!F21;SI(ET(G2&gt;370;G2&lt;649);'Poule 9 et 10'!F21))))</t>
  </si>
  <si>
    <t>3ème place</t>
  </si>
  <si>
    <t>Repéchâge</t>
  </si>
  <si>
    <t>Equipes Qualifiées au CH. De FR.</t>
  </si>
  <si>
    <t>Qualifiés CH; de FR.</t>
  </si>
  <si>
    <t>1/8 ème de Finale</t>
  </si>
  <si>
    <t>1/16 ème de Finale</t>
  </si>
  <si>
    <t>I</t>
  </si>
  <si>
    <t>J</t>
  </si>
  <si>
    <t>O</t>
  </si>
  <si>
    <t>B3</t>
  </si>
  <si>
    <t>B4</t>
  </si>
  <si>
    <t>Nbre Offices</t>
  </si>
  <si>
    <t>de 33 à 64 Equipes</t>
  </si>
  <si>
    <t>B1</t>
  </si>
  <si>
    <t>D1</t>
  </si>
  <si>
    <t>B2</t>
  </si>
  <si>
    <t>D2</t>
  </si>
  <si>
    <t>D3</t>
  </si>
  <si>
    <t>D4</t>
  </si>
  <si>
    <t>OFF</t>
  </si>
  <si>
    <t>AY14</t>
  </si>
  <si>
    <t>AY13</t>
  </si>
  <si>
    <t>AY34</t>
  </si>
  <si>
    <t>AY17</t>
  </si>
  <si>
    <t>AY21</t>
  </si>
  <si>
    <t>AY25</t>
  </si>
  <si>
    <t>AY29</t>
  </si>
  <si>
    <t>AY33</t>
  </si>
  <si>
    <t>AY37</t>
  </si>
  <si>
    <t>AY41</t>
  </si>
  <si>
    <t>AY45</t>
  </si>
  <si>
    <t>AY42</t>
  </si>
  <si>
    <t>AY46</t>
  </si>
  <si>
    <t>AY49</t>
  </si>
  <si>
    <t>AY50</t>
  </si>
  <si>
    <t>AY53</t>
  </si>
  <si>
    <t>AY57</t>
  </si>
  <si>
    <t>AY61</t>
  </si>
  <si>
    <t>AY65</t>
  </si>
  <si>
    <t>AY69</t>
  </si>
  <si>
    <t>AY30</t>
  </si>
  <si>
    <t>AY26</t>
  </si>
  <si>
    <t>AY22</t>
  </si>
  <si>
    <t>AY18</t>
  </si>
  <si>
    <t>AY38</t>
  </si>
  <si>
    <t>Cellule Jaune avec le curseur afficher le nombre d'équipes engagées cellule G10</t>
  </si>
  <si>
    <t>et le nombre d'équipes qualifiées cellule bleue G11</t>
  </si>
  <si>
    <t>Effectuer le tirage en notant les numéros colonne AA les noms des équipes s'affichent dans les poules 1 à 16</t>
  </si>
  <si>
    <t>Enregistrer les résultats le déroulement des poules se fait automatiquement jusqu'à la finale et vous obtenez les qualifiés</t>
  </si>
  <si>
    <t>Vainqueur A</t>
  </si>
  <si>
    <t>Vainqueur C</t>
  </si>
  <si>
    <t>Vainqueur B</t>
  </si>
  <si>
    <t>Vainqueur D</t>
  </si>
  <si>
    <t>Vainqueur E</t>
  </si>
  <si>
    <t>Vainqueur H</t>
  </si>
  <si>
    <t>Vainqueur I</t>
  </si>
  <si>
    <t>Vainqueur J</t>
  </si>
  <si>
    <t>Vainqueur F</t>
  </si>
  <si>
    <t>Vainqueur G</t>
  </si>
  <si>
    <t>Vainqueur K</t>
  </si>
  <si>
    <t>Vainqueur L</t>
  </si>
  <si>
    <t>Vainqueur M</t>
  </si>
  <si>
    <t>Vainqueur N</t>
  </si>
  <si>
    <t>Vainqueur O</t>
  </si>
  <si>
    <t>Vainqueur P</t>
  </si>
  <si>
    <t>Quadrette</t>
  </si>
  <si>
    <t>Triple</t>
  </si>
  <si>
    <t>Double</t>
  </si>
  <si>
    <t>Simple</t>
  </si>
  <si>
    <t>Catégorie</t>
  </si>
  <si>
    <t>Masculin</t>
  </si>
  <si>
    <t>Féminine</t>
  </si>
  <si>
    <t>Jeunes</t>
  </si>
  <si>
    <t>Série</t>
  </si>
  <si>
    <t>M1</t>
  </si>
  <si>
    <t>F1</t>
  </si>
  <si>
    <t>M2</t>
  </si>
  <si>
    <t>F2</t>
  </si>
  <si>
    <t>M3</t>
  </si>
  <si>
    <t>F3</t>
  </si>
  <si>
    <t>M4</t>
  </si>
  <si>
    <t>F4</t>
  </si>
  <si>
    <t>M3/M4</t>
  </si>
  <si>
    <t>F3/F4</t>
  </si>
  <si>
    <t>F1/F2</t>
  </si>
  <si>
    <t>FEDERAL</t>
  </si>
  <si>
    <t>LIEU:</t>
  </si>
  <si>
    <t>&lt;615&gt;</t>
  </si>
  <si>
    <t>&lt;575&gt;</t>
  </si>
  <si>
    <t>&lt;535&gt;</t>
  </si>
  <si>
    <t>&lt;435</t>
  </si>
  <si>
    <t>&lt;455&gt;</t>
  </si>
  <si>
    <t>&lt;495&gt;</t>
  </si>
  <si>
    <t>U15</t>
  </si>
  <si>
    <t>G_U18</t>
  </si>
  <si>
    <t>F_U18</t>
  </si>
  <si>
    <t>G_U15</t>
  </si>
  <si>
    <t>F_U15</t>
  </si>
  <si>
    <t>U13</t>
  </si>
  <si>
    <t>U11</t>
  </si>
  <si>
    <t>U9</t>
  </si>
  <si>
    <t>Div.</t>
  </si>
  <si>
    <t xml:space="preserve"> </t>
  </si>
  <si>
    <t>AY9</t>
  </si>
  <si>
    <t>AY54</t>
  </si>
  <si>
    <t>AY47</t>
  </si>
  <si>
    <t>AY58</t>
  </si>
  <si>
    <t>AY39</t>
  </si>
  <si>
    <t>AY62</t>
  </si>
  <si>
    <t>AY31</t>
  </si>
  <si>
    <t>AY35</t>
  </si>
  <si>
    <t>AY11</t>
  </si>
  <si>
    <t>AY15</t>
  </si>
  <si>
    <t>AY66</t>
  </si>
  <si>
    <t>AY19</t>
  </si>
  <si>
    <t>AY23</t>
  </si>
  <si>
    <t>AY27</t>
  </si>
  <si>
    <t>AY10</t>
  </si>
  <si>
    <t>AY43</t>
  </si>
  <si>
    <t>AY70</t>
  </si>
  <si>
    <t>648&gt;</t>
  </si>
  <si>
    <t>33 à 64 équipes</t>
  </si>
  <si>
    <t>Nbre</t>
  </si>
  <si>
    <t>Changement</t>
  </si>
  <si>
    <t>Nbre Off.</t>
  </si>
  <si>
    <t>+AY35 (B7)</t>
  </si>
  <si>
    <t>+AY43</t>
  </si>
  <si>
    <t>+AY39 (B8)</t>
  </si>
  <si>
    <t>-AY39 (B8)</t>
  </si>
  <si>
    <t>-AY43 (B9)</t>
  </si>
  <si>
    <t>+AY45(A10)</t>
  </si>
  <si>
    <t>AY46 (C10)</t>
  </si>
  <si>
    <t>+AY43 (B9)</t>
  </si>
  <si>
    <t>+AY47 (B10)</t>
  </si>
  <si>
    <t>-AY47 (B10)</t>
  </si>
  <si>
    <t>+AY49 (A11)</t>
  </si>
  <si>
    <t>+AY50 (C11)</t>
  </si>
  <si>
    <t>435 à 445</t>
  </si>
  <si>
    <t>455 à 485</t>
  </si>
  <si>
    <t>495 à 525</t>
  </si>
  <si>
    <t>-AY35 (B7)</t>
  </si>
  <si>
    <t>535 à 565</t>
  </si>
  <si>
    <t>-AY27 (B5)</t>
  </si>
  <si>
    <t>-AY31 (B6)</t>
  </si>
  <si>
    <t>+AY61 (A14)</t>
  </si>
  <si>
    <t>+AY62 (C14)</t>
  </si>
  <si>
    <t>-AY19 (B3)</t>
  </si>
  <si>
    <t>-AY23(B4)</t>
  </si>
  <si>
    <t>+AY65 (A15)</t>
  </si>
  <si>
    <t>+AY66 (C15)</t>
  </si>
  <si>
    <t>-AY11 (B1)</t>
  </si>
  <si>
    <t>-AY15 (B2)</t>
  </si>
  <si>
    <t>+AY69 (A16)</t>
  </si>
  <si>
    <t>+AY70 (C16)</t>
  </si>
  <si>
    <t>En haut de la page les  séries, catégories et divisions s'affichent en liste déroulante</t>
  </si>
</sst>
</file>

<file path=xl/styles.xml><?xml version="1.0" encoding="utf-8"?>
<styleSheet xmlns="http://schemas.openxmlformats.org/spreadsheetml/2006/main">
  <numFmts count="1">
    <numFmt numFmtId="164" formatCode="[$-40C]d\-mmm;@"/>
  </numFmts>
  <fonts count="59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b/>
      <sz val="11"/>
      <color rgb="FF00B0F0"/>
      <name val="Times New Roman"/>
      <family val="1"/>
    </font>
    <font>
      <b/>
      <sz val="11"/>
      <color theme="1"/>
      <name val="Times New Roman"/>
      <family val="1"/>
    </font>
    <font>
      <sz val="26"/>
      <color theme="1"/>
      <name val="Times New Roman"/>
      <family val="1"/>
    </font>
    <font>
      <sz val="26"/>
      <color rgb="FF0070C0"/>
      <name val="Times New Roman"/>
      <family val="1"/>
    </font>
    <font>
      <sz val="22"/>
      <color theme="1"/>
      <name val="Times New Roman"/>
      <family val="1"/>
    </font>
    <font>
      <sz val="20"/>
      <color theme="1"/>
      <name val="Times New Roman"/>
      <family val="1"/>
    </font>
    <font>
      <sz val="18"/>
      <color rgb="FFFF0000"/>
      <name val="Times New Roman"/>
      <family val="1"/>
    </font>
    <font>
      <b/>
      <sz val="16"/>
      <color rgb="FFFF0000"/>
      <name val="Times New Roman"/>
      <family val="1"/>
    </font>
    <font>
      <u/>
      <sz val="8.8000000000000007"/>
      <color theme="10"/>
      <name val="Calibri"/>
      <family val="2"/>
    </font>
    <font>
      <sz val="12"/>
      <color theme="1"/>
      <name val="Times New Roman"/>
      <family val="1"/>
    </font>
    <font>
      <b/>
      <sz val="16"/>
      <color theme="0"/>
      <name val="Times New Roman"/>
      <family val="1"/>
    </font>
    <font>
      <b/>
      <sz val="14"/>
      <color theme="0"/>
      <name val="Times New Roman"/>
      <family val="1"/>
    </font>
    <font>
      <sz val="14"/>
      <color theme="0"/>
      <name val="Times New Roman"/>
      <family val="1"/>
    </font>
    <font>
      <u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rgb="FF00B0F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6"/>
      <color theme="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6"/>
      <color rgb="FFFF0000"/>
      <name val="Times New Roman"/>
      <family val="1"/>
    </font>
    <font>
      <sz val="18"/>
      <color theme="0"/>
      <name val="Times New Roman"/>
      <family val="1"/>
    </font>
    <font>
      <sz val="14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color theme="1"/>
      <name val="Times New Roman"/>
      <family val="1"/>
    </font>
    <font>
      <sz val="20"/>
      <color rgb="FFFF0000"/>
      <name val="Calibri"/>
      <family val="2"/>
      <scheme val="minor"/>
    </font>
    <font>
      <sz val="20"/>
      <name val="Times New Roman"/>
      <family val="1"/>
    </font>
    <font>
      <sz val="26"/>
      <color theme="0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theme="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Times New Roman"/>
      <family val="1"/>
    </font>
    <font>
      <sz val="11"/>
      <color theme="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A90ED"/>
        <bgColor indexed="64"/>
      </patternFill>
    </fill>
    <fill>
      <patternFill patternType="solid">
        <fgColor rgb="FF57D3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73F42C"/>
        <bgColor indexed="64"/>
      </patternFill>
    </fill>
    <fill>
      <patternFill patternType="solid">
        <fgColor rgb="FF9A9CFC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DBBF8"/>
        <bgColor indexed="64"/>
      </patternFill>
    </fill>
    <fill>
      <patternFill patternType="solid">
        <fgColor rgb="FFF9A96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8EF4"/>
        <bgColor indexed="64"/>
      </patternFill>
    </fill>
    <fill>
      <patternFill patternType="solid">
        <fgColor rgb="FF5BB9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AC090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 style="medium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medium">
        <color indexed="64"/>
      </left>
      <right/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rgb="FFFF0000"/>
      </left>
      <right style="medium">
        <color indexed="64"/>
      </right>
      <top style="double">
        <color rgb="FFFF0000"/>
      </top>
      <bottom/>
      <diagonal/>
    </border>
    <border>
      <left style="thin">
        <color indexed="8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rgb="FFFF0000"/>
      </right>
      <top/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medium">
        <color indexed="64"/>
      </top>
      <bottom style="thin">
        <color indexed="64"/>
      </bottom>
      <diagonal/>
    </border>
    <border>
      <left style="double">
        <color rgb="FFFF0000"/>
      </left>
      <right style="medium">
        <color indexed="64"/>
      </right>
      <top/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 style="thin">
        <color indexed="8"/>
      </left>
      <right style="double">
        <color rgb="FFFF0000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rgb="FFFF0000"/>
      </top>
      <bottom style="thin">
        <color indexed="8"/>
      </bottom>
      <diagonal/>
    </border>
    <border>
      <left style="thin">
        <color indexed="64"/>
      </left>
      <right/>
      <top/>
      <bottom style="double">
        <color rgb="FFFF0000"/>
      </bottom>
      <diagonal/>
    </border>
    <border>
      <left style="thin">
        <color indexed="8"/>
      </left>
      <right style="double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34" fillId="0" borderId="0"/>
  </cellStyleXfs>
  <cellXfs count="1262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ill="1"/>
    <xf numFmtId="0" fontId="9" fillId="0" borderId="0" xfId="0" applyFont="1" applyProtection="1"/>
    <xf numFmtId="0" fontId="9" fillId="0" borderId="0" xfId="0" applyFont="1" applyFill="1" applyBorder="1"/>
    <xf numFmtId="0" fontId="9" fillId="0" borderId="0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8" fillId="3" borderId="1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</xf>
    <xf numFmtId="0" fontId="9" fillId="0" borderId="0" xfId="0" applyFont="1" applyBorder="1" applyProtection="1"/>
    <xf numFmtId="0" fontId="9" fillId="0" borderId="0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0" xfId="0" applyFont="1"/>
    <xf numFmtId="0" fontId="9" fillId="0" borderId="12" xfId="0" applyFont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8" fillId="6" borderId="1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/>
    </xf>
    <xf numFmtId="0" fontId="18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0" fillId="3" borderId="1" xfId="0" applyFont="1" applyFill="1" applyBorder="1" applyAlignment="1" applyProtection="1">
      <alignment horizontal="center" vertical="center"/>
    </xf>
    <xf numFmtId="0" fontId="9" fillId="0" borderId="17" xfId="0" applyFont="1" applyBorder="1" applyProtection="1">
      <protection locked="0"/>
    </xf>
    <xf numFmtId="0" fontId="20" fillId="8" borderId="1" xfId="0" applyFont="1" applyFill="1" applyBorder="1" applyAlignment="1" applyProtection="1">
      <alignment horizontal="center" vertical="center"/>
    </xf>
    <xf numFmtId="0" fontId="23" fillId="4" borderId="1" xfId="0" applyFont="1" applyFill="1" applyBorder="1" applyAlignment="1" applyProtection="1">
      <alignment horizontal="center" vertical="center"/>
    </xf>
    <xf numFmtId="0" fontId="9" fillId="0" borderId="0" xfId="0" applyFont="1" applyFill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/>
    <xf numFmtId="0" fontId="3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14" xfId="0" applyFont="1" applyBorder="1" applyAlignment="1" applyProtection="1">
      <protection locked="0"/>
    </xf>
    <xf numFmtId="0" fontId="9" fillId="0" borderId="14" xfId="0" applyFont="1" applyBorder="1" applyProtection="1">
      <protection locked="0"/>
    </xf>
    <xf numFmtId="0" fontId="9" fillId="0" borderId="15" xfId="0" applyFont="1" applyBorder="1" applyProtection="1">
      <protection locked="0"/>
    </xf>
    <xf numFmtId="0" fontId="22" fillId="0" borderId="20" xfId="0" applyNumberFormat="1" applyFont="1" applyBorder="1" applyAlignment="1" applyProtection="1">
      <protection locked="0"/>
    </xf>
    <xf numFmtId="0" fontId="9" fillId="0" borderId="18" xfId="0" applyFont="1" applyBorder="1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Protection="1">
      <protection locked="0"/>
    </xf>
    <xf numFmtId="0" fontId="12" fillId="0" borderId="0" xfId="0" applyFont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/>
    </xf>
    <xf numFmtId="0" fontId="9" fillId="0" borderId="12" xfId="0" applyFont="1" applyBorder="1" applyProtection="1"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9" fillId="0" borderId="20" xfId="0" applyFont="1" applyBorder="1" applyProtection="1">
      <protection locked="0"/>
    </xf>
    <xf numFmtId="0" fontId="9" fillId="0" borderId="0" xfId="0" quotePrefix="1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16" xfId="0" applyFont="1" applyBorder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1" fillId="0" borderId="0" xfId="1" quotePrefix="1" applyAlignment="1" applyProtection="1">
      <alignment vertical="center"/>
      <protection locked="0"/>
    </xf>
    <xf numFmtId="0" fontId="9" fillId="0" borderId="0" xfId="0" applyFont="1" applyFill="1" applyBorder="1" applyAlignment="1" applyProtection="1">
      <protection locked="0"/>
    </xf>
    <xf numFmtId="0" fontId="8" fillId="0" borderId="0" xfId="0" applyFont="1" applyProtection="1"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8" fillId="0" borderId="0" xfId="0" quotePrefix="1" applyFont="1" applyProtection="1">
      <protection locked="0"/>
    </xf>
    <xf numFmtId="0" fontId="6" fillId="0" borderId="0" xfId="0" applyFont="1" applyProtection="1">
      <protection locked="0"/>
    </xf>
    <xf numFmtId="0" fontId="9" fillId="0" borderId="0" xfId="0" quotePrefix="1" applyFont="1" applyProtection="1">
      <protection locked="0"/>
    </xf>
    <xf numFmtId="0" fontId="9" fillId="0" borderId="0" xfId="0" applyFont="1" applyBorder="1"/>
    <xf numFmtId="0" fontId="9" fillId="0" borderId="20" xfId="0" applyFont="1" applyBorder="1"/>
    <xf numFmtId="0" fontId="9" fillId="0" borderId="20" xfId="0" applyFont="1" applyFill="1" applyBorder="1" applyProtection="1">
      <protection locked="0"/>
    </xf>
    <xf numFmtId="0" fontId="8" fillId="0" borderId="9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0" fontId="11" fillId="0" borderId="2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 vertical="center"/>
    </xf>
    <xf numFmtId="0" fontId="6" fillId="0" borderId="12" xfId="0" applyFont="1" applyBorder="1" applyProtection="1"/>
    <xf numFmtId="0" fontId="6" fillId="0" borderId="0" xfId="0" applyFont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/>
    </xf>
    <xf numFmtId="0" fontId="6" fillId="0" borderId="0" xfId="0" applyFont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0" xfId="0" applyFont="1" applyBorder="1" applyProtection="1">
      <protection locked="0"/>
    </xf>
    <xf numFmtId="0" fontId="5" fillId="0" borderId="20" xfId="0" applyFont="1" applyFill="1" applyBorder="1" applyAlignment="1" applyProtection="1">
      <alignment horizontal="center"/>
    </xf>
    <xf numFmtId="0" fontId="27" fillId="0" borderId="20" xfId="0" applyFont="1" applyBorder="1"/>
    <xf numFmtId="0" fontId="6" fillId="0" borderId="12" xfId="0" applyFont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0" fontId="25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right"/>
    </xf>
    <xf numFmtId="0" fontId="25" fillId="0" borderId="0" xfId="0" applyFont="1" applyProtection="1"/>
    <xf numFmtId="0" fontId="6" fillId="0" borderId="11" xfId="0" applyFont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center"/>
    </xf>
    <xf numFmtId="0" fontId="6" fillId="0" borderId="20" xfId="0" applyFont="1" applyBorder="1" applyProtection="1"/>
    <xf numFmtId="0" fontId="6" fillId="0" borderId="0" xfId="0" applyFont="1" applyFill="1" applyBorder="1" applyProtection="1"/>
    <xf numFmtId="0" fontId="6" fillId="0" borderId="12" xfId="0" applyFont="1" applyBorder="1" applyAlignment="1" applyProtection="1">
      <alignment horizontal="center"/>
      <protection locked="0"/>
    </xf>
    <xf numFmtId="0" fontId="6" fillId="0" borderId="20" xfId="0" applyFont="1" applyBorder="1"/>
    <xf numFmtId="0" fontId="6" fillId="0" borderId="20" xfId="0" applyFont="1" applyBorder="1" applyAlignment="1" applyProtection="1">
      <alignment horizontal="center"/>
      <protection locked="0"/>
    </xf>
    <xf numFmtId="0" fontId="25" fillId="0" borderId="20" xfId="0" applyFont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Border="1"/>
    <xf numFmtId="0" fontId="6" fillId="0" borderId="20" xfId="0" applyFont="1" applyFill="1" applyBorder="1" applyProtection="1">
      <protection locked="0"/>
    </xf>
    <xf numFmtId="0" fontId="6" fillId="0" borderId="0" xfId="0" quotePrefix="1" applyFont="1" applyBorder="1" applyProtection="1"/>
    <xf numFmtId="0" fontId="3" fillId="0" borderId="31" xfId="0" applyFont="1" applyBorder="1" applyAlignment="1" applyProtection="1">
      <alignment horizontal="center" vertical="center"/>
    </xf>
    <xf numFmtId="0" fontId="27" fillId="0" borderId="0" xfId="0" applyFont="1"/>
    <xf numFmtId="0" fontId="27" fillId="0" borderId="12" xfId="0" applyFont="1" applyBorder="1"/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6" fillId="0" borderId="0" xfId="0" applyFont="1" applyBorder="1"/>
    <xf numFmtId="0" fontId="6" fillId="0" borderId="16" xfId="0" applyFont="1" applyBorder="1" applyProtection="1"/>
    <xf numFmtId="0" fontId="6" fillId="0" borderId="17" xfId="0" applyFont="1" applyBorder="1"/>
    <xf numFmtId="0" fontId="27" fillId="0" borderId="17" xfId="0" applyFont="1" applyBorder="1"/>
    <xf numFmtId="0" fontId="6" fillId="0" borderId="17" xfId="0" applyFont="1" applyBorder="1" applyProtection="1"/>
    <xf numFmtId="0" fontId="6" fillId="0" borderId="18" xfId="0" applyFont="1" applyBorder="1" applyProtection="1"/>
    <xf numFmtId="0" fontId="6" fillId="0" borderId="17" xfId="0" applyFont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6" fillId="0" borderId="12" xfId="0" applyFont="1" applyBorder="1" applyProtection="1"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0" borderId="20" xfId="0" applyFont="1" applyBorder="1" applyProtection="1">
      <protection locked="0"/>
    </xf>
    <xf numFmtId="0" fontId="6" fillId="3" borderId="11" xfId="0" applyFont="1" applyFill="1" applyBorder="1" applyAlignment="1" applyProtection="1">
      <alignment horizontal="center"/>
      <protection locked="0"/>
    </xf>
    <xf numFmtId="0" fontId="4" fillId="0" borderId="0" xfId="0" quotePrefix="1" applyFont="1" applyBorder="1" applyProtection="1">
      <protection locked="0"/>
    </xf>
    <xf numFmtId="0" fontId="28" fillId="0" borderId="0" xfId="0" applyFont="1" applyBorder="1" applyProtection="1">
      <protection locked="0"/>
    </xf>
    <xf numFmtId="0" fontId="6" fillId="0" borderId="0" xfId="0" quotePrefix="1" applyFont="1" applyBorder="1" applyProtection="1"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16" xfId="0" applyFont="1" applyBorder="1" applyProtection="1">
      <protection locked="0"/>
    </xf>
    <xf numFmtId="0" fontId="6" fillId="0" borderId="18" xfId="0" applyFont="1" applyBorder="1" applyProtection="1"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6" fillId="0" borderId="12" xfId="0" applyFont="1" applyBorder="1"/>
    <xf numFmtId="0" fontId="6" fillId="0" borderId="0" xfId="0" applyFont="1"/>
    <xf numFmtId="0" fontId="8" fillId="3" borderId="1" xfId="0" applyFont="1" applyFill="1" applyBorder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Protection="1"/>
    <xf numFmtId="0" fontId="6" fillId="0" borderId="0" xfId="0" applyFont="1" applyBorder="1" applyAlignment="1" applyProtection="1">
      <alignment wrapText="1"/>
    </xf>
    <xf numFmtId="0" fontId="6" fillId="0" borderId="20" xfId="0" applyFont="1" applyBorder="1" applyAlignment="1">
      <alignment vertical="center"/>
    </xf>
    <xf numFmtId="0" fontId="6" fillId="0" borderId="13" xfId="0" applyFont="1" applyBorder="1" applyProtection="1"/>
    <xf numFmtId="0" fontId="6" fillId="0" borderId="14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6" fillId="0" borderId="31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</xf>
    <xf numFmtId="0" fontId="9" fillId="0" borderId="13" xfId="0" applyFont="1" applyBorder="1" applyProtection="1"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 vertical="center"/>
    </xf>
    <xf numFmtId="0" fontId="25" fillId="0" borderId="0" xfId="0" applyFont="1" applyAlignment="1" applyProtection="1">
      <alignment horizontal="right" vertical="center"/>
    </xf>
    <xf numFmtId="0" fontId="8" fillId="0" borderId="8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/>
    </xf>
    <xf numFmtId="0" fontId="6" fillId="0" borderId="14" xfId="0" applyFont="1" applyBorder="1" applyProtection="1">
      <protection locked="0"/>
    </xf>
    <xf numFmtId="0" fontId="5" fillId="0" borderId="15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right"/>
    </xf>
    <xf numFmtId="0" fontId="25" fillId="0" borderId="0" xfId="0" applyFont="1" applyBorder="1" applyAlignment="1" applyProtection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/>
    </xf>
    <xf numFmtId="0" fontId="29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0" xfId="0" quotePrefix="1" applyNumberFormat="1" applyFont="1" applyProtection="1">
      <protection locked="0"/>
    </xf>
    <xf numFmtId="0" fontId="30" fillId="0" borderId="19" xfId="0" applyFont="1" applyFill="1" applyBorder="1" applyAlignment="1" applyProtection="1">
      <alignment horizontal="center"/>
      <protection locked="0"/>
    </xf>
    <xf numFmtId="0" fontId="30" fillId="0" borderId="19" xfId="0" applyFont="1" applyFill="1" applyBorder="1" applyAlignment="1" applyProtection="1">
      <alignment horizontal="center"/>
    </xf>
    <xf numFmtId="0" fontId="31" fillId="0" borderId="0" xfId="0" applyFont="1" applyProtection="1"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61" xfId="0" applyFont="1" applyFill="1" applyBorder="1" applyAlignment="1" applyProtection="1">
      <alignment horizontal="center" wrapText="1"/>
      <protection locked="0"/>
    </xf>
    <xf numFmtId="0" fontId="32" fillId="0" borderId="58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/>
    </xf>
    <xf numFmtId="0" fontId="6" fillId="0" borderId="11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3" xfId="0" quotePrefix="1" applyFont="1" applyBorder="1" applyAlignment="1" applyProtection="1">
      <alignment horizontal="center" vertical="center"/>
    </xf>
    <xf numFmtId="0" fontId="30" fillId="0" borderId="13" xfId="0" applyFont="1" applyBorder="1" applyAlignment="1" applyProtection="1">
      <alignment horizontal="center" vertical="center"/>
    </xf>
    <xf numFmtId="0" fontId="30" fillId="0" borderId="13" xfId="0" applyFont="1" applyBorder="1" applyAlignment="1" applyProtection="1">
      <alignment horizontal="center" vertical="center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2" xfId="0" quotePrefix="1" applyFont="1" applyBorder="1" applyAlignment="1" applyProtection="1">
      <alignment horizontal="center" vertical="center"/>
      <protection locked="0"/>
    </xf>
    <xf numFmtId="0" fontId="0" fillId="0" borderId="0" xfId="0" quotePrefix="1"/>
    <xf numFmtId="0" fontId="6" fillId="0" borderId="0" xfId="0" applyFont="1" applyBorder="1" applyAlignment="1" applyProtection="1">
      <alignment horizontal="center" vertical="center"/>
    </xf>
    <xf numFmtId="0" fontId="2" fillId="8" borderId="31" xfId="0" quotePrefix="1" applyNumberFormat="1" applyFont="1" applyFill="1" applyBorder="1" applyAlignment="1" applyProtection="1">
      <alignment horizontal="center" vertical="center"/>
    </xf>
    <xf numFmtId="0" fontId="2" fillId="0" borderId="34" xfId="0" quotePrefix="1" applyNumberFormat="1" applyFont="1" applyFill="1" applyBorder="1" applyAlignment="1" applyProtection="1">
      <alignment horizontal="center" vertical="center"/>
    </xf>
    <xf numFmtId="0" fontId="2" fillId="0" borderId="35" xfId="0" quotePrefix="1" applyNumberFormat="1" applyFont="1" applyFill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quotePrefix="1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5" fillId="3" borderId="1" xfId="0" applyFont="1" applyFill="1" applyBorder="1" applyAlignment="1" applyProtection="1">
      <alignment horizontal="center" vertical="center"/>
    </xf>
    <xf numFmtId="0" fontId="8" fillId="0" borderId="0" xfId="0" applyNumberFormat="1" applyFont="1" applyAlignment="1" applyProtection="1">
      <protection locked="0"/>
    </xf>
    <xf numFmtId="0" fontId="8" fillId="0" borderId="0" xfId="0" applyNumberFormat="1" applyFont="1" applyAlignment="1" applyProtection="1"/>
    <xf numFmtId="0" fontId="10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31" fillId="0" borderId="0" xfId="0" quotePrefix="1" applyFont="1" applyAlignment="1" applyProtection="1">
      <alignment vertical="center"/>
      <protection locked="0"/>
    </xf>
    <xf numFmtId="0" fontId="22" fillId="0" borderId="0" xfId="0" applyNumberFormat="1" applyFont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</xf>
    <xf numFmtId="0" fontId="6" fillId="0" borderId="0" xfId="0" quotePrefix="1" applyFont="1" applyFill="1" applyBorder="1" applyAlignment="1" applyProtection="1">
      <alignment horizontal="left" vertical="center"/>
      <protection locked="0"/>
    </xf>
    <xf numFmtId="0" fontId="8" fillId="0" borderId="0" xfId="0" quotePrefix="1" applyFont="1" applyAlignment="1" applyProtection="1">
      <alignment vertical="center"/>
      <protection locked="0"/>
    </xf>
    <xf numFmtId="0" fontId="6" fillId="8" borderId="19" xfId="0" applyFont="1" applyFill="1" applyBorder="1" applyAlignment="1" applyProtection="1">
      <protection locked="0"/>
    </xf>
    <xf numFmtId="0" fontId="6" fillId="0" borderId="19" xfId="0" applyFont="1" applyFill="1" applyBorder="1" applyAlignment="1" applyProtection="1">
      <protection locked="0"/>
    </xf>
    <xf numFmtId="0" fontId="6" fillId="0" borderId="11" xfId="0" applyFont="1" applyFill="1" applyBorder="1" applyAlignment="1" applyProtection="1"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8" borderId="11" xfId="0" applyFont="1" applyFill="1" applyBorder="1" applyAlignment="1" applyProtection="1">
      <protection locked="0"/>
    </xf>
    <xf numFmtId="0" fontId="6" fillId="0" borderId="0" xfId="0" applyFont="1" applyFill="1" applyAlignment="1" applyProtection="1">
      <alignment horizontal="center"/>
    </xf>
    <xf numFmtId="0" fontId="6" fillId="8" borderId="1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6" fillId="0" borderId="1" xfId="0" applyFont="1" applyFill="1" applyBorder="1" applyAlignment="1" applyProtection="1">
      <alignment horizontal="center"/>
    </xf>
    <xf numFmtId="0" fontId="6" fillId="0" borderId="0" xfId="0" quotePrefix="1" applyFont="1" applyFill="1" applyAlignment="1" applyProtection="1">
      <alignment horizontal="center"/>
    </xf>
    <xf numFmtId="0" fontId="6" fillId="0" borderId="4" xfId="0" quotePrefix="1" applyFont="1" applyFill="1" applyBorder="1" applyAlignment="1" applyProtection="1">
      <alignment horizontal="center" vertical="center"/>
      <protection locked="0"/>
    </xf>
    <xf numFmtId="0" fontId="6" fillId="0" borderId="7" xfId="0" quotePrefix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quotePrefix="1" applyNumberFormat="1" applyFont="1" applyAlignment="1" applyProtection="1">
      <protection locked="0"/>
    </xf>
    <xf numFmtId="0" fontId="6" fillId="0" borderId="5" xfId="0" quotePrefix="1" applyFont="1" applyFill="1" applyBorder="1" applyAlignment="1" applyProtection="1">
      <alignment vertical="center"/>
    </xf>
    <xf numFmtId="0" fontId="6" fillId="0" borderId="6" xfId="0" quotePrefix="1" applyFont="1" applyFill="1" applyBorder="1" applyAlignment="1" applyProtection="1">
      <alignment vertical="center"/>
    </xf>
    <xf numFmtId="0" fontId="6" fillId="0" borderId="7" xfId="0" quotePrefix="1" applyFont="1" applyFill="1" applyBorder="1" applyAlignment="1" applyProtection="1">
      <alignment vertical="center"/>
    </xf>
    <xf numFmtId="0" fontId="6" fillId="0" borderId="2" xfId="0" quotePrefix="1" applyFont="1" applyFill="1" applyBorder="1" applyAlignment="1" applyProtection="1"/>
    <xf numFmtId="0" fontId="6" fillId="0" borderId="3" xfId="0" quotePrefix="1" applyFont="1" applyFill="1" applyBorder="1" applyAlignment="1" applyProtection="1"/>
    <xf numFmtId="0" fontId="6" fillId="0" borderId="4" xfId="0" quotePrefix="1" applyFont="1" applyFill="1" applyBorder="1" applyAlignment="1" applyProtection="1"/>
    <xf numFmtId="0" fontId="6" fillId="0" borderId="0" xfId="0" applyFont="1" applyFill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25" fillId="0" borderId="0" xfId="0" quotePrefix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0" xfId="0" applyFont="1" applyBorder="1" applyAlignment="1" applyProtection="1">
      <alignment vertical="center"/>
      <protection locked="0"/>
    </xf>
    <xf numFmtId="0" fontId="36" fillId="0" borderId="0" xfId="0" applyFont="1" applyProtection="1">
      <protection locked="0"/>
    </xf>
    <xf numFmtId="0" fontId="6" fillId="8" borderId="1" xfId="0" applyFont="1" applyFill="1" applyBorder="1" applyAlignment="1" applyProtection="1">
      <alignment horizontal="center"/>
      <protection locked="0"/>
    </xf>
    <xf numFmtId="0" fontId="6" fillId="0" borderId="0" xfId="0" quotePrefix="1" applyNumberFormat="1" applyFont="1" applyFill="1" applyAlignment="1" applyProtection="1">
      <alignment horizontal="center"/>
    </xf>
    <xf numFmtId="0" fontId="37" fillId="0" borderId="0" xfId="0" applyFont="1" applyProtection="1"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31" xfId="0" applyFont="1" applyBorder="1" applyAlignment="1" applyProtection="1">
      <alignment horizontal="center"/>
    </xf>
    <xf numFmtId="0" fontId="6" fillId="0" borderId="34" xfId="0" applyFont="1" applyFill="1" applyBorder="1" applyAlignment="1" applyProtection="1">
      <alignment horizontal="center"/>
    </xf>
    <xf numFmtId="0" fontId="6" fillId="0" borderId="34" xfId="0" applyFont="1" applyBorder="1" applyAlignment="1" applyProtection="1">
      <alignment horizontal="center"/>
    </xf>
    <xf numFmtId="0" fontId="27" fillId="0" borderId="0" xfId="0" applyFont="1" applyAlignment="1">
      <alignment horizontal="center"/>
    </xf>
    <xf numFmtId="0" fontId="6" fillId="0" borderId="35" xfId="0" applyFont="1" applyBorder="1" applyAlignment="1" applyProtection="1">
      <alignment horizontal="center"/>
    </xf>
    <xf numFmtId="0" fontId="25" fillId="0" borderId="0" xfId="0" quotePrefix="1" applyFont="1" applyFill="1" applyBorder="1" applyAlignment="1" applyProtection="1">
      <alignment horizontal="left" vertic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0" borderId="0" xfId="0" quotePrefix="1" applyFont="1" applyProtection="1">
      <protection locked="0"/>
    </xf>
    <xf numFmtId="0" fontId="6" fillId="0" borderId="0" xfId="0" quotePrefix="1" applyNumberFormat="1" applyFont="1" applyProtection="1">
      <protection locked="0"/>
    </xf>
    <xf numFmtId="0" fontId="31" fillId="0" borderId="0" xfId="0" quotePrefix="1" applyFont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protection locked="0"/>
    </xf>
    <xf numFmtId="0" fontId="37" fillId="0" borderId="0" xfId="0" applyFont="1" applyFill="1" applyAlignment="1" applyProtection="1">
      <alignment horizontal="center" vertical="center"/>
    </xf>
    <xf numFmtId="0" fontId="37" fillId="0" borderId="0" xfId="0" applyFont="1" applyAlignment="1" applyProtection="1">
      <alignment horizontal="center" vertical="center"/>
    </xf>
    <xf numFmtId="0" fontId="20" fillId="0" borderId="0" xfId="0" applyFont="1" applyBorder="1" applyAlignment="1" applyProtection="1">
      <protection locked="0"/>
    </xf>
    <xf numFmtId="0" fontId="4" fillId="0" borderId="0" xfId="0" applyFont="1" applyProtection="1">
      <protection locked="0"/>
    </xf>
    <xf numFmtId="0" fontId="37" fillId="0" borderId="0" xfId="0" quotePrefix="1" applyFont="1" applyFill="1" applyAlignment="1" applyProtection="1">
      <alignment horizontal="center" vertical="center"/>
    </xf>
    <xf numFmtId="0" fontId="37" fillId="0" borderId="0" xfId="0" applyFont="1" applyFill="1" applyProtection="1"/>
    <xf numFmtId="0" fontId="37" fillId="0" borderId="0" xfId="0" applyFont="1" applyFill="1" applyProtection="1">
      <protection locked="0"/>
    </xf>
    <xf numFmtId="0" fontId="29" fillId="0" borderId="0" xfId="0" quotePrefix="1" applyFont="1" applyFill="1" applyProtection="1"/>
    <xf numFmtId="0" fontId="29" fillId="0" borderId="0" xfId="0" applyFont="1" applyFill="1" applyProtection="1"/>
    <xf numFmtId="0" fontId="4" fillId="0" borderId="0" xfId="0" applyFont="1" applyFill="1" applyProtection="1"/>
    <xf numFmtId="0" fontId="38" fillId="0" borderId="0" xfId="0" applyFont="1"/>
    <xf numFmtId="0" fontId="39" fillId="0" borderId="0" xfId="0" applyFont="1" applyAlignment="1">
      <alignment horizontal="center" vertical="center"/>
    </xf>
    <xf numFmtId="0" fontId="6" fillId="0" borderId="8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6" fillId="0" borderId="41" xfId="0" quotePrefix="1" applyFont="1" applyFill="1" applyBorder="1" applyAlignment="1" applyProtection="1"/>
    <xf numFmtId="0" fontId="6" fillId="0" borderId="42" xfId="0" quotePrefix="1" applyFont="1" applyFill="1" applyBorder="1" applyAlignment="1" applyProtection="1"/>
    <xf numFmtId="0" fontId="6" fillId="0" borderId="43" xfId="0" quotePrefix="1" applyFont="1" applyFill="1" applyBorder="1" applyAlignment="1" applyProtection="1"/>
    <xf numFmtId="0" fontId="0" fillId="0" borderId="58" xfId="0" applyBorder="1"/>
    <xf numFmtId="0" fontId="8" fillId="8" borderId="0" xfId="0" applyFont="1" applyFill="1" applyAlignment="1">
      <alignment horizontal="center" vertical="center"/>
    </xf>
    <xf numFmtId="0" fontId="40" fillId="0" borderId="0" xfId="0" applyFont="1"/>
    <xf numFmtId="0" fontId="1" fillId="0" borderId="34" xfId="0" applyFont="1" applyFill="1" applyBorder="1" applyAlignment="1" applyProtection="1">
      <alignment horizontal="center" vertical="center"/>
      <protection locked="0"/>
    </xf>
    <xf numFmtId="0" fontId="41" fillId="0" borderId="32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21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</xf>
    <xf numFmtId="0" fontId="40" fillId="0" borderId="0" xfId="0" applyFont="1" applyProtection="1">
      <protection locked="0"/>
    </xf>
    <xf numFmtId="0" fontId="8" fillId="11" borderId="19" xfId="0" applyFont="1" applyFill="1" applyBorder="1" applyAlignment="1" applyProtection="1">
      <alignment horizontal="center" vertical="center"/>
      <protection locked="0"/>
    </xf>
    <xf numFmtId="0" fontId="8" fillId="11" borderId="14" xfId="0" applyFont="1" applyFill="1" applyBorder="1" applyAlignment="1" applyProtection="1">
      <alignment horizontal="center" vertical="center"/>
      <protection locked="0"/>
    </xf>
    <xf numFmtId="0" fontId="8" fillId="11" borderId="15" xfId="0" applyFont="1" applyFill="1" applyBorder="1" applyAlignment="1" applyProtection="1">
      <alignment horizontal="center" vertical="center"/>
      <protection locked="0"/>
    </xf>
    <xf numFmtId="0" fontId="8" fillId="11" borderId="1" xfId="0" applyFont="1" applyFill="1" applyBorder="1" applyAlignment="1" applyProtection="1">
      <alignment horizontal="center" vertical="center"/>
      <protection locked="0"/>
    </xf>
    <xf numFmtId="0" fontId="8" fillId="11" borderId="10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1" xfId="0" quotePrefix="1" applyFont="1" applyFill="1" applyBorder="1" applyAlignment="1" applyProtection="1">
      <alignment horizontal="center" vertical="center"/>
    </xf>
    <xf numFmtId="0" fontId="8" fillId="0" borderId="25" xfId="0" applyFont="1" applyBorder="1" applyProtection="1">
      <protection locked="0"/>
    </xf>
    <xf numFmtId="0" fontId="8" fillId="0" borderId="26" xfId="0" applyFont="1" applyBorder="1" applyProtection="1">
      <protection locked="0"/>
    </xf>
    <xf numFmtId="0" fontId="8" fillId="0" borderId="27" xfId="0" applyFont="1" applyBorder="1" applyProtection="1">
      <protection locked="0"/>
    </xf>
    <xf numFmtId="0" fontId="31" fillId="0" borderId="0" xfId="0" applyFont="1" applyFill="1" applyBorder="1" applyProtection="1">
      <protection locked="0"/>
    </xf>
    <xf numFmtId="0" fontId="10" fillId="0" borderId="11" xfId="0" quotePrefix="1" applyFont="1" applyFill="1" applyBorder="1" applyAlignment="1" applyProtection="1">
      <alignment horizontal="center"/>
    </xf>
    <xf numFmtId="0" fontId="8" fillId="0" borderId="35" xfId="0" quotePrefix="1" applyFont="1" applyFill="1" applyBorder="1" applyAlignment="1" applyProtection="1">
      <alignment horizontal="center" vertical="center"/>
    </xf>
    <xf numFmtId="0" fontId="8" fillId="13" borderId="1" xfId="0" applyFont="1" applyFill="1" applyBorder="1" applyAlignment="1" applyProtection="1">
      <alignment horizontal="center" vertical="center"/>
    </xf>
    <xf numFmtId="0" fontId="8" fillId="0" borderId="11" xfId="0" quotePrefix="1" applyNumberFormat="1" applyFont="1" applyFill="1" applyBorder="1" applyAlignment="1" applyProtection="1">
      <alignment horizontal="center" vertical="center" wrapText="1"/>
    </xf>
    <xf numFmtId="0" fontId="8" fillId="0" borderId="9" xfId="0" quotePrefix="1" applyNumberFormat="1" applyFont="1" applyBorder="1" applyAlignment="1" applyProtection="1">
      <alignment horizontal="center" vertical="center"/>
    </xf>
    <xf numFmtId="0" fontId="8" fillId="0" borderId="1" xfId="0" quotePrefix="1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9" xfId="0" quotePrefix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0" xfId="0" quotePrefix="1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  <protection locked="0"/>
    </xf>
    <xf numFmtId="0" fontId="10" fillId="0" borderId="19" xfId="0" quotePrefix="1" applyFont="1" applyFill="1" applyBorder="1" applyAlignment="1" applyProtection="1">
      <alignment horizontal="center" vertical="center"/>
    </xf>
    <xf numFmtId="0" fontId="8" fillId="12" borderId="1" xfId="0" applyFont="1" applyFill="1" applyBorder="1" applyAlignment="1" applyProtection="1">
      <alignment horizontal="center" vertical="center"/>
    </xf>
    <xf numFmtId="0" fontId="8" fillId="0" borderId="1" xfId="0" quotePrefix="1" applyNumberFormat="1" applyFont="1" applyFill="1" applyBorder="1" applyAlignment="1" applyProtection="1">
      <alignment horizontal="center" vertical="center"/>
    </xf>
    <xf numFmtId="0" fontId="8" fillId="0" borderId="9" xfId="0" quotePrefix="1" applyFont="1" applyFill="1" applyBorder="1" applyAlignment="1" applyProtection="1">
      <alignment horizontal="center" vertical="center"/>
    </xf>
    <xf numFmtId="0" fontId="8" fillId="0" borderId="9" xfId="0" quotePrefix="1" applyNumberFormat="1" applyFont="1" applyFill="1" applyBorder="1" applyAlignment="1" applyProtection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</xf>
    <xf numFmtId="0" fontId="10" fillId="0" borderId="21" xfId="0" quotePrefix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quotePrefix="1" applyFont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Protection="1">
      <protection locked="0"/>
    </xf>
    <xf numFmtId="0" fontId="31" fillId="0" borderId="0" xfId="0" quotePrefix="1" applyFont="1" applyFill="1" applyBorder="1" applyAlignment="1" applyProtection="1">
      <alignment horizontal="center"/>
      <protection locked="0"/>
    </xf>
    <xf numFmtId="0" fontId="41" fillId="0" borderId="36" xfId="0" applyFont="1" applyFill="1" applyBorder="1" applyAlignment="1" applyProtection="1">
      <alignment horizontal="center" vertical="center"/>
      <protection locked="0"/>
    </xf>
    <xf numFmtId="0" fontId="41" fillId="0" borderId="33" xfId="0" applyFont="1" applyFill="1" applyBorder="1" applyAlignment="1" applyProtection="1">
      <alignment horizontal="center" vertical="center"/>
      <protection locked="0"/>
    </xf>
    <xf numFmtId="0" fontId="10" fillId="0" borderId="11" xfId="0" quotePrefix="1" applyFont="1" applyFill="1" applyBorder="1" applyAlignment="1" applyProtection="1">
      <alignment horizontal="center" vertical="center"/>
    </xf>
    <xf numFmtId="0" fontId="1" fillId="0" borderId="38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35" fillId="0" borderId="0" xfId="0" quotePrefix="1" applyFont="1" applyFill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8" fillId="0" borderId="0" xfId="0" applyFont="1" applyBorder="1" applyProtection="1">
      <protection locked="0"/>
    </xf>
    <xf numFmtId="0" fontId="8" fillId="0" borderId="38" xfId="0" quotePrefix="1" applyFont="1" applyFill="1" applyBorder="1" applyAlignment="1" applyProtection="1">
      <alignment horizontal="center" vertical="center"/>
    </xf>
    <xf numFmtId="0" fontId="8" fillId="0" borderId="0" xfId="0" applyNumberFormat="1" applyFont="1" applyAlignment="1" applyProtection="1">
      <alignment wrapText="1"/>
      <protection locked="0"/>
    </xf>
    <xf numFmtId="0" fontId="8" fillId="0" borderId="0" xfId="0" quotePrefix="1" applyNumberFormat="1" applyFont="1" applyAlignment="1" applyProtection="1">
      <alignment wrapText="1"/>
      <protection locked="0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0" fontId="41" fillId="0" borderId="24" xfId="0" applyFont="1" applyFill="1" applyBorder="1" applyAlignment="1" applyProtection="1">
      <alignment horizontal="center" vertical="center"/>
      <protection locked="0"/>
    </xf>
    <xf numFmtId="0" fontId="41" fillId="0" borderId="44" xfId="0" applyFont="1" applyFill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20" fillId="3" borderId="19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41" fillId="0" borderId="22" xfId="0" applyFont="1" applyFill="1" applyBorder="1" applyAlignment="1" applyProtection="1">
      <alignment horizontal="center" vertical="center"/>
      <protection locked="0"/>
    </xf>
    <xf numFmtId="0" fontId="41" fillId="0" borderId="3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0" fillId="11" borderId="19" xfId="0" quotePrefix="1" applyFont="1" applyFill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  <protection locked="0"/>
    </xf>
    <xf numFmtId="0" fontId="10" fillId="11" borderId="21" xfId="0" quotePrefix="1" applyFont="1" applyFill="1" applyBorder="1" applyAlignment="1" applyProtection="1">
      <alignment horizontal="center" vertical="center"/>
    </xf>
    <xf numFmtId="0" fontId="1" fillId="0" borderId="11" xfId="0" quotePrefix="1" applyFont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/>
    </xf>
    <xf numFmtId="0" fontId="36" fillId="0" borderId="0" xfId="0" applyFont="1" applyFill="1" applyProtection="1"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8" fillId="0" borderId="0" xfId="0" applyFont="1" applyFill="1"/>
    <xf numFmtId="0" fontId="40" fillId="0" borderId="0" xfId="0" applyFont="1" applyFill="1" applyAlignment="1">
      <alignment vertical="center"/>
    </xf>
    <xf numFmtId="0" fontId="9" fillId="0" borderId="0" xfId="0" applyFont="1" applyFill="1" applyAlignment="1" applyProtection="1">
      <alignment horizontal="center"/>
      <protection locked="0"/>
    </xf>
    <xf numFmtId="0" fontId="0" fillId="0" borderId="78" xfId="0" applyFill="1" applyBorder="1"/>
    <xf numFmtId="0" fontId="8" fillId="0" borderId="0" xfId="0" applyFont="1" applyFill="1" applyBorder="1" applyAlignment="1" applyProtection="1">
      <alignment horizontal="center"/>
      <protection locked="0"/>
    </xf>
    <xf numFmtId="0" fontId="9" fillId="0" borderId="5" xfId="0" quotePrefix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Protection="1">
      <protection locked="0"/>
    </xf>
    <xf numFmtId="0" fontId="9" fillId="0" borderId="0" xfId="0" applyFont="1" applyFill="1" applyProtection="1"/>
    <xf numFmtId="0" fontId="29" fillId="0" borderId="0" xfId="0" applyFont="1" applyFill="1" applyAlignment="1" applyProtection="1">
      <alignment horizontal="center" vertical="center"/>
      <protection locked="0"/>
    </xf>
    <xf numFmtId="0" fontId="29" fillId="0" borderId="0" xfId="0" applyFont="1" applyFill="1" applyProtection="1">
      <protection locked="0"/>
    </xf>
    <xf numFmtId="0" fontId="3" fillId="0" borderId="0" xfId="0" applyFont="1" applyProtection="1"/>
    <xf numFmtId="0" fontId="3" fillId="0" borderId="0" xfId="0" applyFont="1"/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/>
    <xf numFmtId="0" fontId="9" fillId="0" borderId="47" xfId="0" applyFont="1" applyBorder="1"/>
    <xf numFmtId="0" fontId="9" fillId="0" borderId="0" xfId="0" applyFont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9" fillId="0" borderId="32" xfId="0" applyFont="1" applyBorder="1" applyAlignment="1">
      <alignment horizontal="center" vertical="center"/>
    </xf>
    <xf numFmtId="0" fontId="9" fillId="0" borderId="40" xfId="0" applyFont="1" applyBorder="1"/>
    <xf numFmtId="0" fontId="9" fillId="0" borderId="48" xfId="0" applyFont="1" applyBorder="1"/>
    <xf numFmtId="0" fontId="9" fillId="0" borderId="2" xfId="0" quotePrefix="1" applyFont="1" applyFill="1" applyBorder="1" applyAlignment="1" applyProtection="1"/>
    <xf numFmtId="0" fontId="9" fillId="0" borderId="3" xfId="0" applyFont="1" applyFill="1" applyBorder="1" applyAlignment="1" applyProtection="1"/>
    <xf numFmtId="0" fontId="9" fillId="0" borderId="4" xfId="0" applyFont="1" applyFill="1" applyBorder="1" applyAlignment="1" applyProtection="1"/>
    <xf numFmtId="0" fontId="9" fillId="0" borderId="0" xfId="0" applyFont="1" applyFill="1"/>
    <xf numFmtId="0" fontId="9" fillId="0" borderId="6" xfId="0" applyFont="1" applyFill="1" applyBorder="1" applyAlignment="1" applyProtection="1"/>
    <xf numFmtId="0" fontId="9" fillId="0" borderId="7" xfId="0" applyFont="1" applyFill="1" applyBorder="1" applyAlignment="1" applyProtection="1"/>
    <xf numFmtId="0" fontId="9" fillId="0" borderId="0" xfId="0" quotePrefix="1" applyNumberFormat="1" applyFont="1" applyFill="1" applyProtection="1"/>
    <xf numFmtId="0" fontId="9" fillId="0" borderId="0" xfId="0" applyFont="1" applyAlignment="1">
      <alignment horizontal="left" vertical="center"/>
    </xf>
    <xf numFmtId="0" fontId="9" fillId="0" borderId="49" xfId="0" applyFont="1" applyBorder="1"/>
    <xf numFmtId="0" fontId="9" fillId="0" borderId="45" xfId="0" applyFont="1" applyBorder="1"/>
    <xf numFmtId="0" fontId="9" fillId="0" borderId="47" xfId="0" applyFont="1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48" xfId="0" applyFont="1" applyBorder="1" applyAlignment="1">
      <alignment horizontal="center" vertical="center"/>
    </xf>
    <xf numFmtId="0" fontId="9" fillId="0" borderId="5" xfId="0" quotePrefix="1" applyFont="1" applyFill="1" applyBorder="1" applyAlignment="1" applyProtection="1"/>
    <xf numFmtId="0" fontId="9" fillId="0" borderId="0" xfId="0" quotePrefix="1" applyFont="1" applyFill="1" applyProtection="1"/>
    <xf numFmtId="0" fontId="9" fillId="0" borderId="50" xfId="0" applyFont="1" applyBorder="1" applyAlignment="1">
      <alignment horizontal="center" vertical="center"/>
    </xf>
    <xf numFmtId="0" fontId="9" fillId="0" borderId="37" xfId="0" applyFont="1" applyBorder="1"/>
    <xf numFmtId="0" fontId="9" fillId="0" borderId="51" xfId="0" applyFont="1" applyBorder="1"/>
    <xf numFmtId="0" fontId="9" fillId="0" borderId="46" xfId="0" applyFont="1" applyBorder="1"/>
    <xf numFmtId="0" fontId="9" fillId="0" borderId="0" xfId="0" applyFont="1" applyFill="1" applyAlignment="1">
      <alignment horizontal="center"/>
    </xf>
    <xf numFmtId="0" fontId="3" fillId="0" borderId="0" xfId="0" applyFont="1" applyFill="1"/>
    <xf numFmtId="0" fontId="9" fillId="0" borderId="24" xfId="0" applyFont="1" applyBorder="1" applyAlignment="1">
      <alignment horizontal="center" vertical="center"/>
    </xf>
    <xf numFmtId="0" fontId="9" fillId="0" borderId="50" xfId="0" applyFont="1" applyBorder="1"/>
    <xf numFmtId="0" fontId="35" fillId="0" borderId="36" xfId="0" applyFont="1" applyFill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vertical="center"/>
      <protection locked="0"/>
    </xf>
    <xf numFmtId="0" fontId="8" fillId="0" borderId="16" xfId="0" quotePrefix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wrapText="1"/>
      <protection locked="0"/>
    </xf>
    <xf numFmtId="0" fontId="8" fillId="0" borderId="84" xfId="0" applyFont="1" applyFill="1" applyBorder="1" applyAlignment="1" applyProtection="1">
      <alignment horizontal="center" vertical="center"/>
    </xf>
    <xf numFmtId="0" fontId="0" fillId="0" borderId="58" xfId="0" applyFill="1" applyBorder="1"/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</xf>
    <xf numFmtId="0" fontId="42" fillId="0" borderId="0" xfId="0" applyFont="1" applyAlignment="1" applyProtection="1">
      <alignment horizontal="center" vertical="center" wrapText="1"/>
      <protection locked="0"/>
    </xf>
    <xf numFmtId="0" fontId="42" fillId="0" borderId="0" xfId="0" applyFont="1" applyProtection="1"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14" borderId="0" xfId="0" applyFont="1" applyFill="1" applyAlignment="1" applyProtection="1">
      <alignment horizontal="center" vertical="center"/>
      <protection locked="0"/>
    </xf>
    <xf numFmtId="0" fontId="8" fillId="0" borderId="11" xfId="0" applyFont="1" applyBorder="1" applyProtection="1">
      <protection locked="0"/>
    </xf>
    <xf numFmtId="0" fontId="8" fillId="0" borderId="19" xfId="0" applyFont="1" applyFill="1" applyBorder="1" applyAlignment="1" applyProtection="1">
      <alignment horizontal="center" vertical="center"/>
    </xf>
    <xf numFmtId="0" fontId="18" fillId="0" borderId="1" xfId="0" quotePrefix="1" applyFont="1" applyBorder="1" applyAlignment="1">
      <alignment horizontal="center" vertical="center"/>
    </xf>
    <xf numFmtId="0" fontId="44" fillId="0" borderId="0" xfId="0" applyFont="1"/>
    <xf numFmtId="0" fontId="45" fillId="0" borderId="0" xfId="0" applyFont="1"/>
    <xf numFmtId="0" fontId="7" fillId="0" borderId="0" xfId="0" applyFont="1" applyProtection="1">
      <protection locked="0"/>
    </xf>
    <xf numFmtId="0" fontId="44" fillId="0" borderId="0" xfId="0" applyFont="1" applyProtection="1">
      <protection locked="0"/>
    </xf>
    <xf numFmtId="0" fontId="46" fillId="0" borderId="34" xfId="0" applyFont="1" applyFill="1" applyBorder="1" applyAlignment="1" applyProtection="1">
      <alignment horizontal="center" vertical="center"/>
      <protection locked="0"/>
    </xf>
    <xf numFmtId="0" fontId="47" fillId="0" borderId="32" xfId="0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48" fillId="0" borderId="11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47" fillId="0" borderId="58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 vertical="center"/>
    </xf>
    <xf numFmtId="0" fontId="25" fillId="0" borderId="0" xfId="0" applyFont="1" applyBorder="1" applyAlignment="1" applyProtection="1">
      <alignment horizontal="center" vertical="center"/>
      <protection locked="0"/>
    </xf>
    <xf numFmtId="164" fontId="18" fillId="0" borderId="1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protection locked="0"/>
    </xf>
    <xf numFmtId="0" fontId="18" fillId="0" borderId="0" xfId="0" applyFont="1" applyBorder="1" applyProtection="1">
      <protection locked="0"/>
    </xf>
    <xf numFmtId="0" fontId="45" fillId="0" borderId="0" xfId="0" applyFont="1" applyFill="1"/>
    <xf numFmtId="0" fontId="49" fillId="0" borderId="0" xfId="0" applyFont="1"/>
    <xf numFmtId="0" fontId="8" fillId="0" borderId="0" xfId="0" applyFont="1" applyAlignment="1">
      <alignment horizontal="center" vertical="center"/>
    </xf>
    <xf numFmtId="0" fontId="50" fillId="0" borderId="0" xfId="0" applyFont="1" applyBorder="1" applyAlignment="1" applyProtection="1">
      <alignment horizontal="center" vertical="center"/>
      <protection locked="0"/>
    </xf>
    <xf numFmtId="0" fontId="43" fillId="0" borderId="0" xfId="0" applyFont="1"/>
    <xf numFmtId="0" fontId="8" fillId="0" borderId="0" xfId="0" applyFont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35" fillId="0" borderId="24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vertical="center"/>
    </xf>
    <xf numFmtId="0" fontId="10" fillId="0" borderId="11" xfId="0" applyFont="1" applyBorder="1" applyAlignment="1" applyProtection="1">
      <alignment vertical="center"/>
    </xf>
    <xf numFmtId="0" fontId="10" fillId="9" borderId="19" xfId="0" quotePrefix="1" applyFont="1" applyFill="1" applyBorder="1" applyAlignment="1" applyProtection="1">
      <alignment horizontal="center" vertical="center"/>
    </xf>
    <xf numFmtId="0" fontId="10" fillId="9" borderId="21" xfId="0" applyFont="1" applyFill="1" applyBorder="1" applyAlignment="1" applyProtection="1">
      <alignment horizontal="center" vertical="center"/>
    </xf>
    <xf numFmtId="0" fontId="1" fillId="9" borderId="11" xfId="0" quotePrefix="1" applyFont="1" applyFill="1" applyBorder="1" applyAlignment="1" applyProtection="1">
      <alignment horizontal="center" vertical="center"/>
    </xf>
    <xf numFmtId="0" fontId="10" fillId="9" borderId="21" xfId="0" quotePrefix="1" applyFont="1" applyFill="1" applyBorder="1" applyAlignment="1" applyProtection="1">
      <alignment horizontal="center" vertical="center"/>
    </xf>
    <xf numFmtId="0" fontId="10" fillId="9" borderId="11" xfId="0" quotePrefix="1" applyFont="1" applyFill="1" applyBorder="1" applyAlignment="1" applyProtection="1">
      <alignment horizontal="center" vertical="center"/>
    </xf>
    <xf numFmtId="0" fontId="1" fillId="9" borderId="19" xfId="0" applyFont="1" applyFill="1" applyBorder="1" applyAlignment="1" applyProtection="1">
      <alignment horizontal="center" vertical="center"/>
    </xf>
    <xf numFmtId="0" fontId="10" fillId="9" borderId="11" xfId="0" applyFont="1" applyFill="1" applyBorder="1" applyAlignment="1" applyProtection="1">
      <alignment horizontal="center" vertical="center"/>
    </xf>
    <xf numFmtId="0" fontId="10" fillId="29" borderId="19" xfId="0" applyFont="1" applyFill="1" applyBorder="1" applyAlignment="1" applyProtection="1">
      <alignment horizontal="center" vertical="center"/>
    </xf>
    <xf numFmtId="0" fontId="10" fillId="29" borderId="21" xfId="0" applyFont="1" applyFill="1" applyBorder="1" applyAlignment="1" applyProtection="1">
      <alignment horizontal="center" vertical="center"/>
    </xf>
    <xf numFmtId="0" fontId="1" fillId="29" borderId="21" xfId="0" applyFont="1" applyFill="1" applyBorder="1" applyAlignment="1" applyProtection="1">
      <alignment horizontal="center" vertical="center"/>
    </xf>
    <xf numFmtId="0" fontId="40" fillId="0" borderId="0" xfId="0" applyFont="1" applyAlignment="1">
      <alignment horizontal="center" vertical="center"/>
    </xf>
    <xf numFmtId="0" fontId="52" fillId="0" borderId="64" xfId="0" applyFont="1" applyFill="1" applyBorder="1" applyAlignment="1" applyProtection="1">
      <alignment horizontal="center" vertical="center" wrapText="1"/>
      <protection locked="0"/>
    </xf>
    <xf numFmtId="0" fontId="40" fillId="0" borderId="58" xfId="0" applyFont="1" applyBorder="1"/>
    <xf numFmtId="0" fontId="41" fillId="0" borderId="58" xfId="0" applyFont="1" applyFill="1" applyBorder="1" applyAlignment="1" applyProtection="1">
      <alignment horizontal="center" vertical="center" wrapText="1"/>
      <protection locked="0"/>
    </xf>
    <xf numFmtId="0" fontId="52" fillId="0" borderId="58" xfId="0" applyFont="1" applyFill="1" applyBorder="1" applyAlignment="1" applyProtection="1">
      <alignment horizontal="center" vertical="center" wrapText="1"/>
      <protection locked="0"/>
    </xf>
    <xf numFmtId="0" fontId="41" fillId="0" borderId="66" xfId="0" applyFont="1" applyBorder="1" applyAlignment="1" applyProtection="1">
      <alignment horizontal="center" vertical="center" wrapText="1"/>
      <protection locked="0"/>
    </xf>
    <xf numFmtId="0" fontId="40" fillId="25" borderId="85" xfId="0" applyFont="1" applyFill="1" applyBorder="1"/>
    <xf numFmtId="0" fontId="53" fillId="19" borderId="62" xfId="0" applyFont="1" applyFill="1" applyBorder="1" applyAlignment="1" applyProtection="1">
      <alignment horizontal="center" vertical="center" wrapText="1"/>
      <protection locked="0"/>
    </xf>
    <xf numFmtId="0" fontId="41" fillId="0" borderId="77" xfId="2" applyFont="1" applyFill="1" applyBorder="1" applyAlignment="1" applyProtection="1">
      <alignment horizontal="center" vertical="center" wrapText="1"/>
    </xf>
    <xf numFmtId="0" fontId="41" fillId="0" borderId="68" xfId="0" applyFont="1" applyBorder="1" applyAlignment="1" applyProtection="1">
      <alignment horizontal="center" vertical="center" wrapText="1"/>
      <protection locked="0"/>
    </xf>
    <xf numFmtId="0" fontId="40" fillId="25" borderId="86" xfId="0" applyFont="1" applyFill="1" applyBorder="1"/>
    <xf numFmtId="0" fontId="53" fillId="19" borderId="24" xfId="0" applyFont="1" applyFill="1" applyBorder="1" applyAlignment="1" applyProtection="1">
      <alignment horizontal="center" vertical="center" wrapText="1"/>
      <protection locked="0"/>
    </xf>
    <xf numFmtId="0" fontId="41" fillId="0" borderId="54" xfId="2" applyFont="1" applyFill="1" applyBorder="1" applyAlignment="1" applyProtection="1">
      <alignment horizontal="center" vertical="center" wrapText="1"/>
    </xf>
    <xf numFmtId="0" fontId="41" fillId="0" borderId="69" xfId="0" applyFont="1" applyBorder="1" applyAlignment="1" applyProtection="1">
      <alignment horizontal="center" vertical="center" wrapText="1"/>
      <protection locked="0"/>
    </xf>
    <xf numFmtId="0" fontId="53" fillId="23" borderId="22" xfId="0" applyFont="1" applyFill="1" applyBorder="1" applyAlignment="1" applyProtection="1">
      <alignment horizontal="center" vertical="center" wrapText="1"/>
      <protection locked="0"/>
    </xf>
    <xf numFmtId="0" fontId="41" fillId="0" borderId="53" xfId="2" applyFont="1" applyFill="1" applyBorder="1" applyAlignment="1" applyProtection="1">
      <alignment horizontal="center" vertical="center" wrapText="1"/>
    </xf>
    <xf numFmtId="0" fontId="41" fillId="0" borderId="71" xfId="0" applyFont="1" applyBorder="1" applyAlignment="1" applyProtection="1">
      <alignment horizontal="center" vertical="center" wrapText="1"/>
      <protection locked="0"/>
    </xf>
    <xf numFmtId="0" fontId="40" fillId="25" borderId="87" xfId="0" applyFont="1" applyFill="1" applyBorder="1"/>
    <xf numFmtId="0" fontId="53" fillId="23" borderId="57" xfId="0" applyFont="1" applyFill="1" applyBorder="1" applyAlignment="1" applyProtection="1">
      <alignment horizontal="center" vertical="center" wrapText="1"/>
      <protection locked="0"/>
    </xf>
    <xf numFmtId="0" fontId="41" fillId="0" borderId="59" xfId="2" applyFont="1" applyFill="1" applyBorder="1" applyAlignment="1" applyProtection="1">
      <alignment horizontal="center" vertical="center" wrapText="1"/>
    </xf>
    <xf numFmtId="0" fontId="41" fillId="0" borderId="72" xfId="0" applyFont="1" applyBorder="1" applyAlignment="1" applyProtection="1">
      <alignment horizontal="center" vertical="center" wrapText="1"/>
      <protection locked="0"/>
    </xf>
    <xf numFmtId="0" fontId="53" fillId="10" borderId="22" xfId="0" applyFont="1" applyFill="1" applyBorder="1" applyAlignment="1" applyProtection="1">
      <alignment horizontal="center" vertical="center" wrapText="1"/>
      <protection locked="0"/>
    </xf>
    <xf numFmtId="0" fontId="53" fillId="10" borderId="57" xfId="0" applyFont="1" applyFill="1" applyBorder="1" applyAlignment="1" applyProtection="1">
      <alignment horizontal="center" vertical="center" wrapText="1"/>
      <protection locked="0"/>
    </xf>
    <xf numFmtId="0" fontId="53" fillId="19" borderId="22" xfId="0" applyFont="1" applyFill="1" applyBorder="1" applyAlignment="1" applyProtection="1">
      <alignment horizontal="center" vertical="center" wrapText="1"/>
      <protection locked="0"/>
    </xf>
    <xf numFmtId="0" fontId="53" fillId="19" borderId="63" xfId="0" applyFont="1" applyFill="1" applyBorder="1" applyAlignment="1" applyProtection="1">
      <alignment horizontal="center" vertical="center" wrapText="1"/>
      <protection locked="0"/>
    </xf>
    <xf numFmtId="0" fontId="53" fillId="19" borderId="5" xfId="0" applyFont="1" applyFill="1" applyBorder="1" applyAlignment="1" applyProtection="1">
      <alignment horizontal="center" vertical="center" wrapText="1"/>
      <protection locked="0"/>
    </xf>
    <xf numFmtId="0" fontId="53" fillId="19" borderId="36" xfId="0" applyFont="1" applyFill="1" applyBorder="1" applyAlignment="1" applyProtection="1">
      <alignment horizontal="center" vertical="center" wrapText="1"/>
      <protection locked="0"/>
    </xf>
    <xf numFmtId="0" fontId="41" fillId="0" borderId="79" xfId="0" applyFont="1" applyFill="1" applyBorder="1" applyAlignment="1" applyProtection="1">
      <alignment horizontal="center" vertical="center" wrapText="1"/>
      <protection locked="0"/>
    </xf>
    <xf numFmtId="0" fontId="41" fillId="0" borderId="68" xfId="0" applyFont="1" applyFill="1" applyBorder="1" applyAlignment="1" applyProtection="1">
      <alignment horizontal="center" vertical="center" wrapText="1"/>
      <protection locked="0"/>
    </xf>
    <xf numFmtId="0" fontId="41" fillId="0" borderId="69" xfId="0" applyFont="1" applyFill="1" applyBorder="1" applyAlignment="1" applyProtection="1">
      <alignment horizontal="center" vertical="center" wrapText="1"/>
      <protection locked="0"/>
    </xf>
    <xf numFmtId="0" fontId="41" fillId="0" borderId="71" xfId="0" applyFont="1" applyFill="1" applyBorder="1" applyAlignment="1" applyProtection="1">
      <alignment horizontal="center" vertical="center" wrapText="1"/>
      <protection locked="0"/>
    </xf>
    <xf numFmtId="0" fontId="41" fillId="0" borderId="7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Protection="1"/>
    <xf numFmtId="0" fontId="8" fillId="0" borderId="58" xfId="0" applyFont="1" applyBorder="1" applyProtection="1"/>
    <xf numFmtId="0" fontId="8" fillId="0" borderId="5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41" fillId="0" borderId="61" xfId="0" applyFont="1" applyFill="1" applyBorder="1" applyAlignment="1" applyProtection="1">
      <alignment horizontal="center" wrapText="1"/>
      <protection locked="0"/>
    </xf>
    <xf numFmtId="0" fontId="52" fillId="0" borderId="61" xfId="0" applyFont="1" applyFill="1" applyBorder="1" applyAlignment="1" applyProtection="1">
      <alignment horizontal="center" wrapText="1"/>
      <protection locked="0"/>
    </xf>
    <xf numFmtId="0" fontId="10" fillId="0" borderId="76" xfId="0" applyFont="1" applyBorder="1" applyAlignment="1" applyProtection="1">
      <alignment horizontal="center" vertical="center"/>
    </xf>
    <xf numFmtId="0" fontId="8" fillId="0" borderId="61" xfId="0" applyFont="1" applyBorder="1" applyProtection="1"/>
    <xf numFmtId="0" fontId="8" fillId="3" borderId="31" xfId="0" quotePrefix="1" applyFont="1" applyFill="1" applyBorder="1" applyAlignment="1" applyProtection="1">
      <alignment horizontal="center" vertical="center"/>
    </xf>
    <xf numFmtId="0" fontId="1" fillId="16" borderId="13" xfId="0" applyFont="1" applyFill="1" applyBorder="1" applyAlignment="1" applyProtection="1">
      <alignment horizontal="center" vertical="center" wrapText="1"/>
      <protection locked="0"/>
    </xf>
    <xf numFmtId="0" fontId="41" fillId="0" borderId="80" xfId="2" quotePrefix="1" applyFont="1" applyFill="1" applyBorder="1" applyAlignment="1" applyProtection="1">
      <alignment horizontal="center" vertical="center" wrapText="1"/>
    </xf>
    <xf numFmtId="0" fontId="10" fillId="0" borderId="34" xfId="0" applyFont="1" applyBorder="1" applyAlignment="1" applyProtection="1">
      <alignment horizontal="center" vertical="center"/>
    </xf>
    <xf numFmtId="0" fontId="8" fillId="8" borderId="34" xfId="0" quotePrefix="1" applyFont="1" applyFill="1" applyBorder="1" applyAlignment="1" applyProtection="1">
      <alignment horizontal="center" vertical="center"/>
    </xf>
    <xf numFmtId="0" fontId="1" fillId="16" borderId="16" xfId="0" applyFont="1" applyFill="1" applyBorder="1" applyAlignment="1" applyProtection="1">
      <alignment horizontal="center" vertical="center" wrapText="1"/>
      <protection locked="0"/>
    </xf>
    <xf numFmtId="0" fontId="41" fillId="0" borderId="81" xfId="2" applyFont="1" applyFill="1" applyBorder="1" applyAlignment="1" applyProtection="1">
      <alignment horizontal="center" vertical="center" wrapText="1"/>
    </xf>
    <xf numFmtId="0" fontId="10" fillId="0" borderId="35" xfId="0" applyFont="1" applyBorder="1" applyAlignment="1" applyProtection="1">
      <alignment horizontal="center" vertical="center"/>
    </xf>
    <xf numFmtId="0" fontId="8" fillId="16" borderId="35" xfId="0" quotePrefix="1" applyFont="1" applyFill="1" applyBorder="1" applyAlignment="1" applyProtection="1">
      <alignment horizontal="center" vertical="center"/>
    </xf>
    <xf numFmtId="0" fontId="41" fillId="21" borderId="58" xfId="2" applyFont="1" applyFill="1" applyBorder="1" applyAlignment="1" applyProtection="1">
      <alignment horizontal="center" vertical="center" wrapText="1"/>
    </xf>
    <xf numFmtId="0" fontId="41" fillId="0" borderId="0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Border="1" applyAlignment="1" applyProtection="1">
      <alignment horizontal="center" wrapText="1"/>
      <protection locked="0"/>
    </xf>
    <xf numFmtId="0" fontId="41" fillId="21" borderId="0" xfId="2" applyFont="1" applyFill="1" applyBorder="1" applyAlignment="1" applyProtection="1">
      <alignment horizontal="center" wrapText="1"/>
    </xf>
    <xf numFmtId="0" fontId="10" fillId="0" borderId="38" xfId="0" applyFont="1" applyBorder="1" applyAlignment="1" applyProtection="1">
      <alignment horizontal="center" vertical="center"/>
    </xf>
    <xf numFmtId="0" fontId="41" fillId="0" borderId="73" xfId="2" applyFont="1" applyFill="1" applyBorder="1" applyAlignment="1" applyProtection="1">
      <alignment horizontal="center" vertical="center" wrapText="1"/>
    </xf>
    <xf numFmtId="0" fontId="41" fillId="0" borderId="74" xfId="2" quotePrefix="1" applyFont="1" applyFill="1" applyBorder="1" applyAlignment="1" applyProtection="1">
      <alignment horizontal="center" vertical="center" wrapText="1"/>
    </xf>
    <xf numFmtId="0" fontId="41" fillId="21" borderId="61" xfId="2" applyFont="1" applyFill="1" applyBorder="1" applyAlignment="1" applyProtection="1">
      <alignment horizontal="center" wrapText="1"/>
    </xf>
    <xf numFmtId="0" fontId="41" fillId="0" borderId="73" xfId="2" quotePrefix="1" applyFont="1" applyFill="1" applyBorder="1" applyAlignment="1" applyProtection="1">
      <alignment horizontal="center" vertical="center" wrapText="1"/>
    </xf>
    <xf numFmtId="0" fontId="41" fillId="0" borderId="75" xfId="2" quotePrefix="1" applyFont="1" applyFill="1" applyBorder="1" applyAlignment="1" applyProtection="1">
      <alignment horizontal="center" vertical="center" wrapText="1"/>
    </xf>
    <xf numFmtId="0" fontId="41" fillId="0" borderId="73" xfId="2" quotePrefix="1" applyNumberFormat="1" applyFont="1" applyFill="1" applyBorder="1" applyAlignment="1" applyProtection="1">
      <alignment horizontal="center" vertical="center" wrapText="1"/>
    </xf>
    <xf numFmtId="0" fontId="41" fillId="0" borderId="0" xfId="0" applyFont="1" applyBorder="1" applyAlignment="1" applyProtection="1">
      <alignment horizontal="center" vertical="center" wrapText="1"/>
      <protection locked="0"/>
    </xf>
    <xf numFmtId="0" fontId="41" fillId="0" borderId="75" xfId="2" applyNumberFormat="1" applyFont="1" applyFill="1" applyBorder="1" applyAlignment="1" applyProtection="1">
      <alignment horizontal="center" vertical="center" wrapText="1"/>
    </xf>
    <xf numFmtId="0" fontId="41" fillId="0" borderId="58" xfId="0" applyFont="1" applyBorder="1" applyAlignment="1" applyProtection="1">
      <alignment horizontal="center" vertical="center" wrapText="1"/>
    </xf>
    <xf numFmtId="0" fontId="41" fillId="0" borderId="0" xfId="0" applyFont="1" applyFill="1" applyBorder="1" applyAlignment="1" applyProtection="1">
      <alignment horizontal="center" wrapText="1"/>
    </xf>
    <xf numFmtId="0" fontId="10" fillId="0" borderId="34" xfId="0" applyFont="1" applyFill="1" applyBorder="1" applyAlignment="1" applyProtection="1">
      <alignment horizontal="center" vertical="center"/>
    </xf>
    <xf numFmtId="0" fontId="41" fillId="0" borderId="75" xfId="2" applyFont="1" applyFill="1" applyBorder="1" applyAlignment="1" applyProtection="1">
      <alignment horizontal="center" vertical="center" wrapText="1"/>
    </xf>
    <xf numFmtId="0" fontId="10" fillId="0" borderId="76" xfId="0" applyFont="1" applyFill="1" applyBorder="1" applyAlignment="1" applyProtection="1">
      <alignment horizontal="center" vertical="center"/>
    </xf>
    <xf numFmtId="0" fontId="10" fillId="0" borderId="35" xfId="0" applyFont="1" applyFill="1" applyBorder="1" applyAlignment="1" applyProtection="1">
      <alignment horizontal="center" vertical="center"/>
    </xf>
    <xf numFmtId="0" fontId="52" fillId="0" borderId="0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Protection="1"/>
    <xf numFmtId="0" fontId="41" fillId="0" borderId="74" xfId="2" applyFont="1" applyFill="1" applyBorder="1" applyAlignment="1" applyProtection="1">
      <alignment horizontal="center" vertical="center" wrapText="1"/>
    </xf>
    <xf numFmtId="0" fontId="40" fillId="0" borderId="0" xfId="0" applyFont="1" applyFill="1"/>
    <xf numFmtId="0" fontId="10" fillId="0" borderId="38" xfId="0" applyFont="1" applyFill="1" applyBorder="1" applyAlignment="1" applyProtection="1">
      <alignment horizontal="center" vertical="center"/>
    </xf>
    <xf numFmtId="0" fontId="41" fillId="0" borderId="58" xfId="2" applyFont="1" applyFill="1" applyBorder="1" applyAlignment="1" applyProtection="1">
      <alignment horizontal="center" vertical="center" wrapText="1"/>
    </xf>
    <xf numFmtId="0" fontId="41" fillId="0" borderId="61" xfId="2" applyFont="1" applyFill="1" applyBorder="1" applyAlignment="1" applyProtection="1">
      <alignment horizontal="center" wrapText="1"/>
    </xf>
    <xf numFmtId="0" fontId="41" fillId="0" borderId="58" xfId="0" applyFont="1" applyFill="1" applyBorder="1" applyAlignment="1" applyProtection="1">
      <alignment horizontal="center" vertical="center" wrapText="1"/>
    </xf>
    <xf numFmtId="0" fontId="41" fillId="0" borderId="61" xfId="0" applyFont="1" applyBorder="1" applyAlignment="1" applyProtection="1">
      <alignment horizontal="center" vertical="center" wrapText="1"/>
      <protection locked="0"/>
    </xf>
    <xf numFmtId="0" fontId="41" fillId="0" borderId="61" xfId="0" applyFont="1" applyFill="1" applyBorder="1" applyAlignment="1" applyProtection="1">
      <alignment horizontal="center" wrapText="1"/>
    </xf>
    <xf numFmtId="0" fontId="8" fillId="0" borderId="0" xfId="0" applyFont="1"/>
    <xf numFmtId="0" fontId="8" fillId="0" borderId="58" xfId="0" applyFont="1" applyBorder="1"/>
    <xf numFmtId="0" fontId="8" fillId="25" borderId="85" xfId="0" applyFont="1" applyFill="1" applyBorder="1"/>
    <xf numFmtId="0" fontId="8" fillId="25" borderId="86" xfId="0" applyFont="1" applyFill="1" applyBorder="1"/>
    <xf numFmtId="0" fontId="8" fillId="25" borderId="87" xfId="0" applyFont="1" applyFill="1" applyBorder="1"/>
    <xf numFmtId="0" fontId="8" fillId="0" borderId="0" xfId="0" applyFont="1" applyFill="1"/>
    <xf numFmtId="0" fontId="40" fillId="0" borderId="0" xfId="0" applyFont="1" applyAlignment="1">
      <alignment horizontal="center"/>
    </xf>
    <xf numFmtId="0" fontId="54" fillId="0" borderId="0" xfId="0" applyFont="1"/>
    <xf numFmtId="0" fontId="8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55" fillId="0" borderId="0" xfId="0" applyFont="1"/>
    <xf numFmtId="0" fontId="31" fillId="0" borderId="0" xfId="0" applyFont="1" applyAlignment="1">
      <alignment horizontal="center" vertical="center"/>
    </xf>
    <xf numFmtId="0" fontId="56" fillId="0" borderId="0" xfId="0" applyFont="1"/>
    <xf numFmtId="0" fontId="56" fillId="0" borderId="0" xfId="0" applyFont="1" applyFill="1"/>
    <xf numFmtId="0" fontId="8" fillId="0" borderId="0" xfId="0" quotePrefix="1" applyFont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quotePrefix="1" applyFont="1" applyFill="1" applyBorder="1" applyAlignment="1" applyProtection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56" fillId="8" borderId="1" xfId="0" applyFont="1" applyFill="1" applyBorder="1" applyAlignment="1">
      <alignment horizontal="center" vertical="center"/>
    </xf>
    <xf numFmtId="0" fontId="8" fillId="0" borderId="0" xfId="0" quotePrefix="1" applyFont="1" applyFill="1" applyBorder="1" applyAlignment="1" applyProtection="1"/>
    <xf numFmtId="0" fontId="41" fillId="0" borderId="0" xfId="0" applyFont="1" applyAlignment="1" applyProtection="1">
      <alignment horizontal="center" vertical="center" wrapText="1"/>
      <protection locked="0"/>
    </xf>
    <xf numFmtId="0" fontId="41" fillId="0" borderId="0" xfId="0" applyFont="1" applyFill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41" fillId="0" borderId="0" xfId="0" applyFont="1" applyFill="1" applyAlignment="1" applyProtection="1">
      <alignment horizontal="center"/>
      <protection locked="0"/>
    </xf>
    <xf numFmtId="0" fontId="8" fillId="11" borderId="1" xfId="0" applyFont="1" applyFill="1" applyBorder="1" applyAlignment="1" applyProtection="1">
      <alignment horizontal="center"/>
      <protection locked="0"/>
    </xf>
    <xf numFmtId="0" fontId="41" fillId="0" borderId="0" xfId="0" applyFont="1" applyProtection="1">
      <protection locked="0"/>
    </xf>
    <xf numFmtId="0" fontId="41" fillId="0" borderId="0" xfId="0" applyFont="1" applyFill="1" applyProtection="1"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41" fillId="0" borderId="52" xfId="0" applyFont="1" applyBorder="1" applyAlignment="1" applyProtection="1">
      <alignment horizontal="center" vertical="center" wrapText="1"/>
      <protection locked="0"/>
    </xf>
    <xf numFmtId="0" fontId="31" fillId="0" borderId="0" xfId="0" quotePrefix="1" applyFont="1" applyFill="1" applyProtection="1"/>
    <xf numFmtId="0" fontId="8" fillId="0" borderId="5" xfId="0" applyFont="1" applyFill="1" applyBorder="1" applyAlignment="1" applyProtection="1">
      <alignment horizontal="center" vertical="center"/>
      <protection locked="0"/>
    </xf>
    <xf numFmtId="0" fontId="41" fillId="0" borderId="55" xfId="0" applyFont="1" applyBorder="1" applyAlignment="1" applyProtection="1">
      <alignment horizontal="center" vertical="center" wrapText="1"/>
      <protection locked="0"/>
    </xf>
    <xf numFmtId="0" fontId="8" fillId="8" borderId="1" xfId="0" applyFont="1" applyFill="1" applyBorder="1" applyAlignment="1" applyProtection="1">
      <alignment horizontal="center"/>
      <protection locked="0"/>
    </xf>
    <xf numFmtId="0" fontId="40" fillId="0" borderId="0" xfId="0" applyFont="1" applyFill="1" applyBorder="1"/>
    <xf numFmtId="0" fontId="40" fillId="0" borderId="0" xfId="0" applyFont="1" applyFill="1" applyProtection="1">
      <protection locked="0"/>
    </xf>
    <xf numFmtId="0" fontId="40" fillId="0" borderId="0" xfId="0" applyFont="1" applyFill="1" applyAlignment="1" applyProtection="1">
      <alignment horizontal="center"/>
      <protection locked="0"/>
    </xf>
    <xf numFmtId="0" fontId="40" fillId="0" borderId="0" xfId="0" applyFont="1" applyFill="1" applyProtection="1"/>
    <xf numFmtId="0" fontId="41" fillId="0" borderId="0" xfId="0" applyFont="1" applyFill="1" applyProtection="1"/>
    <xf numFmtId="0" fontId="31" fillId="0" borderId="0" xfId="0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29" borderId="1" xfId="0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 applyProtection="1">
      <alignment horizont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horizontal="center" vertical="center"/>
    </xf>
    <xf numFmtId="0" fontId="40" fillId="0" borderId="0" xfId="0" applyFont="1" applyFill="1" applyAlignment="1">
      <alignment vertical="center" wrapText="1"/>
    </xf>
    <xf numFmtId="0" fontId="35" fillId="0" borderId="0" xfId="0" quotePrefix="1" applyFont="1" applyFill="1" applyProtection="1"/>
    <xf numFmtId="0" fontId="31" fillId="0" borderId="0" xfId="0" applyFont="1" applyBorder="1" applyAlignment="1" applyProtection="1">
      <alignment horizontal="center" vertical="center" wrapText="1"/>
      <protection locked="0"/>
    </xf>
    <xf numFmtId="0" fontId="31" fillId="0" borderId="0" xfId="0" applyFont="1" applyFill="1" applyProtection="1"/>
    <xf numFmtId="0" fontId="8" fillId="0" borderId="31" xfId="0" applyFont="1" applyBorder="1" applyAlignment="1" applyProtection="1">
      <alignment horizontal="center"/>
    </xf>
    <xf numFmtId="0" fontId="8" fillId="0" borderId="0" xfId="0" applyFont="1" applyProtection="1"/>
    <xf numFmtId="0" fontId="1" fillId="0" borderId="31" xfId="0" quotePrefix="1" applyNumberFormat="1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Alignment="1" applyProtection="1">
      <alignment horizontal="center" vertical="center"/>
    </xf>
    <xf numFmtId="0" fontId="8" fillId="0" borderId="34" xfId="0" applyFont="1" applyFill="1" applyBorder="1" applyAlignment="1" applyProtection="1">
      <alignment horizontal="center"/>
    </xf>
    <xf numFmtId="0" fontId="1" fillId="0" borderId="34" xfId="0" quotePrefix="1" applyNumberFormat="1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vertical="center"/>
    </xf>
    <xf numFmtId="0" fontId="8" fillId="26" borderId="1" xfId="0" applyFont="1" applyFill="1" applyBorder="1" applyAlignment="1" applyProtection="1">
      <alignment horizontal="center" vertical="center"/>
    </xf>
    <xf numFmtId="0" fontId="41" fillId="28" borderId="0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>
      <alignment horizontal="center" vertical="center" wrapText="1"/>
    </xf>
    <xf numFmtId="0" fontId="8" fillId="0" borderId="35" xfId="0" applyFont="1" applyBorder="1" applyAlignment="1" applyProtection="1">
      <alignment horizontal="center"/>
    </xf>
    <xf numFmtId="0" fontId="1" fillId="0" borderId="35" xfId="0" quotePrefix="1" applyNumberFormat="1" applyFont="1" applyFill="1" applyBorder="1" applyAlignment="1" applyProtection="1">
      <alignment horizontal="center" vertical="center"/>
    </xf>
    <xf numFmtId="0" fontId="40" fillId="16" borderId="20" xfId="0" applyFont="1" applyFill="1" applyBorder="1" applyAlignment="1">
      <alignment vertical="center"/>
    </xf>
    <xf numFmtId="0" fontId="41" fillId="0" borderId="0" xfId="0" applyFont="1" applyFill="1" applyBorder="1" applyAlignment="1" applyProtection="1">
      <alignment vertical="center" wrapText="1"/>
      <protection locked="0"/>
    </xf>
    <xf numFmtId="0" fontId="40" fillId="0" borderId="0" xfId="0" applyFont="1" applyFill="1" applyAlignment="1">
      <alignment wrapText="1"/>
    </xf>
    <xf numFmtId="0" fontId="55" fillId="0" borderId="0" xfId="0" applyFont="1" applyFill="1"/>
    <xf numFmtId="0" fontId="55" fillId="0" borderId="0" xfId="0" applyFont="1" applyFill="1" applyAlignment="1">
      <alignment horizontal="center"/>
    </xf>
    <xf numFmtId="0" fontId="55" fillId="0" borderId="0" xfId="0" applyFont="1" applyAlignment="1">
      <alignment horizontal="center"/>
    </xf>
    <xf numFmtId="0" fontId="35" fillId="0" borderId="0" xfId="0" applyFont="1" applyAlignment="1" applyProtection="1">
      <alignment horizontal="center" vertical="center" wrapText="1"/>
      <protection locked="0"/>
    </xf>
    <xf numFmtId="0" fontId="40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55" fillId="0" borderId="0" xfId="0" applyFont="1" applyProtection="1">
      <protection locked="0"/>
    </xf>
    <xf numFmtId="0" fontId="41" fillId="0" borderId="0" xfId="0" quotePrefix="1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>
      <alignment horizontal="left"/>
    </xf>
    <xf numFmtId="0" fontId="40" fillId="0" borderId="0" xfId="0" applyFont="1" applyFill="1" applyBorder="1" applyAlignment="1" applyProtection="1">
      <alignment horizontal="left"/>
      <protection locked="0"/>
    </xf>
    <xf numFmtId="0" fontId="40" fillId="0" borderId="0" xfId="0" applyFont="1" applyFill="1" applyAlignment="1" applyProtection="1">
      <alignment horizontal="left"/>
      <protection locked="0"/>
    </xf>
    <xf numFmtId="0" fontId="41" fillId="0" borderId="0" xfId="0" applyFont="1" applyFill="1" applyAlignment="1" applyProtection="1">
      <alignment horizont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40" fillId="0" borderId="0" xfId="0" applyFont="1" applyBorder="1"/>
    <xf numFmtId="0" fontId="41" fillId="22" borderId="0" xfId="0" applyFont="1" applyFill="1" applyBorder="1" applyAlignment="1" applyProtection="1">
      <alignment horizontal="center" vertical="center" wrapText="1"/>
      <protection locked="0"/>
    </xf>
    <xf numFmtId="0" fontId="52" fillId="22" borderId="0" xfId="0" applyFont="1" applyFill="1" applyBorder="1" applyAlignment="1" applyProtection="1">
      <alignment horizontal="center" wrapText="1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40" fillId="16" borderId="0" xfId="0" applyFont="1" applyFill="1" applyAlignment="1">
      <alignment horizontal="center"/>
    </xf>
    <xf numFmtId="0" fontId="41" fillId="16" borderId="0" xfId="0" applyFont="1" applyFill="1" applyBorder="1" applyAlignment="1" applyProtection="1">
      <alignment horizontal="center" vertical="center" wrapText="1"/>
      <protection locked="0"/>
    </xf>
    <xf numFmtId="0" fontId="40" fillId="16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" xfId="0" quotePrefix="1" applyFont="1" applyBorder="1" applyAlignment="1">
      <alignment horizontal="center" vertical="center"/>
    </xf>
    <xf numFmtId="0" fontId="18" fillId="0" borderId="0" xfId="0" applyFont="1"/>
    <xf numFmtId="0" fontId="8" fillId="0" borderId="0" xfId="0" applyFont="1" applyFill="1" applyBorder="1"/>
    <xf numFmtId="0" fontId="8" fillId="0" borderId="0" xfId="0" applyFont="1" applyFill="1" applyProtection="1"/>
    <xf numFmtId="0" fontId="3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8" fillId="0" borderId="0" xfId="0" applyFont="1" applyBorder="1"/>
    <xf numFmtId="0" fontId="8" fillId="0" borderId="0" xfId="0" applyFont="1" applyBorder="1"/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16" borderId="88" xfId="0" applyFont="1" applyFill="1" applyBorder="1" applyAlignment="1">
      <alignment horizontal="center" vertical="center"/>
    </xf>
    <xf numFmtId="0" fontId="41" fillId="16" borderId="88" xfId="0" applyFont="1" applyFill="1" applyBorder="1" applyAlignment="1" applyProtection="1">
      <alignment horizontal="center" vertical="center" wrapText="1"/>
      <protection locked="0"/>
    </xf>
    <xf numFmtId="0" fontId="41" fillId="28" borderId="88" xfId="0" applyFont="1" applyFill="1" applyBorder="1" applyAlignment="1" applyProtection="1">
      <alignment horizontal="center" vertical="center" wrapText="1"/>
      <protection locked="0"/>
    </xf>
    <xf numFmtId="0" fontId="8" fillId="16" borderId="48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8" xfId="0" quotePrefix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93" xfId="0" quotePrefix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57" fillId="0" borderId="0" xfId="0" applyFont="1" applyAlignment="1" applyProtection="1">
      <alignment vertical="center"/>
      <protection locked="0"/>
    </xf>
    <xf numFmtId="0" fontId="58" fillId="0" borderId="0" xfId="0" applyFont="1"/>
    <xf numFmtId="0" fontId="31" fillId="0" borderId="0" xfId="0" quotePrefix="1" applyFont="1" applyAlignment="1">
      <alignment horizontal="center" vertical="center"/>
    </xf>
    <xf numFmtId="0" fontId="54" fillId="0" borderId="0" xfId="0" quotePrefix="1" applyFont="1" applyAlignment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17" fillId="29" borderId="8" xfId="0" applyFont="1" applyFill="1" applyBorder="1" applyAlignment="1" applyProtection="1">
      <alignment horizontal="left" vertical="center"/>
      <protection locked="0"/>
    </xf>
    <xf numFmtId="0" fontId="17" fillId="29" borderId="9" xfId="0" applyFont="1" applyFill="1" applyBorder="1" applyAlignment="1" applyProtection="1">
      <alignment horizontal="left" vertical="center"/>
      <protection locked="0"/>
    </xf>
    <xf numFmtId="0" fontId="17" fillId="29" borderId="10" xfId="0" applyFont="1" applyFill="1" applyBorder="1" applyAlignment="1" applyProtection="1">
      <alignment horizontal="left" vertical="center"/>
      <protection locked="0"/>
    </xf>
    <xf numFmtId="0" fontId="17" fillId="9" borderId="8" xfId="0" applyFont="1" applyFill="1" applyBorder="1" applyAlignment="1" applyProtection="1">
      <alignment horizontal="center" vertical="center"/>
      <protection locked="0"/>
    </xf>
    <xf numFmtId="0" fontId="17" fillId="9" borderId="9" xfId="0" applyFont="1" applyFill="1" applyBorder="1" applyAlignment="1" applyProtection="1">
      <alignment horizontal="center" vertical="center"/>
      <protection locked="0"/>
    </xf>
    <xf numFmtId="0" fontId="17" fillId="9" borderId="10" xfId="0" applyFont="1" applyFill="1" applyBorder="1" applyAlignment="1" applyProtection="1">
      <alignment horizontal="center" vertical="center"/>
      <protection locked="0"/>
    </xf>
    <xf numFmtId="0" fontId="8" fillId="28" borderId="0" xfId="0" applyFont="1" applyFill="1" applyBorder="1" applyAlignment="1" applyProtection="1">
      <alignment horizontal="center" vertical="center"/>
      <protection locked="0"/>
    </xf>
    <xf numFmtId="0" fontId="8" fillId="28" borderId="20" xfId="0" applyFont="1" applyFill="1" applyBorder="1" applyAlignment="1" applyProtection="1">
      <alignment horizontal="center" vertical="center"/>
      <protection locked="0"/>
    </xf>
    <xf numFmtId="0" fontId="40" fillId="16" borderId="0" xfId="0" applyFont="1" applyFill="1" applyAlignment="1">
      <alignment horizontal="center"/>
    </xf>
    <xf numFmtId="0" fontId="40" fillId="30" borderId="8" xfId="0" applyFont="1" applyFill="1" applyBorder="1" applyAlignment="1">
      <alignment horizontal="center"/>
    </xf>
    <xf numFmtId="0" fontId="40" fillId="30" borderId="9" xfId="0" applyFont="1" applyFill="1" applyBorder="1" applyAlignment="1">
      <alignment horizontal="center"/>
    </xf>
    <xf numFmtId="0" fontId="40" fillId="30" borderId="10" xfId="0" applyFont="1" applyFill="1" applyBorder="1" applyAlignment="1">
      <alignment horizontal="center"/>
    </xf>
    <xf numFmtId="0" fontId="40" fillId="3" borderId="0" xfId="0" applyFont="1" applyFill="1" applyAlignment="1">
      <alignment horizontal="center"/>
    </xf>
    <xf numFmtId="0" fontId="8" fillId="8" borderId="0" xfId="0" applyFont="1" applyFill="1" applyBorder="1" applyAlignment="1" applyProtection="1">
      <alignment horizontal="center" vertical="center"/>
      <protection locked="0"/>
    </xf>
    <xf numFmtId="0" fontId="8" fillId="8" borderId="20" xfId="0" applyFont="1" applyFill="1" applyBorder="1" applyAlignment="1" applyProtection="1">
      <alignment horizontal="center" vertical="center"/>
      <protection locked="0"/>
    </xf>
    <xf numFmtId="0" fontId="8" fillId="15" borderId="0" xfId="0" applyFont="1" applyFill="1" applyAlignment="1" applyProtection="1">
      <alignment horizontal="center" vertical="center"/>
      <protection locked="0"/>
    </xf>
    <xf numFmtId="0" fontId="41" fillId="28" borderId="0" xfId="0" applyFont="1" applyFill="1" applyBorder="1" applyAlignment="1" applyProtection="1">
      <alignment horizontal="center" vertical="center" wrapText="1"/>
      <protection locked="0"/>
    </xf>
    <xf numFmtId="0" fontId="41" fillId="28" borderId="20" xfId="0" applyFont="1" applyFill="1" applyBorder="1" applyAlignment="1" applyProtection="1">
      <alignment horizontal="center" vertical="center" wrapText="1"/>
      <protection locked="0"/>
    </xf>
    <xf numFmtId="0" fontId="40" fillId="28" borderId="0" xfId="0" applyFont="1" applyFill="1" applyAlignment="1">
      <alignment horizontal="center" vertical="center"/>
    </xf>
    <xf numFmtId="0" fontId="40" fillId="28" borderId="20" xfId="0" applyFont="1" applyFill="1" applyBorder="1" applyAlignment="1">
      <alignment horizontal="center" vertical="center"/>
    </xf>
    <xf numFmtId="0" fontId="10" fillId="0" borderId="21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8" fillId="0" borderId="5" xfId="0" quotePrefix="1" applyFont="1" applyBorder="1" applyAlignment="1" applyProtection="1">
      <alignment horizontal="center" vertical="center"/>
    </xf>
    <xf numFmtId="0" fontId="8" fillId="0" borderId="6" xfId="0" quotePrefix="1" applyFont="1" applyBorder="1" applyAlignment="1" applyProtection="1">
      <alignment horizontal="center" vertical="center"/>
    </xf>
    <xf numFmtId="0" fontId="8" fillId="0" borderId="50" xfId="0" quotePrefix="1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41" fillId="11" borderId="0" xfId="0" applyFont="1" applyFill="1" applyAlignment="1" applyProtection="1">
      <alignment horizontal="center" vertical="center"/>
      <protection locked="0"/>
    </xf>
    <xf numFmtId="0" fontId="41" fillId="16" borderId="0" xfId="0" applyFont="1" applyFill="1" applyBorder="1" applyAlignment="1" applyProtection="1">
      <alignment horizontal="center" vertical="center" wrapText="1"/>
      <protection locked="0"/>
    </xf>
    <xf numFmtId="0" fontId="41" fillId="16" borderId="20" xfId="0" applyFont="1" applyFill="1" applyBorder="1" applyAlignment="1" applyProtection="1">
      <alignment horizontal="center" vertical="center" wrapText="1"/>
      <protection locked="0"/>
    </xf>
    <xf numFmtId="0" fontId="40" fillId="8" borderId="0" xfId="0" applyFont="1" applyFill="1" applyAlignment="1">
      <alignment horizontal="center" vertical="center"/>
    </xf>
    <xf numFmtId="0" fontId="41" fillId="3" borderId="0" xfId="0" applyFont="1" applyFill="1" applyBorder="1" applyAlignment="1" applyProtection="1">
      <alignment horizontal="center" vertical="center" wrapText="1"/>
      <protection locked="0"/>
    </xf>
    <xf numFmtId="0" fontId="41" fillId="3" borderId="20" xfId="0" applyFont="1" applyFill="1" applyBorder="1" applyAlignment="1" applyProtection="1">
      <alignment horizontal="center" vertical="center" wrapText="1"/>
      <protection locked="0"/>
    </xf>
    <xf numFmtId="0" fontId="40" fillId="29" borderId="8" xfId="0" applyFont="1" applyFill="1" applyBorder="1" applyAlignment="1">
      <alignment horizontal="center" vertical="center"/>
    </xf>
    <xf numFmtId="0" fontId="40" fillId="29" borderId="10" xfId="0" applyFont="1" applyFill="1" applyBorder="1" applyAlignment="1">
      <alignment horizontal="center" vertical="center"/>
    </xf>
    <xf numFmtId="0" fontId="40" fillId="3" borderId="0" xfId="0" applyFont="1" applyFill="1" applyAlignment="1">
      <alignment horizontal="center" vertical="center"/>
    </xf>
    <xf numFmtId="0" fontId="40" fillId="3" borderId="20" xfId="0" applyFont="1" applyFill="1" applyBorder="1" applyAlignment="1">
      <alignment horizontal="center" vertical="center"/>
    </xf>
    <xf numFmtId="0" fontId="8" fillId="16" borderId="0" xfId="0" applyFont="1" applyFill="1" applyBorder="1" applyAlignment="1" applyProtection="1">
      <alignment horizontal="center" vertical="center"/>
      <protection locked="0"/>
    </xf>
    <xf numFmtId="0" fontId="8" fillId="16" borderId="20" xfId="0" applyFont="1" applyFill="1" applyBorder="1" applyAlignment="1" applyProtection="1">
      <alignment horizontal="center" vertical="center"/>
      <protection locked="0"/>
    </xf>
    <xf numFmtId="0" fontId="40" fillId="16" borderId="0" xfId="0" applyFont="1" applyFill="1" applyAlignment="1">
      <alignment horizontal="center" vertical="center"/>
    </xf>
    <xf numFmtId="0" fontId="40" fillId="16" borderId="20" xfId="0" applyFont="1" applyFill="1" applyBorder="1" applyAlignment="1">
      <alignment horizontal="center" vertical="center"/>
    </xf>
    <xf numFmtId="0" fontId="8" fillId="31" borderId="8" xfId="0" applyFont="1" applyFill="1" applyBorder="1" applyAlignment="1" applyProtection="1">
      <alignment horizontal="center" vertical="center"/>
      <protection locked="0"/>
    </xf>
    <xf numFmtId="0" fontId="8" fillId="31" borderId="9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 locked="0"/>
    </xf>
    <xf numFmtId="0" fontId="8" fillId="26" borderId="8" xfId="0" applyFont="1" applyFill="1" applyBorder="1" applyAlignment="1" applyProtection="1">
      <alignment horizontal="center" vertical="center"/>
      <protection locked="0"/>
    </xf>
    <xf numFmtId="0" fontId="8" fillId="26" borderId="9" xfId="0" applyFont="1" applyFill="1" applyBorder="1" applyAlignment="1" applyProtection="1">
      <alignment horizontal="center" vertical="center"/>
      <protection locked="0"/>
    </xf>
    <xf numFmtId="0" fontId="8" fillId="26" borderId="10" xfId="0" applyFont="1" applyFill="1" applyBorder="1" applyAlignment="1" applyProtection="1">
      <alignment horizontal="center" vertical="center"/>
      <protection locked="0"/>
    </xf>
    <xf numFmtId="0" fontId="8" fillId="29" borderId="8" xfId="0" applyFont="1" applyFill="1" applyBorder="1" applyAlignment="1" applyProtection="1">
      <alignment horizontal="center" vertical="center"/>
      <protection locked="0"/>
    </xf>
    <xf numFmtId="0" fontId="8" fillId="29" borderId="9" xfId="0" applyFont="1" applyFill="1" applyBorder="1" applyAlignment="1" applyProtection="1">
      <alignment horizontal="center" vertical="center"/>
      <protection locked="0"/>
    </xf>
    <xf numFmtId="0" fontId="8" fillId="29" borderId="10" xfId="0" applyFont="1" applyFill="1" applyBorder="1" applyAlignment="1" applyProtection="1">
      <alignment horizontal="center" vertical="center"/>
      <protection locked="0"/>
    </xf>
    <xf numFmtId="0" fontId="40" fillId="31" borderId="8" xfId="0" applyFont="1" applyFill="1" applyBorder="1" applyAlignment="1">
      <alignment horizontal="center" vertical="center"/>
    </xf>
    <xf numFmtId="0" fontId="40" fillId="31" borderId="9" xfId="0" applyFont="1" applyFill="1" applyBorder="1" applyAlignment="1">
      <alignment horizontal="center" vertical="center"/>
    </xf>
    <xf numFmtId="0" fontId="40" fillId="31" borderId="10" xfId="0" applyFont="1" applyFill="1" applyBorder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10" fillId="0" borderId="19" xfId="0" quotePrefix="1" applyFont="1" applyBorder="1" applyAlignment="1" applyProtection="1">
      <alignment horizontal="center" vertical="center"/>
    </xf>
    <xf numFmtId="0" fontId="10" fillId="0" borderId="11" xfId="0" quotePrefix="1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18" fillId="0" borderId="8" xfId="0" quotePrefix="1" applyFont="1" applyBorder="1" applyAlignment="1" applyProtection="1">
      <alignment horizontal="center" vertical="center"/>
      <protection locked="0"/>
    </xf>
    <xf numFmtId="0" fontId="18" fillId="0" borderId="10" xfId="0" quotePrefix="1" applyFont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Alignment="1" applyProtection="1">
      <alignment horizontal="center"/>
      <protection locked="0"/>
    </xf>
    <xf numFmtId="0" fontId="33" fillId="20" borderId="13" xfId="0" applyFont="1" applyFill="1" applyBorder="1" applyAlignment="1" applyProtection="1">
      <alignment horizontal="center" vertical="center" wrapText="1"/>
      <protection locked="0"/>
    </xf>
    <xf numFmtId="0" fontId="33" fillId="20" borderId="14" xfId="0" applyFont="1" applyFill="1" applyBorder="1" applyAlignment="1" applyProtection="1">
      <alignment horizontal="center" vertical="center" wrapText="1"/>
      <protection locked="0"/>
    </xf>
    <xf numFmtId="0" fontId="33" fillId="20" borderId="1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15" fillId="13" borderId="13" xfId="0" quotePrefix="1" applyNumberFormat="1" applyFont="1" applyFill="1" applyBorder="1" applyAlignment="1" applyProtection="1">
      <alignment horizontal="center" vertical="center"/>
    </xf>
    <xf numFmtId="0" fontId="15" fillId="13" borderId="15" xfId="0" applyNumberFormat="1" applyFont="1" applyFill="1" applyBorder="1" applyAlignment="1" applyProtection="1">
      <alignment horizontal="center" vertical="center"/>
    </xf>
    <xf numFmtId="0" fontId="15" fillId="13" borderId="16" xfId="0" applyNumberFormat="1" applyFont="1" applyFill="1" applyBorder="1" applyAlignment="1" applyProtection="1">
      <alignment horizontal="center" vertical="center"/>
    </xf>
    <xf numFmtId="0" fontId="15" fillId="13" borderId="18" xfId="0" applyNumberFormat="1" applyFont="1" applyFill="1" applyBorder="1" applyAlignment="1" applyProtection="1">
      <alignment horizontal="center" vertical="center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29" borderId="8" xfId="0" applyFont="1" applyFill="1" applyBorder="1" applyAlignment="1" applyProtection="1">
      <alignment horizontal="center" vertical="center"/>
      <protection locked="0"/>
    </xf>
    <xf numFmtId="0" fontId="7" fillId="29" borderId="9" xfId="0" applyFont="1" applyFill="1" applyBorder="1" applyAlignment="1" applyProtection="1">
      <alignment horizontal="center" vertical="center"/>
      <protection locked="0"/>
    </xf>
    <xf numFmtId="0" fontId="7" fillId="29" borderId="10" xfId="0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8" fillId="0" borderId="2" xfId="0" quotePrefix="1" applyFont="1" applyBorder="1" applyAlignment="1" applyProtection="1">
      <alignment horizontal="center" vertical="center"/>
    </xf>
    <xf numFmtId="0" fontId="8" fillId="0" borderId="3" xfId="0" quotePrefix="1" applyFont="1" applyBorder="1" applyAlignment="1" applyProtection="1">
      <alignment horizontal="center" vertical="center"/>
    </xf>
    <xf numFmtId="0" fontId="8" fillId="0" borderId="83" xfId="0" quotePrefix="1" applyFont="1" applyBorder="1" applyAlignment="1" applyProtection="1">
      <alignment horizontal="center" vertical="center"/>
    </xf>
    <xf numFmtId="0" fontId="8" fillId="27" borderId="2" xfId="0" quotePrefix="1" applyFont="1" applyFill="1" applyBorder="1" applyAlignment="1" applyProtection="1">
      <alignment horizontal="center" vertical="center"/>
    </xf>
    <xf numFmtId="0" fontId="8" fillId="27" borderId="3" xfId="0" quotePrefix="1" applyFont="1" applyFill="1" applyBorder="1" applyAlignment="1" applyProtection="1">
      <alignment horizontal="center" vertical="center"/>
    </xf>
    <xf numFmtId="0" fontId="8" fillId="27" borderId="83" xfId="0" quotePrefix="1" applyFont="1" applyFill="1" applyBorder="1" applyAlignment="1" applyProtection="1">
      <alignment horizontal="center" vertical="center"/>
    </xf>
    <xf numFmtId="0" fontId="8" fillId="26" borderId="2" xfId="0" quotePrefix="1" applyFont="1" applyFill="1" applyBorder="1" applyAlignment="1" applyProtection="1">
      <alignment horizontal="center" vertical="center"/>
    </xf>
    <xf numFmtId="0" fontId="8" fillId="26" borderId="3" xfId="0" quotePrefix="1" applyFont="1" applyFill="1" applyBorder="1" applyAlignment="1" applyProtection="1">
      <alignment horizontal="center" vertical="center"/>
    </xf>
    <xf numFmtId="0" fontId="8" fillId="26" borderId="83" xfId="0" quotePrefix="1" applyFont="1" applyFill="1" applyBorder="1" applyAlignment="1" applyProtection="1">
      <alignment horizontal="center" vertical="center"/>
    </xf>
    <xf numFmtId="0" fontId="8" fillId="11" borderId="5" xfId="0" quotePrefix="1" applyFont="1" applyFill="1" applyBorder="1" applyAlignment="1" applyProtection="1">
      <alignment horizontal="center" vertical="center"/>
    </xf>
    <xf numFmtId="0" fontId="8" fillId="11" borderId="6" xfId="0" quotePrefix="1" applyFont="1" applyFill="1" applyBorder="1" applyAlignment="1" applyProtection="1">
      <alignment horizontal="center" vertical="center"/>
    </xf>
    <xf numFmtId="0" fontId="8" fillId="11" borderId="7" xfId="0" quotePrefix="1" applyFont="1" applyFill="1" applyBorder="1" applyAlignment="1" applyProtection="1">
      <alignment horizontal="center" vertical="center"/>
    </xf>
    <xf numFmtId="0" fontId="8" fillId="3" borderId="5" xfId="0" quotePrefix="1" applyFont="1" applyFill="1" applyBorder="1" applyAlignment="1" applyProtection="1">
      <alignment horizontal="center" vertical="center"/>
    </xf>
    <xf numFmtId="0" fontId="8" fillId="3" borderId="6" xfId="0" quotePrefix="1" applyFont="1" applyFill="1" applyBorder="1" applyAlignment="1" applyProtection="1">
      <alignment horizontal="center" vertical="center"/>
    </xf>
    <xf numFmtId="0" fontId="8" fillId="3" borderId="7" xfId="0" quotePrefix="1" applyFont="1" applyFill="1" applyBorder="1" applyAlignment="1" applyProtection="1">
      <alignment horizontal="center" vertical="center"/>
    </xf>
    <xf numFmtId="0" fontId="8" fillId="9" borderId="5" xfId="0" applyFont="1" applyFill="1" applyBorder="1" applyAlignment="1" applyProtection="1">
      <alignment horizontal="center" vertical="center"/>
    </xf>
    <xf numFmtId="0" fontId="8" fillId="9" borderId="6" xfId="0" applyFont="1" applyFill="1" applyBorder="1" applyAlignment="1" applyProtection="1">
      <alignment horizontal="center" vertical="center"/>
    </xf>
    <xf numFmtId="0" fontId="8" fillId="9" borderId="50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82" xfId="0" applyFont="1" applyFill="1" applyBorder="1" applyAlignment="1" applyProtection="1">
      <alignment horizontal="center" vertical="center"/>
    </xf>
    <xf numFmtId="0" fontId="10" fillId="11" borderId="8" xfId="0" applyFont="1" applyFill="1" applyBorder="1" applyAlignment="1" applyProtection="1">
      <alignment horizontal="center" vertical="center"/>
      <protection locked="0"/>
    </xf>
    <xf numFmtId="0" fontId="10" fillId="11" borderId="9" xfId="0" applyFont="1" applyFill="1" applyBorder="1" applyAlignment="1" applyProtection="1">
      <alignment horizontal="center" vertical="center"/>
      <protection locked="0"/>
    </xf>
    <xf numFmtId="0" fontId="10" fillId="11" borderId="10" xfId="0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8" fillId="9" borderId="8" xfId="0" applyFont="1" applyFill="1" applyBorder="1" applyAlignment="1" applyProtection="1">
      <alignment horizontal="center" vertical="center"/>
      <protection locked="0"/>
    </xf>
    <xf numFmtId="0" fontId="8" fillId="9" borderId="9" xfId="0" applyFont="1" applyFill="1" applyBorder="1" applyAlignment="1" applyProtection="1">
      <alignment horizontal="center" vertical="center"/>
      <protection locked="0"/>
    </xf>
    <xf numFmtId="0" fontId="8" fillId="9" borderId="10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</xf>
    <xf numFmtId="0" fontId="8" fillId="0" borderId="83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5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41" fillId="3" borderId="2" xfId="0" quotePrefix="1" applyFont="1" applyFill="1" applyBorder="1" applyAlignment="1" applyProtection="1">
      <alignment horizontal="center" vertical="center"/>
    </xf>
    <xf numFmtId="0" fontId="41" fillId="3" borderId="3" xfId="0" quotePrefix="1" applyFont="1" applyFill="1" applyBorder="1" applyAlignment="1" applyProtection="1">
      <alignment horizontal="center" vertical="center"/>
    </xf>
    <xf numFmtId="0" fontId="41" fillId="3" borderId="83" xfId="0" quotePrefix="1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8" borderId="8" xfId="0" applyFont="1" applyFill="1" applyBorder="1" applyAlignment="1" applyProtection="1">
      <alignment horizontal="center" vertical="center"/>
      <protection locked="0"/>
    </xf>
    <xf numFmtId="0" fontId="10" fillId="8" borderId="9" xfId="0" applyFont="1" applyFill="1" applyBorder="1" applyAlignment="1" applyProtection="1">
      <alignment horizontal="center" vertical="center"/>
      <protection locked="0"/>
    </xf>
    <xf numFmtId="0" fontId="10" fillId="8" borderId="10" xfId="0" applyFont="1" applyFill="1" applyBorder="1" applyAlignment="1" applyProtection="1">
      <alignment horizontal="center" vertical="center"/>
      <protection locked="0"/>
    </xf>
    <xf numFmtId="0" fontId="8" fillId="8" borderId="5" xfId="0" quotePrefix="1" applyFont="1" applyFill="1" applyBorder="1" applyAlignment="1" applyProtection="1">
      <alignment horizontal="center" vertical="center"/>
    </xf>
    <xf numFmtId="0" fontId="8" fillId="8" borderId="6" xfId="0" quotePrefix="1" applyFont="1" applyFill="1" applyBorder="1" applyAlignment="1" applyProtection="1">
      <alignment horizontal="center" vertical="center"/>
    </xf>
    <xf numFmtId="0" fontId="8" fillId="8" borderId="50" xfId="0" quotePrefix="1" applyFont="1" applyFill="1" applyBorder="1" applyAlignment="1" applyProtection="1">
      <alignment horizontal="center" vertical="center"/>
    </xf>
    <xf numFmtId="0" fontId="23" fillId="17" borderId="0" xfId="0" applyFont="1" applyFill="1" applyBorder="1" applyAlignment="1" applyProtection="1">
      <alignment horizontal="center" vertical="center"/>
      <protection locked="0"/>
    </xf>
    <xf numFmtId="0" fontId="8" fillId="9" borderId="2" xfId="0" applyFont="1" applyFill="1" applyBorder="1" applyAlignment="1" applyProtection="1">
      <alignment horizontal="center" vertical="center"/>
    </xf>
    <xf numFmtId="0" fontId="8" fillId="9" borderId="3" xfId="0" applyFont="1" applyFill="1" applyBorder="1" applyAlignment="1" applyProtection="1">
      <alignment horizontal="center" vertical="center"/>
    </xf>
    <xf numFmtId="0" fontId="8" fillId="9" borderId="83" xfId="0" applyFont="1" applyFill="1" applyBorder="1" applyAlignment="1" applyProtection="1">
      <alignment horizontal="center" vertical="center"/>
    </xf>
    <xf numFmtId="0" fontId="8" fillId="11" borderId="2" xfId="0" quotePrefix="1" applyFont="1" applyFill="1" applyBorder="1" applyAlignment="1" applyProtection="1">
      <alignment horizontal="center" vertical="center"/>
    </xf>
    <xf numFmtId="0" fontId="8" fillId="11" borderId="3" xfId="0" quotePrefix="1" applyFont="1" applyFill="1" applyBorder="1" applyAlignment="1" applyProtection="1">
      <alignment horizontal="center" vertical="center"/>
    </xf>
    <xf numFmtId="0" fontId="8" fillId="11" borderId="4" xfId="0" quotePrefix="1" applyFont="1" applyFill="1" applyBorder="1" applyAlignment="1" applyProtection="1">
      <alignment horizontal="center" vertical="center"/>
    </xf>
    <xf numFmtId="0" fontId="8" fillId="3" borderId="2" xfId="0" quotePrefix="1" applyFont="1" applyFill="1" applyBorder="1" applyAlignment="1" applyProtection="1">
      <alignment horizontal="center" vertical="center"/>
    </xf>
    <xf numFmtId="0" fontId="8" fillId="3" borderId="3" xfId="0" quotePrefix="1" applyFont="1" applyFill="1" applyBorder="1" applyAlignment="1" applyProtection="1">
      <alignment horizontal="center" vertical="center"/>
    </xf>
    <xf numFmtId="0" fontId="8" fillId="3" borderId="4" xfId="0" quotePrefix="1" applyFont="1" applyFill="1" applyBorder="1" applyAlignment="1" applyProtection="1">
      <alignment horizontal="center" vertical="center"/>
    </xf>
    <xf numFmtId="0" fontId="1" fillId="0" borderId="65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1" fillId="0" borderId="6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56" xfId="0" applyFont="1" applyFill="1" applyBorder="1" applyAlignment="1" applyProtection="1">
      <alignment horizontal="center" vertical="center" wrapText="1"/>
      <protection locked="0"/>
    </xf>
    <xf numFmtId="0" fontId="8" fillId="0" borderId="5" xfId="0" quotePrefix="1" applyFont="1" applyFill="1" applyBorder="1" applyAlignment="1" applyProtection="1">
      <alignment horizontal="center" vertical="center"/>
    </xf>
    <xf numFmtId="0" fontId="8" fillId="0" borderId="6" xfId="0" quotePrefix="1" applyFont="1" applyFill="1" applyBorder="1" applyAlignment="1" applyProtection="1">
      <alignment horizontal="center" vertical="center"/>
    </xf>
    <xf numFmtId="0" fontId="8" fillId="0" borderId="50" xfId="0" quotePrefix="1" applyFont="1" applyFill="1" applyBorder="1" applyAlignment="1" applyProtection="1">
      <alignment horizontal="center" vertical="center"/>
    </xf>
    <xf numFmtId="0" fontId="1" fillId="10" borderId="8" xfId="0" applyFont="1" applyFill="1" applyBorder="1" applyAlignment="1" applyProtection="1">
      <alignment horizontal="center" vertical="center" wrapText="1"/>
      <protection locked="0"/>
    </xf>
    <xf numFmtId="0" fontId="1" fillId="10" borderId="9" xfId="0" applyFont="1" applyFill="1" applyBorder="1" applyAlignment="1" applyProtection="1">
      <alignment horizontal="center" vertical="center" wrapText="1"/>
      <protection locked="0"/>
    </xf>
    <xf numFmtId="0" fontId="1" fillId="10" borderId="10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0" borderId="6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56" xfId="0" applyFont="1" applyBorder="1" applyAlignment="1" applyProtection="1">
      <alignment horizontal="center" vertical="center" wrapText="1"/>
      <protection locked="0"/>
    </xf>
    <xf numFmtId="0" fontId="41" fillId="8" borderId="0" xfId="0" applyFont="1" applyFill="1" applyBorder="1" applyAlignment="1" applyProtection="1">
      <alignment horizontal="center" vertical="center" wrapText="1"/>
      <protection locked="0"/>
    </xf>
    <xf numFmtId="0" fontId="8" fillId="8" borderId="0" xfId="0" applyFont="1" applyFill="1" applyBorder="1" applyAlignment="1" applyProtection="1">
      <alignment horizontal="center" vertical="center"/>
    </xf>
    <xf numFmtId="0" fontId="8" fillId="16" borderId="0" xfId="0" applyFont="1" applyFill="1" applyBorder="1" applyAlignment="1" applyProtection="1">
      <alignment horizontal="center" vertical="center"/>
    </xf>
    <xf numFmtId="0" fontId="41" fillId="0" borderId="5" xfId="0" quotePrefix="1" applyFont="1" applyFill="1" applyBorder="1" applyAlignment="1" applyProtection="1">
      <alignment horizontal="center" vertical="center"/>
    </xf>
    <xf numFmtId="0" fontId="41" fillId="0" borderId="6" xfId="0" quotePrefix="1" applyFont="1" applyFill="1" applyBorder="1" applyAlignment="1" applyProtection="1">
      <alignment horizontal="center" vertical="center"/>
    </xf>
    <xf numFmtId="0" fontId="41" fillId="0" borderId="50" xfId="0" quotePrefix="1" applyFont="1" applyFill="1" applyBorder="1" applyAlignment="1" applyProtection="1">
      <alignment horizontal="center" vertical="center"/>
    </xf>
    <xf numFmtId="0" fontId="41" fillId="0" borderId="2" xfId="0" quotePrefix="1" applyFont="1" applyFill="1" applyBorder="1" applyAlignment="1" applyProtection="1">
      <alignment horizontal="center" vertical="center"/>
    </xf>
    <xf numFmtId="0" fontId="41" fillId="0" borderId="3" xfId="0" quotePrefix="1" applyFont="1" applyFill="1" applyBorder="1" applyAlignment="1" applyProtection="1">
      <alignment horizontal="center" vertical="center"/>
    </xf>
    <xf numFmtId="0" fontId="41" fillId="0" borderId="83" xfId="0" quotePrefix="1" applyFont="1" applyFill="1" applyBorder="1" applyAlignment="1" applyProtection="1">
      <alignment horizontal="center" vertical="center"/>
    </xf>
    <xf numFmtId="0" fontId="8" fillId="0" borderId="2" xfId="0" quotePrefix="1" applyFont="1" applyFill="1" applyBorder="1" applyAlignment="1" applyProtection="1">
      <alignment horizontal="center" vertical="center"/>
    </xf>
    <xf numFmtId="0" fontId="8" fillId="0" borderId="3" xfId="0" quotePrefix="1" applyFont="1" applyFill="1" applyBorder="1" applyAlignment="1" applyProtection="1">
      <alignment horizontal="center" vertical="center"/>
    </xf>
    <xf numFmtId="0" fontId="8" fillId="0" borderId="83" xfId="0" quotePrefix="1" applyFont="1" applyFill="1" applyBorder="1" applyAlignment="1" applyProtection="1">
      <alignment horizontal="center" vertical="center"/>
    </xf>
    <xf numFmtId="0" fontId="41" fillId="8" borderId="2" xfId="0" quotePrefix="1" applyFont="1" applyFill="1" applyBorder="1" applyAlignment="1" applyProtection="1">
      <alignment horizontal="center" vertical="center"/>
    </xf>
    <xf numFmtId="0" fontId="41" fillId="8" borderId="3" xfId="0" quotePrefix="1" applyFont="1" applyFill="1" applyBorder="1" applyAlignment="1" applyProtection="1">
      <alignment horizontal="center" vertical="center"/>
    </xf>
    <xf numFmtId="0" fontId="41" fillId="8" borderId="83" xfId="0" quotePrefix="1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41" fillId="8" borderId="5" xfId="0" quotePrefix="1" applyFont="1" applyFill="1" applyBorder="1" applyAlignment="1" applyProtection="1">
      <alignment horizontal="center" vertical="center"/>
    </xf>
    <xf numFmtId="0" fontId="41" fillId="8" borderId="6" xfId="0" quotePrefix="1" applyFont="1" applyFill="1" applyBorder="1" applyAlignment="1" applyProtection="1">
      <alignment horizontal="center" vertical="center"/>
    </xf>
    <xf numFmtId="0" fontId="41" fillId="8" borderId="50" xfId="0" quotePrefix="1" applyFont="1" applyFill="1" applyBorder="1" applyAlignment="1" applyProtection="1">
      <alignment horizontal="center" vertical="center"/>
    </xf>
    <xf numFmtId="0" fontId="8" fillId="16" borderId="5" xfId="0" quotePrefix="1" applyFont="1" applyFill="1" applyBorder="1" applyAlignment="1" applyProtection="1">
      <alignment horizontal="center" vertical="center"/>
    </xf>
    <xf numFmtId="0" fontId="8" fillId="16" borderId="6" xfId="0" quotePrefix="1" applyFont="1" applyFill="1" applyBorder="1" applyAlignment="1" applyProtection="1">
      <alignment horizontal="center" vertical="center"/>
    </xf>
    <xf numFmtId="0" fontId="8" fillId="16" borderId="50" xfId="0" quotePrefix="1" applyFont="1" applyFill="1" applyBorder="1" applyAlignment="1" applyProtection="1">
      <alignment horizontal="center" vertical="center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8" borderId="8" xfId="0" applyFont="1" applyFill="1" applyBorder="1" applyAlignment="1" applyProtection="1">
      <alignment horizontal="center" vertical="center"/>
      <protection locked="0"/>
    </xf>
    <xf numFmtId="0" fontId="18" fillId="8" borderId="9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31" fillId="2" borderId="12" xfId="0" applyFont="1" applyFill="1" applyBorder="1" applyAlignment="1" applyProtection="1">
      <alignment horizontal="center" vertical="center"/>
      <protection locked="0"/>
    </xf>
    <xf numFmtId="0" fontId="31" fillId="2" borderId="0" xfId="0" applyFont="1" applyFill="1" applyBorder="1" applyAlignment="1" applyProtection="1">
      <alignment horizontal="center" vertical="center"/>
      <protection locked="0"/>
    </xf>
    <xf numFmtId="0" fontId="40" fillId="26" borderId="8" xfId="0" applyFont="1" applyFill="1" applyBorder="1" applyAlignment="1">
      <alignment horizontal="center" vertical="center"/>
    </xf>
    <xf numFmtId="0" fontId="40" fillId="26" borderId="9" xfId="0" applyFont="1" applyFill="1" applyBorder="1" applyAlignment="1">
      <alignment horizontal="center" vertical="center"/>
    </xf>
    <xf numFmtId="0" fontId="40" fillId="26" borderId="10" xfId="0" applyFont="1" applyFill="1" applyBorder="1" applyAlignment="1">
      <alignment horizontal="center" vertical="center"/>
    </xf>
    <xf numFmtId="0" fontId="3" fillId="0" borderId="19" xfId="0" quotePrefix="1" applyFont="1" applyBorder="1" applyAlignment="1" applyProtection="1">
      <alignment horizontal="center" vertical="center"/>
      <protection locked="0"/>
    </xf>
    <xf numFmtId="0" fontId="3" fillId="0" borderId="11" xfId="0" quotePrefix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6" fillId="11" borderId="17" xfId="0" applyFont="1" applyFill="1" applyBorder="1" applyAlignment="1" applyProtection="1">
      <alignment horizontal="center"/>
    </xf>
    <xf numFmtId="0" fontId="6" fillId="0" borderId="2" xfId="0" quotePrefix="1" applyFont="1" applyFill="1" applyBorder="1" applyAlignment="1" applyProtection="1">
      <alignment horizontal="center"/>
    </xf>
    <xf numFmtId="0" fontId="6" fillId="0" borderId="3" xfId="0" quotePrefix="1" applyFont="1" applyFill="1" applyBorder="1" applyAlignment="1" applyProtection="1">
      <alignment horizontal="center"/>
    </xf>
    <xf numFmtId="0" fontId="6" fillId="0" borderId="4" xfId="0" quotePrefix="1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6" fillId="0" borderId="5" xfId="0" quotePrefix="1" applyNumberFormat="1" applyFont="1" applyFill="1" applyBorder="1" applyAlignment="1" applyProtection="1">
      <alignment horizontal="center" vertical="center"/>
    </xf>
    <xf numFmtId="0" fontId="6" fillId="0" borderId="6" xfId="0" quotePrefix="1" applyNumberFormat="1" applyFont="1" applyFill="1" applyBorder="1" applyAlignment="1" applyProtection="1">
      <alignment horizontal="center" vertical="center"/>
    </xf>
    <xf numFmtId="0" fontId="6" fillId="0" borderId="7" xfId="0" quotePrefix="1" applyNumberFormat="1" applyFont="1" applyFill="1" applyBorder="1" applyAlignment="1" applyProtection="1">
      <alignment horizontal="center" vertical="center"/>
    </xf>
    <xf numFmtId="0" fontId="6" fillId="0" borderId="5" xfId="0" quotePrefix="1" applyFont="1" applyFill="1" applyBorder="1" applyAlignment="1" applyProtection="1">
      <alignment horizontal="center"/>
    </xf>
    <xf numFmtId="0" fontId="6" fillId="0" borderId="6" xfId="0" quotePrefix="1" applyFont="1" applyFill="1" applyBorder="1" applyAlignment="1" applyProtection="1">
      <alignment horizontal="center"/>
    </xf>
    <xf numFmtId="0" fontId="6" fillId="0" borderId="7" xfId="0" quotePrefix="1" applyFont="1" applyFill="1" applyBorder="1" applyAlignment="1" applyProtection="1">
      <alignment horizontal="center"/>
    </xf>
    <xf numFmtId="0" fontId="0" fillId="0" borderId="11" xfId="0" applyBorder="1"/>
    <xf numFmtId="0" fontId="6" fillId="0" borderId="16" xfId="0" quotePrefix="1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2" xfId="0" quotePrefix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24" borderId="0" xfId="0" applyFont="1" applyFill="1" applyBorder="1" applyAlignment="1" applyProtection="1">
      <alignment horizontal="center" vertical="center"/>
    </xf>
    <xf numFmtId="0" fontId="6" fillId="11" borderId="2" xfId="0" quotePrefix="1" applyFont="1" applyFill="1" applyBorder="1" applyAlignment="1" applyProtection="1">
      <alignment horizontal="center"/>
    </xf>
    <xf numFmtId="0" fontId="6" fillId="11" borderId="3" xfId="0" quotePrefix="1" applyFont="1" applyFill="1" applyBorder="1" applyAlignment="1" applyProtection="1">
      <alignment horizontal="center"/>
    </xf>
    <xf numFmtId="0" fontId="6" fillId="11" borderId="4" xfId="0" quotePrefix="1" applyFont="1" applyFill="1" applyBorder="1" applyAlignment="1" applyProtection="1">
      <alignment horizontal="center"/>
    </xf>
    <xf numFmtId="0" fontId="6" fillId="11" borderId="41" xfId="0" quotePrefix="1" applyFont="1" applyFill="1" applyBorder="1" applyAlignment="1" applyProtection="1">
      <alignment horizontal="center"/>
    </xf>
    <xf numFmtId="0" fontId="6" fillId="11" borderId="42" xfId="0" quotePrefix="1" applyFont="1" applyFill="1" applyBorder="1" applyAlignment="1" applyProtection="1">
      <alignment horizontal="center"/>
    </xf>
    <xf numFmtId="0" fontId="6" fillId="11" borderId="43" xfId="0" quotePrefix="1" applyFont="1" applyFill="1" applyBorder="1" applyAlignment="1" applyProtection="1">
      <alignment horizontal="center"/>
    </xf>
    <xf numFmtId="0" fontId="5" fillId="10" borderId="8" xfId="0" applyFont="1" applyFill="1" applyBorder="1" applyAlignment="1" applyProtection="1">
      <alignment horizontal="center"/>
    </xf>
    <xf numFmtId="0" fontId="5" fillId="10" borderId="9" xfId="0" applyFont="1" applyFill="1" applyBorder="1" applyAlignment="1" applyProtection="1">
      <alignment horizontal="center"/>
    </xf>
    <xf numFmtId="0" fontId="5" fillId="10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left"/>
    </xf>
    <xf numFmtId="0" fontId="8" fillId="0" borderId="9" xfId="0" applyFont="1" applyBorder="1" applyAlignment="1" applyProtection="1">
      <alignment horizontal="left"/>
    </xf>
    <xf numFmtId="14" fontId="8" fillId="0" borderId="9" xfId="0" applyNumberFormat="1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6" fillId="0" borderId="8" xfId="0" quotePrefix="1" applyFont="1" applyFill="1" applyBorder="1" applyAlignment="1" applyProtection="1">
      <alignment horizontal="center"/>
    </xf>
    <xf numFmtId="0" fontId="6" fillId="0" borderId="9" xfId="0" quotePrefix="1" applyFont="1" applyFill="1" applyBorder="1" applyAlignment="1" applyProtection="1">
      <alignment horizontal="center"/>
    </xf>
    <xf numFmtId="0" fontId="6" fillId="0" borderId="10" xfId="0" quotePrefix="1" applyFont="1" applyFill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23" borderId="17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0" fontId="5" fillId="10" borderId="8" xfId="0" applyFont="1" applyFill="1" applyBorder="1" applyAlignment="1" applyProtection="1">
      <alignment horizontal="center"/>
      <protection locked="0"/>
    </xf>
    <xf numFmtId="0" fontId="5" fillId="10" borderId="9" xfId="0" applyFont="1" applyFill="1" applyBorder="1" applyAlignment="1" applyProtection="1">
      <alignment horizontal="center"/>
      <protection locked="0"/>
    </xf>
    <xf numFmtId="0" fontId="5" fillId="10" borderId="10" xfId="0" applyFont="1" applyFill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6" fillId="0" borderId="5" xfId="0" quotePrefix="1" applyFont="1" applyFill="1" applyBorder="1" applyAlignment="1" applyProtection="1">
      <alignment horizontal="center" vertical="center"/>
    </xf>
    <xf numFmtId="0" fontId="6" fillId="0" borderId="6" xfId="0" quotePrefix="1" applyFont="1" applyFill="1" applyBorder="1" applyAlignment="1" applyProtection="1">
      <alignment horizontal="center" vertical="center"/>
    </xf>
    <xf numFmtId="0" fontId="6" fillId="0" borderId="7" xfId="0" quotePrefix="1" applyFont="1" applyFill="1" applyBorder="1" applyAlignment="1" applyProtection="1">
      <alignment horizontal="center" vertical="center"/>
    </xf>
    <xf numFmtId="0" fontId="6" fillId="0" borderId="41" xfId="0" quotePrefix="1" applyFont="1" applyFill="1" applyBorder="1" applyAlignment="1" applyProtection="1">
      <alignment horizontal="center"/>
    </xf>
    <xf numFmtId="0" fontId="6" fillId="0" borderId="42" xfId="0" quotePrefix="1" applyFont="1" applyFill="1" applyBorder="1" applyAlignment="1" applyProtection="1">
      <alignment horizontal="center"/>
    </xf>
    <xf numFmtId="0" fontId="6" fillId="0" borderId="43" xfId="0" quotePrefix="1" applyFont="1" applyFill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/>
    </xf>
    <xf numFmtId="0" fontId="6" fillId="23" borderId="17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9" xfId="0" applyFont="1" applyBorder="1" applyAlignment="1" applyProtection="1">
      <alignment horizontal="left"/>
      <protection locked="0"/>
    </xf>
    <xf numFmtId="0" fontId="6" fillId="0" borderId="8" xfId="0" quotePrefix="1" applyFont="1" applyFill="1" applyBorder="1" applyAlignment="1" applyProtection="1">
      <alignment horizontal="center" vertical="center"/>
    </xf>
    <xf numFmtId="0" fontId="6" fillId="0" borderId="9" xfId="0" quotePrefix="1" applyFont="1" applyFill="1" applyBorder="1" applyAlignment="1" applyProtection="1">
      <alignment horizontal="center" vertical="center"/>
    </xf>
    <xf numFmtId="0" fontId="6" fillId="0" borderId="10" xfId="0" quotePrefix="1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11" borderId="17" xfId="0" applyFont="1" applyFill="1" applyBorder="1" applyAlignment="1" applyProtection="1">
      <alignment horizontal="center" vertical="center"/>
    </xf>
    <xf numFmtId="0" fontId="6" fillId="0" borderId="19" xfId="0" quotePrefix="1" applyFont="1" applyBorder="1" applyAlignment="1" applyProtection="1">
      <alignment horizontal="center" vertical="center"/>
      <protection locked="0"/>
    </xf>
    <xf numFmtId="0" fontId="6" fillId="0" borderId="11" xfId="0" quotePrefix="1" applyFont="1" applyBorder="1" applyAlignment="1" applyProtection="1">
      <alignment horizontal="center" vertical="center"/>
      <protection locked="0"/>
    </xf>
    <xf numFmtId="0" fontId="6" fillId="23" borderId="0" xfId="0" applyFont="1" applyFill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0" fontId="6" fillId="0" borderId="3" xfId="0" quotePrefix="1" applyFont="1" applyFill="1" applyBorder="1" applyAlignment="1" applyProtection="1">
      <alignment horizontal="center" vertical="center"/>
    </xf>
    <xf numFmtId="0" fontId="6" fillId="0" borderId="4" xfId="0" quotePrefix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23" borderId="17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9" fillId="0" borderId="2" xfId="0" quotePrefix="1" applyFont="1" applyFill="1" applyBorder="1" applyAlignment="1" applyProtection="1">
      <alignment horizontal="center"/>
    </xf>
    <xf numFmtId="0" fontId="9" fillId="0" borderId="3" xfId="0" quotePrefix="1" applyFont="1" applyFill="1" applyBorder="1" applyAlignment="1" applyProtection="1">
      <alignment horizontal="center"/>
    </xf>
    <xf numFmtId="0" fontId="9" fillId="0" borderId="4" xfId="0" quotePrefix="1" applyFont="1" applyFill="1" applyBorder="1" applyAlignment="1" applyProtection="1">
      <alignment horizontal="center"/>
    </xf>
    <xf numFmtId="0" fontId="9" fillId="0" borderId="2" xfId="0" quotePrefix="1" applyFont="1" applyFill="1" applyBorder="1" applyAlignment="1" applyProtection="1">
      <alignment horizontal="center" vertical="center"/>
    </xf>
    <xf numFmtId="0" fontId="9" fillId="0" borderId="3" xfId="0" quotePrefix="1" applyFont="1" applyFill="1" applyBorder="1" applyAlignment="1" applyProtection="1">
      <alignment horizontal="center" vertical="center"/>
    </xf>
    <xf numFmtId="0" fontId="9" fillId="0" borderId="4" xfId="0" quotePrefix="1" applyFont="1" applyFill="1" applyBorder="1" applyAlignment="1" applyProtection="1">
      <alignment horizontal="center" vertical="center"/>
    </xf>
    <xf numFmtId="0" fontId="9" fillId="0" borderId="8" xfId="0" quotePrefix="1" applyFont="1" applyFill="1" applyBorder="1" applyAlignment="1" applyProtection="1">
      <alignment horizontal="center" vertical="center"/>
    </xf>
    <xf numFmtId="0" fontId="9" fillId="0" borderId="9" xfId="0" quotePrefix="1" applyFont="1" applyFill="1" applyBorder="1" applyAlignment="1" applyProtection="1">
      <alignment horizontal="center" vertical="center"/>
    </xf>
    <xf numFmtId="0" fontId="9" fillId="0" borderId="10" xfId="0" quotePrefix="1" applyFont="1" applyFill="1" applyBorder="1" applyAlignment="1" applyProtection="1">
      <alignment horizontal="center" vertical="center"/>
    </xf>
    <xf numFmtId="0" fontId="9" fillId="0" borderId="8" xfId="0" quotePrefix="1" applyFont="1" applyFill="1" applyBorder="1" applyAlignment="1" applyProtection="1">
      <alignment horizontal="center"/>
    </xf>
    <xf numFmtId="0" fontId="9" fillId="0" borderId="9" xfId="0" quotePrefix="1" applyFont="1" applyFill="1" applyBorder="1" applyAlignment="1" applyProtection="1">
      <alignment horizontal="center"/>
    </xf>
    <xf numFmtId="0" fontId="9" fillId="0" borderId="10" xfId="0" quotePrefix="1" applyFont="1" applyFill="1" applyBorder="1" applyAlignment="1" applyProtection="1">
      <alignment horizontal="center"/>
    </xf>
    <xf numFmtId="0" fontId="9" fillId="0" borderId="19" xfId="0" quotePrefix="1" applyFont="1" applyBorder="1" applyAlignment="1" applyProtection="1">
      <alignment horizontal="center" vertical="center"/>
      <protection locked="0"/>
    </xf>
    <xf numFmtId="0" fontId="9" fillId="0" borderId="11" xfId="0" quotePrefix="1" applyFont="1" applyBorder="1" applyAlignment="1" applyProtection="1">
      <alignment horizontal="center" vertical="center"/>
      <protection locked="0"/>
    </xf>
    <xf numFmtId="0" fontId="11" fillId="10" borderId="8" xfId="0" applyFont="1" applyFill="1" applyBorder="1" applyAlignment="1" applyProtection="1">
      <alignment horizontal="center"/>
    </xf>
    <xf numFmtId="0" fontId="11" fillId="10" borderId="9" xfId="0" applyFont="1" applyFill="1" applyBorder="1" applyAlignment="1" applyProtection="1">
      <alignment horizontal="center"/>
    </xf>
    <xf numFmtId="0" fontId="11" fillId="10" borderId="10" xfId="0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16" xfId="0" quotePrefix="1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5" xfId="0" quotePrefix="1" applyFont="1" applyFill="1" applyBorder="1" applyAlignment="1" applyProtection="1">
      <alignment horizontal="center" vertical="center"/>
    </xf>
    <xf numFmtId="0" fontId="9" fillId="0" borderId="6" xfId="0" quotePrefix="1" applyFont="1" applyFill="1" applyBorder="1" applyAlignment="1" applyProtection="1">
      <alignment horizontal="center" vertical="center"/>
    </xf>
    <xf numFmtId="0" fontId="9" fillId="0" borderId="7" xfId="0" quotePrefix="1" applyFont="1" applyFill="1" applyBorder="1" applyAlignment="1" applyProtection="1">
      <alignment horizontal="center" vertical="center"/>
    </xf>
    <xf numFmtId="0" fontId="9" fillId="0" borderId="41" xfId="0" quotePrefix="1" applyFont="1" applyFill="1" applyBorder="1" applyAlignment="1" applyProtection="1">
      <alignment horizontal="center"/>
    </xf>
    <xf numFmtId="0" fontId="9" fillId="0" borderId="42" xfId="0" quotePrefix="1" applyFont="1" applyFill="1" applyBorder="1" applyAlignment="1" applyProtection="1">
      <alignment horizontal="center"/>
    </xf>
    <xf numFmtId="0" fontId="9" fillId="0" borderId="43" xfId="0" quotePrefix="1" applyFont="1" applyFill="1" applyBorder="1" applyAlignment="1" applyProtection="1">
      <alignment horizontal="center"/>
    </xf>
    <xf numFmtId="0" fontId="9" fillId="0" borderId="5" xfId="0" quotePrefix="1" applyNumberFormat="1" applyFont="1" applyFill="1" applyBorder="1" applyAlignment="1" applyProtection="1">
      <alignment horizontal="center" vertical="center"/>
    </xf>
    <xf numFmtId="0" fontId="9" fillId="0" borderId="6" xfId="0" quotePrefix="1" applyNumberFormat="1" applyFont="1" applyFill="1" applyBorder="1" applyAlignment="1" applyProtection="1">
      <alignment horizontal="center" vertical="center"/>
    </xf>
    <xf numFmtId="0" fontId="9" fillId="0" borderId="7" xfId="0" quotePrefix="1" applyNumberFormat="1" applyFont="1" applyFill="1" applyBorder="1" applyAlignment="1" applyProtection="1">
      <alignment horizontal="center" vertical="center"/>
    </xf>
    <xf numFmtId="0" fontId="9" fillId="0" borderId="5" xfId="0" quotePrefix="1" applyFont="1" applyFill="1" applyBorder="1" applyAlignment="1" applyProtection="1">
      <alignment horizontal="center"/>
    </xf>
    <xf numFmtId="0" fontId="9" fillId="0" borderId="6" xfId="0" quotePrefix="1" applyFont="1" applyFill="1" applyBorder="1" applyAlignment="1" applyProtection="1">
      <alignment horizontal="center"/>
    </xf>
    <xf numFmtId="0" fontId="9" fillId="0" borderId="7" xfId="0" quotePrefix="1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5" borderId="2" xfId="0" quotePrefix="1" applyFont="1" applyFill="1" applyBorder="1" applyAlignment="1" applyProtection="1">
      <alignment horizontal="center"/>
    </xf>
    <xf numFmtId="0" fontId="6" fillId="5" borderId="3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9" borderId="16" xfId="0" applyFont="1" applyFill="1" applyBorder="1" applyAlignment="1" applyProtection="1">
      <alignment horizontal="center"/>
      <protection locked="0"/>
    </xf>
    <xf numFmtId="0" fontId="6" fillId="9" borderId="17" xfId="0" applyFont="1" applyFill="1" applyBorder="1" applyAlignment="1" applyProtection="1">
      <alignment horizontal="center"/>
      <protection locked="0"/>
    </xf>
    <xf numFmtId="0" fontId="6" fillId="9" borderId="18" xfId="0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6" fillId="5" borderId="5" xfId="0" quotePrefix="1" applyFont="1" applyFill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0" fontId="6" fillId="5" borderId="7" xfId="0" applyFont="1" applyFill="1" applyBorder="1" applyAlignment="1" applyProtection="1">
      <alignment horizontal="center" vertical="center"/>
    </xf>
    <xf numFmtId="0" fontId="6" fillId="8" borderId="8" xfId="0" quotePrefix="1" applyFont="1" applyFill="1" applyBorder="1" applyAlignment="1" applyProtection="1">
      <alignment horizontal="center"/>
    </xf>
    <xf numFmtId="0" fontId="6" fillId="8" borderId="9" xfId="0" quotePrefix="1" applyFont="1" applyFill="1" applyBorder="1" applyAlignment="1" applyProtection="1">
      <alignment horizontal="center"/>
    </xf>
    <xf numFmtId="0" fontId="6" fillId="8" borderId="10" xfId="0" quotePrefix="1" applyFont="1" applyFill="1" applyBorder="1" applyAlignment="1" applyProtection="1">
      <alignment horizontal="center"/>
    </xf>
    <xf numFmtId="0" fontId="6" fillId="8" borderId="8" xfId="0" quotePrefix="1" applyFont="1" applyFill="1" applyBorder="1" applyAlignment="1" applyProtection="1">
      <alignment horizontal="center" vertical="center"/>
    </xf>
    <xf numFmtId="0" fontId="6" fillId="8" borderId="9" xfId="0" quotePrefix="1" applyFont="1" applyFill="1" applyBorder="1" applyAlignment="1" applyProtection="1">
      <alignment horizontal="center" vertical="center"/>
    </xf>
    <xf numFmtId="0" fontId="6" fillId="8" borderId="10" xfId="0" quotePrefix="1" applyFont="1" applyFill="1" applyBorder="1" applyAlignment="1" applyProtection="1">
      <alignment horizontal="center" vertical="center"/>
    </xf>
    <xf numFmtId="0" fontId="6" fillId="3" borderId="2" xfId="0" quotePrefix="1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16" xfId="0" quotePrefix="1" applyFont="1" applyFill="1" applyBorder="1" applyAlignment="1" applyProtection="1">
      <alignment horizontal="center"/>
    </xf>
    <xf numFmtId="0" fontId="6" fillId="3" borderId="17" xfId="0" applyFont="1" applyFill="1" applyBorder="1" applyAlignment="1" applyProtection="1">
      <alignment horizontal="center"/>
    </xf>
    <xf numFmtId="0" fontId="6" fillId="3" borderId="18" xfId="0" applyFont="1" applyFill="1" applyBorder="1" applyAlignment="1" applyProtection="1">
      <alignment horizontal="center"/>
    </xf>
    <xf numFmtId="0" fontId="6" fillId="11" borderId="3" xfId="0" applyFont="1" applyFill="1" applyBorder="1" applyAlignment="1" applyProtection="1">
      <alignment horizontal="center"/>
    </xf>
    <xf numFmtId="0" fontId="6" fillId="11" borderId="4" xfId="0" applyFont="1" applyFill="1" applyBorder="1" applyAlignment="1" applyProtection="1">
      <alignment horizontal="center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6" fillId="9" borderId="16" xfId="0" quotePrefix="1" applyFont="1" applyFill="1" applyBorder="1" applyAlignment="1" applyProtection="1">
      <alignment horizontal="center"/>
    </xf>
    <xf numFmtId="0" fontId="6" fillId="9" borderId="17" xfId="0" quotePrefix="1" applyFont="1" applyFill="1" applyBorder="1" applyAlignment="1" applyProtection="1">
      <alignment horizontal="center"/>
    </xf>
    <xf numFmtId="0" fontId="6" fillId="9" borderId="2" xfId="0" quotePrefix="1" applyFont="1" applyFill="1" applyBorder="1" applyAlignment="1" applyProtection="1">
      <alignment horizontal="center"/>
    </xf>
    <xf numFmtId="0" fontId="6" fillId="9" borderId="3" xfId="0" quotePrefix="1" applyFont="1" applyFill="1" applyBorder="1" applyAlignment="1" applyProtection="1">
      <alignment horizontal="center"/>
    </xf>
    <xf numFmtId="0" fontId="6" fillId="9" borderId="4" xfId="0" quotePrefix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1" borderId="16" xfId="0" quotePrefix="1" applyFont="1" applyFill="1" applyBorder="1" applyAlignment="1" applyProtection="1">
      <alignment horizontal="center"/>
    </xf>
    <xf numFmtId="0" fontId="6" fillId="11" borderId="18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10" borderId="8" xfId="0" quotePrefix="1" applyFont="1" applyFill="1" applyBorder="1" applyAlignment="1" applyProtection="1">
      <alignment horizontal="center" vertical="center"/>
    </xf>
    <xf numFmtId="0" fontId="6" fillId="10" borderId="9" xfId="0" quotePrefix="1" applyFont="1" applyFill="1" applyBorder="1" applyAlignment="1" applyProtection="1">
      <alignment horizontal="center" vertical="center"/>
    </xf>
    <xf numFmtId="0" fontId="6" fillId="10" borderId="10" xfId="0" quotePrefix="1" applyFont="1" applyFill="1" applyBorder="1" applyAlignment="1" applyProtection="1">
      <alignment horizontal="center" vertical="center"/>
    </xf>
    <xf numFmtId="0" fontId="6" fillId="10" borderId="2" xfId="0" quotePrefix="1" applyFont="1" applyFill="1" applyBorder="1" applyAlignment="1" applyProtection="1">
      <alignment horizontal="center"/>
    </xf>
    <xf numFmtId="0" fontId="6" fillId="10" borderId="3" xfId="0" quotePrefix="1" applyFont="1" applyFill="1" applyBorder="1" applyAlignment="1" applyProtection="1">
      <alignment horizontal="center"/>
    </xf>
    <xf numFmtId="0" fontId="6" fillId="10" borderId="4" xfId="0" quotePrefix="1" applyFont="1" applyFill="1" applyBorder="1" applyAlignment="1" applyProtection="1">
      <alignment horizontal="center"/>
    </xf>
    <xf numFmtId="0" fontId="3" fillId="10" borderId="8" xfId="0" applyFont="1" applyFill="1" applyBorder="1" applyAlignment="1" applyProtection="1">
      <alignment horizontal="center" vertical="center"/>
      <protection locked="0"/>
    </xf>
    <xf numFmtId="0" fontId="3" fillId="10" borderId="9" xfId="0" applyFont="1" applyFill="1" applyBorder="1" applyAlignment="1" applyProtection="1">
      <alignment horizontal="center" vertical="center"/>
      <protection locked="0"/>
    </xf>
    <xf numFmtId="0" fontId="3" fillId="10" borderId="10" xfId="0" applyFont="1" applyFill="1" applyBorder="1" applyAlignment="1" applyProtection="1">
      <alignment horizontal="center" vertical="center"/>
      <protection locked="0"/>
    </xf>
    <xf numFmtId="0" fontId="3" fillId="11" borderId="8" xfId="0" applyFont="1" applyFill="1" applyBorder="1" applyAlignment="1" applyProtection="1">
      <alignment horizontal="center"/>
      <protection locked="0"/>
    </xf>
    <xf numFmtId="0" fontId="3" fillId="11" borderId="9" xfId="0" applyFont="1" applyFill="1" applyBorder="1" applyAlignment="1" applyProtection="1">
      <alignment horizontal="center"/>
      <protection locked="0"/>
    </xf>
    <xf numFmtId="0" fontId="3" fillId="11" borderId="10" xfId="0" applyFont="1" applyFill="1" applyBorder="1" applyAlignment="1" applyProtection="1">
      <alignment horizontal="center"/>
      <protection locked="0"/>
    </xf>
    <xf numFmtId="0" fontId="3" fillId="11" borderId="8" xfId="0" applyFont="1" applyFill="1" applyBorder="1" applyAlignment="1" applyProtection="1">
      <alignment horizontal="center" vertical="center"/>
      <protection locked="0"/>
    </xf>
    <xf numFmtId="0" fontId="3" fillId="11" borderId="9" xfId="0" applyFont="1" applyFill="1" applyBorder="1" applyAlignment="1" applyProtection="1">
      <alignment horizontal="center" vertical="center"/>
      <protection locked="0"/>
    </xf>
    <xf numFmtId="0" fontId="3" fillId="11" borderId="10" xfId="0" applyFont="1" applyFill="1" applyBorder="1" applyAlignment="1" applyProtection="1">
      <alignment horizontal="center" vertical="center"/>
      <protection locked="0"/>
    </xf>
    <xf numFmtId="0" fontId="6" fillId="9" borderId="18" xfId="0" quotePrefix="1" applyFont="1" applyFill="1" applyBorder="1" applyAlignment="1" applyProtection="1">
      <alignment horizontal="center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8" borderId="8" xfId="0" applyFont="1" applyFill="1" applyBorder="1" applyAlignment="1" applyProtection="1">
      <alignment horizontal="center"/>
    </xf>
    <xf numFmtId="0" fontId="6" fillId="8" borderId="9" xfId="0" applyFont="1" applyFill="1" applyBorder="1" applyAlignment="1" applyProtection="1">
      <alignment horizontal="center"/>
    </xf>
    <xf numFmtId="0" fontId="6" fillId="8" borderId="10" xfId="0" applyFont="1" applyFill="1" applyBorder="1" applyAlignment="1" applyProtection="1">
      <alignment horizontal="center"/>
    </xf>
    <xf numFmtId="0" fontId="25" fillId="2" borderId="12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center" vertical="center"/>
      <protection locked="0"/>
    </xf>
    <xf numFmtId="0" fontId="24" fillId="18" borderId="8" xfId="0" applyFont="1" applyFill="1" applyBorder="1" applyAlignment="1" applyProtection="1">
      <alignment horizontal="center" vertical="center"/>
      <protection locked="0"/>
    </xf>
    <xf numFmtId="0" fontId="24" fillId="18" borderId="9" xfId="0" applyFont="1" applyFill="1" applyBorder="1" applyAlignment="1" applyProtection="1">
      <alignment horizontal="center" vertical="center"/>
      <protection locked="0"/>
    </xf>
    <xf numFmtId="0" fontId="24" fillId="18" borderId="10" xfId="0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8" fillId="0" borderId="0" xfId="0" quotePrefix="1" applyFont="1" applyAlignment="1" applyProtection="1">
      <alignment horizont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23" fillId="2" borderId="8" xfId="0" applyFont="1" applyFill="1" applyBorder="1" applyAlignment="1" applyProtection="1">
      <alignment horizontal="center" vertical="center"/>
      <protection locked="0"/>
    </xf>
    <xf numFmtId="0" fontId="23" fillId="2" borderId="9" xfId="0" applyFont="1" applyFill="1" applyBorder="1" applyAlignment="1" applyProtection="1">
      <alignment horizontal="center" vertical="center"/>
      <protection locked="0"/>
    </xf>
    <xf numFmtId="0" fontId="23" fillId="2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8" fillId="10" borderId="8" xfId="0" applyFont="1" applyFill="1" applyBorder="1" applyAlignment="1" applyProtection="1">
      <alignment horizontal="center"/>
      <protection locked="0"/>
    </xf>
    <xf numFmtId="0" fontId="8" fillId="10" borderId="9" xfId="0" applyFont="1" applyFill="1" applyBorder="1" applyAlignment="1" applyProtection="1">
      <alignment horizontal="center"/>
      <protection locked="0"/>
    </xf>
    <xf numFmtId="0" fontId="8" fillId="10" borderId="10" xfId="0" applyFont="1" applyFill="1" applyBorder="1" applyAlignment="1" applyProtection="1">
      <alignment horizontal="center"/>
      <protection locked="0"/>
    </xf>
    <xf numFmtId="0" fontId="10" fillId="6" borderId="8" xfId="0" applyFont="1" applyFill="1" applyBorder="1" applyAlignment="1" applyProtection="1">
      <alignment horizontal="center"/>
      <protection locked="0"/>
    </xf>
    <xf numFmtId="0" fontId="10" fillId="6" borderId="9" xfId="0" applyFont="1" applyFill="1" applyBorder="1" applyAlignment="1" applyProtection="1">
      <alignment horizontal="center"/>
      <protection locked="0"/>
    </xf>
    <xf numFmtId="0" fontId="10" fillId="6" borderId="10" xfId="0" applyFont="1" applyFill="1" applyBorder="1" applyAlignment="1" applyProtection="1">
      <alignment horizontal="center"/>
      <protection locked="0"/>
    </xf>
    <xf numFmtId="0" fontId="3" fillId="8" borderId="8" xfId="0" applyFont="1" applyFill="1" applyBorder="1" applyAlignment="1" applyProtection="1">
      <alignment horizontal="center"/>
      <protection locked="0"/>
    </xf>
    <xf numFmtId="0" fontId="3" fillId="8" borderId="9" xfId="0" applyFont="1" applyFill="1" applyBorder="1" applyAlignment="1" applyProtection="1">
      <alignment horizontal="center"/>
      <protection locked="0"/>
    </xf>
    <xf numFmtId="0" fontId="3" fillId="8" borderId="10" xfId="0" applyFont="1" applyFill="1" applyBorder="1" applyAlignment="1" applyProtection="1">
      <alignment horizontal="center"/>
      <protection locked="0"/>
    </xf>
    <xf numFmtId="0" fontId="3" fillId="5" borderId="8" xfId="0" applyFont="1" applyFill="1" applyBorder="1" applyAlignment="1" applyProtection="1">
      <alignment horizontal="center"/>
      <protection locked="0"/>
    </xf>
    <xf numFmtId="0" fontId="3" fillId="5" borderId="9" xfId="0" applyFont="1" applyFill="1" applyBorder="1" applyAlignment="1" applyProtection="1">
      <alignment horizontal="center"/>
      <protection locked="0"/>
    </xf>
    <xf numFmtId="0" fontId="3" fillId="5" borderId="10" xfId="0" applyFont="1" applyFill="1" applyBorder="1" applyAlignment="1" applyProtection="1">
      <alignment horizontal="center"/>
      <protection locked="0"/>
    </xf>
    <xf numFmtId="0" fontId="24" fillId="17" borderId="16" xfId="0" applyFont="1" applyFill="1" applyBorder="1" applyAlignment="1" applyProtection="1">
      <alignment horizontal="center"/>
      <protection locked="0"/>
    </xf>
    <xf numFmtId="0" fontId="24" fillId="17" borderId="17" xfId="0" applyFont="1" applyFill="1" applyBorder="1" applyAlignment="1" applyProtection="1">
      <alignment horizontal="center"/>
      <protection locked="0"/>
    </xf>
    <xf numFmtId="0" fontId="24" fillId="17" borderId="18" xfId="0" applyFont="1" applyFill="1" applyBorder="1" applyAlignment="1" applyProtection="1">
      <alignment horizontal="center"/>
      <protection locked="0"/>
    </xf>
    <xf numFmtId="0" fontId="24" fillId="18" borderId="2" xfId="0" quotePrefix="1" applyFont="1" applyFill="1" applyBorder="1" applyAlignment="1" applyProtection="1">
      <alignment horizontal="center"/>
    </xf>
    <xf numFmtId="0" fontId="24" fillId="18" borderId="3" xfId="0" applyFont="1" applyFill="1" applyBorder="1" applyAlignment="1" applyProtection="1">
      <alignment horizontal="center"/>
    </xf>
    <xf numFmtId="0" fontId="24" fillId="18" borderId="4" xfId="0" applyFont="1" applyFill="1" applyBorder="1" applyAlignment="1" applyProtection="1">
      <alignment horizontal="center"/>
    </xf>
    <xf numFmtId="0" fontId="24" fillId="18" borderId="16" xfId="0" quotePrefix="1" applyFont="1" applyFill="1" applyBorder="1" applyAlignment="1" applyProtection="1">
      <alignment horizontal="center"/>
    </xf>
    <xf numFmtId="0" fontId="24" fillId="18" borderId="17" xfId="0" applyFont="1" applyFill="1" applyBorder="1" applyAlignment="1" applyProtection="1">
      <alignment horizontal="center"/>
    </xf>
    <xf numFmtId="0" fontId="24" fillId="18" borderId="18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3" fillId="5" borderId="17" xfId="0" applyFont="1" applyFill="1" applyBorder="1" applyAlignment="1" applyProtection="1">
      <alignment horizontal="center"/>
    </xf>
    <xf numFmtId="0" fontId="3" fillId="5" borderId="18" xfId="0" applyFont="1" applyFill="1" applyBorder="1" applyAlignment="1" applyProtection="1">
      <alignment horizontal="center"/>
    </xf>
    <xf numFmtId="0" fontId="3" fillId="3" borderId="8" xfId="0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4" xfId="0" quotePrefix="1" applyFont="1" applyFill="1" applyBorder="1" applyAlignment="1" applyProtection="1">
      <alignment horizontal="center"/>
    </xf>
    <xf numFmtId="0" fontId="9" fillId="0" borderId="14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center"/>
    </xf>
    <xf numFmtId="0" fontId="9" fillId="0" borderId="10" xfId="0" applyFont="1" applyFill="1" applyBorder="1" applyAlignment="1" applyProtection="1">
      <alignment horizontal="center"/>
    </xf>
    <xf numFmtId="0" fontId="3" fillId="8" borderId="8" xfId="0" applyFont="1" applyFill="1" applyBorder="1" applyAlignment="1" applyProtection="1">
      <alignment horizontal="center"/>
    </xf>
    <xf numFmtId="0" fontId="3" fillId="8" borderId="9" xfId="0" applyFont="1" applyFill="1" applyBorder="1" applyAlignment="1" applyProtection="1">
      <alignment horizontal="center"/>
    </xf>
    <xf numFmtId="0" fontId="3" fillId="8" borderId="10" xfId="0" applyFont="1" applyFill="1" applyBorder="1" applyAlignment="1" applyProtection="1">
      <alignment horizontal="center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0" fontId="9" fillId="0" borderId="6" xfId="0" applyFont="1" applyFill="1" applyBorder="1" applyAlignment="1" applyProtection="1">
      <alignment horizontal="center"/>
    </xf>
    <xf numFmtId="0" fontId="9" fillId="0" borderId="7" xfId="0" applyFont="1" applyFill="1" applyBorder="1" applyAlignment="1" applyProtection="1">
      <alignment horizontal="center"/>
    </xf>
    <xf numFmtId="0" fontId="9" fillId="0" borderId="8" xfId="0" applyFont="1" applyFill="1" applyBorder="1" applyAlignment="1" applyProtection="1">
      <alignment horizontal="center"/>
    </xf>
    <xf numFmtId="0" fontId="3" fillId="6" borderId="8" xfId="0" applyFont="1" applyFill="1" applyBorder="1" applyAlignment="1" applyProtection="1">
      <alignment horizontal="center"/>
    </xf>
    <xf numFmtId="0" fontId="3" fillId="6" borderId="9" xfId="0" applyFont="1" applyFill="1" applyBorder="1" applyAlignment="1" applyProtection="1">
      <alignment horizontal="center"/>
    </xf>
    <xf numFmtId="0" fontId="3" fillId="6" borderId="10" xfId="0" applyFont="1" applyFill="1" applyBorder="1" applyAlignment="1" applyProtection="1">
      <alignment horizontal="center"/>
    </xf>
    <xf numFmtId="0" fontId="3" fillId="11" borderId="8" xfId="0" applyFont="1" applyFill="1" applyBorder="1" applyAlignment="1" applyProtection="1">
      <alignment horizontal="center"/>
    </xf>
    <xf numFmtId="0" fontId="3" fillId="11" borderId="9" xfId="0" applyFont="1" applyFill="1" applyBorder="1" applyAlignment="1" applyProtection="1">
      <alignment horizontal="center"/>
    </xf>
    <xf numFmtId="0" fontId="3" fillId="11" borderId="10" xfId="0" applyFont="1" applyFill="1" applyBorder="1" applyAlignment="1" applyProtection="1">
      <alignment horizontal="center"/>
    </xf>
    <xf numFmtId="0" fontId="9" fillId="0" borderId="5" xfId="0" applyFont="1" applyFill="1" applyBorder="1" applyAlignment="1" applyProtection="1">
      <alignment horizontal="center"/>
    </xf>
    <xf numFmtId="0" fontId="9" fillId="0" borderId="3" xfId="0" applyFont="1" applyFill="1" applyBorder="1"/>
    <xf numFmtId="0" fontId="9" fillId="0" borderId="4" xfId="0" applyFont="1" applyFill="1" applyBorder="1"/>
    <xf numFmtId="0" fontId="14" fillId="3" borderId="8" xfId="0" applyFont="1" applyFill="1" applyBorder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6" xfId="0" quotePrefix="1" applyFont="1" applyFill="1" applyBorder="1" applyAlignment="1" applyProtection="1">
      <alignment horizontal="center"/>
    </xf>
    <xf numFmtId="0" fontId="9" fillId="0" borderId="17" xfId="0" applyFont="1" applyFill="1" applyBorder="1" applyAlignment="1" applyProtection="1">
      <alignment horizontal="center"/>
    </xf>
    <xf numFmtId="0" fontId="9" fillId="0" borderId="18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</xf>
    <xf numFmtId="0" fontId="14" fillId="11" borderId="8" xfId="0" applyFont="1" applyFill="1" applyBorder="1" applyAlignment="1" applyProtection="1">
      <alignment horizontal="center" vertical="center"/>
      <protection locked="0"/>
    </xf>
    <xf numFmtId="0" fontId="14" fillId="11" borderId="9" xfId="0" applyFont="1" applyFill="1" applyBorder="1" applyAlignment="1" applyProtection="1">
      <alignment horizontal="center" vertical="center"/>
      <protection locked="0"/>
    </xf>
    <xf numFmtId="0" fontId="14" fillId="11" borderId="10" xfId="0" applyFont="1" applyFill="1" applyBorder="1" applyAlignment="1" applyProtection="1">
      <alignment horizontal="center" vertical="center"/>
      <protection locked="0"/>
    </xf>
    <xf numFmtId="0" fontId="9" fillId="0" borderId="17" xfId="0" quotePrefix="1" applyFont="1" applyFill="1" applyBorder="1" applyAlignment="1" applyProtection="1">
      <alignment horizontal="center"/>
    </xf>
    <xf numFmtId="0" fontId="14" fillId="11" borderId="8" xfId="0" applyFont="1" applyFill="1" applyBorder="1" applyAlignment="1" applyProtection="1">
      <alignment horizontal="center"/>
      <protection locked="0"/>
    </xf>
    <xf numFmtId="0" fontId="14" fillId="11" borderId="9" xfId="0" applyFont="1" applyFill="1" applyBorder="1" applyAlignment="1" applyProtection="1">
      <alignment horizontal="center"/>
      <protection locked="0"/>
    </xf>
    <xf numFmtId="0" fontId="14" fillId="11" borderId="10" xfId="0" applyFont="1" applyFill="1" applyBorder="1" applyAlignment="1" applyProtection="1">
      <alignment horizontal="center"/>
      <protection locked="0"/>
    </xf>
    <xf numFmtId="0" fontId="9" fillId="9" borderId="16" xfId="0" applyFont="1" applyFill="1" applyBorder="1" applyAlignment="1" applyProtection="1">
      <alignment horizontal="center"/>
      <protection locked="0"/>
    </xf>
    <xf numFmtId="0" fontId="9" fillId="9" borderId="17" xfId="0" applyFont="1" applyFill="1" applyBorder="1" applyAlignment="1" applyProtection="1">
      <alignment horizontal="center"/>
      <protection locked="0"/>
    </xf>
    <xf numFmtId="0" fontId="9" fillId="9" borderId="18" xfId="0" applyFont="1" applyFill="1" applyBorder="1" applyAlignment="1" applyProtection="1">
      <alignment horizontal="center"/>
      <protection locked="0"/>
    </xf>
    <xf numFmtId="0" fontId="14" fillId="10" borderId="8" xfId="0" applyFont="1" applyFill="1" applyBorder="1" applyAlignment="1" applyProtection="1">
      <alignment horizontal="center" vertical="center"/>
      <protection locked="0"/>
    </xf>
    <xf numFmtId="0" fontId="14" fillId="10" borderId="9" xfId="0" applyFont="1" applyFill="1" applyBorder="1" applyAlignment="1" applyProtection="1">
      <alignment horizontal="center" vertical="center"/>
      <protection locked="0"/>
    </xf>
    <xf numFmtId="0" fontId="14" fillId="10" borderId="10" xfId="0" applyFont="1" applyFill="1" applyBorder="1" applyAlignment="1" applyProtection="1">
      <alignment horizontal="center" vertical="center"/>
      <protection locked="0"/>
    </xf>
    <xf numFmtId="0" fontId="9" fillId="0" borderId="18" xfId="0" quotePrefix="1" applyFont="1" applyFill="1" applyBorder="1" applyAlignment="1" applyProtection="1">
      <alignment horizontal="center"/>
    </xf>
    <xf numFmtId="0" fontId="8" fillId="8" borderId="33" xfId="0" applyFont="1" applyFill="1" applyBorder="1" applyAlignment="1" applyProtection="1">
      <alignment horizontal="center" vertical="center"/>
      <protection locked="0"/>
    </xf>
    <xf numFmtId="0" fontId="8" fillId="8" borderId="42" xfId="0" applyFont="1" applyFill="1" applyBorder="1" applyAlignment="1" applyProtection="1">
      <alignment horizontal="center" vertical="center"/>
      <protection locked="0"/>
    </xf>
    <xf numFmtId="0" fontId="8" fillId="8" borderId="48" xfId="0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16" borderId="33" xfId="0" applyFont="1" applyFill="1" applyBorder="1" applyAlignment="1">
      <alignment horizontal="center" vertical="center"/>
    </xf>
    <xf numFmtId="0" fontId="8" fillId="16" borderId="42" xfId="0" applyFont="1" applyFill="1" applyBorder="1" applyAlignment="1">
      <alignment horizontal="center" vertical="center"/>
    </xf>
    <xf numFmtId="0" fontId="8" fillId="16" borderId="48" xfId="0" applyFont="1" applyFill="1" applyBorder="1" applyAlignment="1">
      <alignment horizontal="center" vertical="center"/>
    </xf>
    <xf numFmtId="0" fontId="8" fillId="8" borderId="91" xfId="0" applyFont="1" applyFill="1" applyBorder="1" applyAlignment="1" applyProtection="1">
      <alignment horizontal="center" vertical="center"/>
      <protection locked="0"/>
    </xf>
    <xf numFmtId="0" fontId="8" fillId="3" borderId="33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3" borderId="48" xfId="0" applyFont="1" applyFill="1" applyBorder="1" applyAlignment="1">
      <alignment horizontal="center"/>
    </xf>
    <xf numFmtId="0" fontId="8" fillId="16" borderId="33" xfId="0" applyFont="1" applyFill="1" applyBorder="1" applyAlignment="1">
      <alignment horizontal="center"/>
    </xf>
    <xf numFmtId="0" fontId="8" fillId="16" borderId="48" xfId="0" applyFont="1" applyFill="1" applyBorder="1" applyAlignment="1">
      <alignment horizontal="center"/>
    </xf>
    <xf numFmtId="0" fontId="8" fillId="28" borderId="33" xfId="0" applyFont="1" applyFill="1" applyBorder="1" applyAlignment="1" applyProtection="1">
      <alignment horizontal="center" vertical="center"/>
      <protection locked="0"/>
    </xf>
    <xf numFmtId="0" fontId="8" fillId="28" borderId="42" xfId="0" applyFont="1" applyFill="1" applyBorder="1" applyAlignment="1" applyProtection="1">
      <alignment horizontal="center" vertical="center"/>
      <protection locked="0"/>
    </xf>
    <xf numFmtId="0" fontId="8" fillId="28" borderId="48" xfId="0" applyFont="1" applyFill="1" applyBorder="1" applyAlignment="1" applyProtection="1">
      <alignment horizontal="center" vertical="center"/>
      <protection locked="0"/>
    </xf>
    <xf numFmtId="0" fontId="8" fillId="3" borderId="33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90" xfId="0" applyFont="1" applyFill="1" applyBorder="1" applyAlignment="1">
      <alignment horizontal="center"/>
    </xf>
    <xf numFmtId="0" fontId="8" fillId="3" borderId="89" xfId="0" applyFont="1" applyFill="1" applyBorder="1" applyAlignment="1">
      <alignment horizontal="center"/>
    </xf>
    <xf numFmtId="0" fontId="8" fillId="30" borderId="8" xfId="0" applyFont="1" applyFill="1" applyBorder="1" applyAlignment="1">
      <alignment horizontal="center"/>
    </xf>
    <xf numFmtId="0" fontId="8" fillId="30" borderId="9" xfId="0" applyFont="1" applyFill="1" applyBorder="1" applyAlignment="1">
      <alignment horizontal="center"/>
    </xf>
    <xf numFmtId="0" fontId="8" fillId="30" borderId="10" xfId="0" applyFont="1" applyFill="1" applyBorder="1" applyAlignment="1">
      <alignment horizontal="center"/>
    </xf>
    <xf numFmtId="0" fontId="8" fillId="8" borderId="51" xfId="0" applyFont="1" applyFill="1" applyBorder="1" applyAlignment="1" applyProtection="1">
      <alignment horizontal="center" vertical="center"/>
      <protection locked="0"/>
    </xf>
    <xf numFmtId="0" fontId="8" fillId="3" borderId="90" xfId="0" applyFont="1" applyFill="1" applyBorder="1" applyAlignment="1" applyProtection="1">
      <alignment horizontal="center" vertical="center"/>
      <protection locked="0"/>
    </xf>
    <xf numFmtId="0" fontId="8" fillId="3" borderId="89" xfId="0" applyFont="1" applyFill="1" applyBorder="1" applyAlignment="1" applyProtection="1">
      <alignment horizontal="center" vertical="center"/>
      <protection locked="0"/>
    </xf>
    <xf numFmtId="0" fontId="8" fillId="3" borderId="42" xfId="0" applyFont="1" applyFill="1" applyBorder="1" applyAlignment="1" applyProtection="1">
      <alignment horizontal="center" vertical="center"/>
      <protection locked="0"/>
    </xf>
    <xf numFmtId="0" fontId="8" fillId="3" borderId="48" xfId="0" applyFont="1" applyFill="1" applyBorder="1" applyAlignment="1" applyProtection="1">
      <alignment horizontal="center" vertical="center"/>
      <protection locked="0"/>
    </xf>
    <xf numFmtId="0" fontId="8" fillId="16" borderId="42" xfId="0" applyFont="1" applyFill="1" applyBorder="1" applyAlignment="1" applyProtection="1">
      <alignment horizontal="center" vertical="center"/>
      <protection locked="0"/>
    </xf>
    <xf numFmtId="0" fontId="8" fillId="16" borderId="48" xfId="0" applyFont="1" applyFill="1" applyBorder="1" applyAlignment="1" applyProtection="1">
      <alignment horizontal="center" vertical="center"/>
      <protection locked="0"/>
    </xf>
    <xf numFmtId="0" fontId="8" fillId="8" borderId="89" xfId="0" applyFont="1" applyFill="1" applyBorder="1" applyAlignment="1" applyProtection="1">
      <alignment horizontal="center" vertical="center"/>
      <protection locked="0"/>
    </xf>
    <xf numFmtId="0" fontId="8" fillId="8" borderId="49" xfId="0" applyFont="1" applyFill="1" applyBorder="1" applyAlignment="1" applyProtection="1">
      <alignment horizontal="center" vertical="center"/>
      <protection locked="0"/>
    </xf>
    <xf numFmtId="0" fontId="8" fillId="8" borderId="33" xfId="0" applyFont="1" applyFill="1" applyBorder="1" applyAlignment="1">
      <alignment horizontal="center" vertical="center"/>
    </xf>
    <xf numFmtId="0" fontId="8" fillId="8" borderId="42" xfId="0" applyFont="1" applyFill="1" applyBorder="1" applyAlignment="1">
      <alignment horizontal="center" vertical="center"/>
    </xf>
    <xf numFmtId="0" fontId="8" fillId="8" borderId="48" xfId="0" applyFont="1" applyFill="1" applyBorder="1" applyAlignment="1">
      <alignment horizontal="center" vertical="center"/>
    </xf>
    <xf numFmtId="0" fontId="41" fillId="3" borderId="90" xfId="0" applyFont="1" applyFill="1" applyBorder="1" applyAlignment="1" applyProtection="1">
      <alignment horizontal="center" vertical="center" wrapText="1"/>
      <protection locked="0"/>
    </xf>
    <xf numFmtId="0" fontId="41" fillId="3" borderId="89" xfId="0" applyFont="1" applyFill="1" applyBorder="1" applyAlignment="1" applyProtection="1">
      <alignment horizontal="center" vertical="center" wrapText="1"/>
      <protection locked="0"/>
    </xf>
    <xf numFmtId="0" fontId="41" fillId="3" borderId="42" xfId="0" applyFont="1" applyFill="1" applyBorder="1" applyAlignment="1" applyProtection="1">
      <alignment horizontal="center" vertical="center" wrapText="1"/>
      <protection locked="0"/>
    </xf>
    <xf numFmtId="0" fontId="41" fillId="3" borderId="48" xfId="0" applyFont="1" applyFill="1" applyBorder="1" applyAlignment="1" applyProtection="1">
      <alignment horizontal="center" vertical="center" wrapText="1"/>
      <protection locked="0"/>
    </xf>
    <xf numFmtId="0" fontId="8" fillId="31" borderId="8" xfId="0" applyFont="1" applyFill="1" applyBorder="1" applyAlignment="1">
      <alignment horizontal="center" vertical="center"/>
    </xf>
    <xf numFmtId="0" fontId="8" fillId="31" borderId="9" xfId="0" applyFont="1" applyFill="1" applyBorder="1" applyAlignment="1">
      <alignment horizontal="center" vertical="center"/>
    </xf>
    <xf numFmtId="0" fontId="8" fillId="31" borderId="10" xfId="0" applyFont="1" applyFill="1" applyBorder="1" applyAlignment="1">
      <alignment horizontal="center" vertical="center"/>
    </xf>
    <xf numFmtId="0" fontId="41" fillId="16" borderId="42" xfId="0" applyFont="1" applyFill="1" applyBorder="1" applyAlignment="1" applyProtection="1">
      <alignment horizontal="center" vertical="center" wrapText="1"/>
      <protection locked="0"/>
    </xf>
    <xf numFmtId="0" fontId="41" fillId="16" borderId="48" xfId="0" applyFont="1" applyFill="1" applyBorder="1" applyAlignment="1" applyProtection="1">
      <alignment horizontal="center" vertical="center" wrapText="1"/>
      <protection locked="0"/>
    </xf>
    <xf numFmtId="0" fontId="8" fillId="29" borderId="8" xfId="0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/>
    </xf>
    <xf numFmtId="0" fontId="8" fillId="8" borderId="33" xfId="0" applyFont="1" applyFill="1" applyBorder="1" applyAlignment="1" applyProtection="1">
      <alignment horizontal="center" vertical="center"/>
    </xf>
    <xf numFmtId="0" fontId="8" fillId="8" borderId="42" xfId="0" applyFont="1" applyFill="1" applyBorder="1" applyAlignment="1" applyProtection="1">
      <alignment horizontal="center" vertical="center"/>
    </xf>
    <xf numFmtId="0" fontId="8" fillId="16" borderId="42" xfId="0" applyFont="1" applyFill="1" applyBorder="1" applyAlignment="1" applyProtection="1">
      <alignment horizontal="center" vertical="center"/>
    </xf>
    <xf numFmtId="0" fontId="8" fillId="16" borderId="48" xfId="0" applyFont="1" applyFill="1" applyBorder="1" applyAlignment="1" applyProtection="1">
      <alignment horizontal="center" vertical="center"/>
    </xf>
    <xf numFmtId="0" fontId="8" fillId="28" borderId="33" xfId="0" applyFont="1" applyFill="1" applyBorder="1" applyAlignment="1">
      <alignment horizontal="center" vertical="center"/>
    </xf>
    <xf numFmtId="0" fontId="8" fillId="28" borderId="42" xfId="0" applyFont="1" applyFill="1" applyBorder="1" applyAlignment="1">
      <alignment horizontal="center" vertical="center"/>
    </xf>
    <xf numFmtId="0" fontId="8" fillId="28" borderId="48" xfId="0" applyFont="1" applyFill="1" applyBorder="1" applyAlignment="1">
      <alignment horizontal="center" vertical="center"/>
    </xf>
    <xf numFmtId="0" fontId="41" fillId="3" borderId="33" xfId="0" applyFont="1" applyFill="1" applyBorder="1" applyAlignment="1" applyProtection="1">
      <alignment horizontal="center" vertical="center" wrapText="1"/>
      <protection locked="0"/>
    </xf>
    <xf numFmtId="0" fontId="41" fillId="8" borderId="33" xfId="0" applyFont="1" applyFill="1" applyBorder="1" applyAlignment="1" applyProtection="1">
      <alignment horizontal="center" vertical="center" wrapText="1"/>
      <protection locked="0"/>
    </xf>
    <xf numFmtId="0" fontId="41" fillId="8" borderId="42" xfId="0" applyFont="1" applyFill="1" applyBorder="1" applyAlignment="1" applyProtection="1">
      <alignment horizontal="center" vertical="center" wrapText="1"/>
      <protection locked="0"/>
    </xf>
    <xf numFmtId="0" fontId="41" fillId="8" borderId="48" xfId="0" applyFont="1" applyFill="1" applyBorder="1" applyAlignment="1" applyProtection="1">
      <alignment horizontal="center" vertical="center" wrapText="1"/>
      <protection locked="0"/>
    </xf>
    <xf numFmtId="0" fontId="41" fillId="28" borderId="33" xfId="0" applyFont="1" applyFill="1" applyBorder="1" applyAlignment="1" applyProtection="1">
      <alignment horizontal="center" vertical="center" wrapText="1"/>
      <protection locked="0"/>
    </xf>
    <xf numFmtId="0" fontId="41" fillId="28" borderId="42" xfId="0" applyFont="1" applyFill="1" applyBorder="1" applyAlignment="1" applyProtection="1">
      <alignment horizontal="center" vertical="center" wrapText="1"/>
      <protection locked="0"/>
    </xf>
    <xf numFmtId="0" fontId="41" fillId="28" borderId="48" xfId="0" applyFont="1" applyFill="1" applyBorder="1" applyAlignment="1" applyProtection="1">
      <alignment horizontal="center" vertical="center" wrapText="1"/>
      <protection locked="0"/>
    </xf>
  </cellXfs>
  <cellStyles count="3">
    <cellStyle name="Lien hypertexte" xfId="1" builtinId="8"/>
    <cellStyle name="Normal" xfId="0" builtinId="0"/>
    <cellStyle name="Normal 2" xfId="2"/>
  </cellStyles>
  <dxfs count="1000"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66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66FFFF"/>
        </patternFill>
      </fill>
    </dxf>
    <dxf>
      <fill>
        <patternFill>
          <bgColor rgb="FF00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00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66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66FFFF"/>
        </patternFill>
      </fill>
    </dxf>
    <dxf>
      <fill>
        <patternFill>
          <bgColor rgb="FF00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99FF33"/>
        </patternFill>
      </fill>
    </dxf>
    <dxf>
      <fill>
        <patternFill>
          <bgColor rgb="FFFA8AED"/>
        </patternFill>
      </fill>
    </dxf>
    <dxf>
      <fill>
        <patternFill>
          <bgColor rgb="FFF1A9DC"/>
        </patternFill>
      </fill>
    </dxf>
    <dxf>
      <fill>
        <patternFill>
          <bgColor rgb="FFFF99FF"/>
        </patternFill>
      </fill>
    </dxf>
    <dxf>
      <fill>
        <patternFill patternType="gray125"/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 patternType="gray125"/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>
          <bgColor rgb="FFFA8AED"/>
        </patternFill>
      </fill>
    </dxf>
    <dxf>
      <fill>
        <patternFill>
          <bgColor rgb="FFF1A9DC"/>
        </patternFill>
      </fill>
    </dxf>
    <dxf>
      <fill>
        <patternFill>
          <bgColor rgb="FFFF99FF"/>
        </patternFill>
      </fill>
    </dxf>
    <dxf>
      <fill>
        <patternFill patternType="gray125"/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 patternType="gray125"/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99FF33"/>
        </patternFill>
      </fill>
    </dxf>
    <dxf>
      <fill>
        <patternFill>
          <bgColor rgb="FFFA8AED"/>
        </patternFill>
      </fill>
    </dxf>
    <dxf>
      <fill>
        <patternFill>
          <bgColor rgb="FFF1A9DC"/>
        </patternFill>
      </fill>
    </dxf>
    <dxf>
      <fill>
        <patternFill>
          <bgColor rgb="FFFF99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>
          <bgColor rgb="FFFA8AED"/>
        </patternFill>
      </fill>
    </dxf>
    <dxf>
      <fill>
        <patternFill>
          <bgColor rgb="FFF1A9DC"/>
        </patternFill>
      </fill>
    </dxf>
    <dxf>
      <fill>
        <patternFill>
          <bgColor rgb="FFFF99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99FF33"/>
        </patternFill>
      </fill>
    </dxf>
    <dxf>
      <fill>
        <patternFill>
          <bgColor rgb="FFFA8AED"/>
        </patternFill>
      </fill>
    </dxf>
    <dxf>
      <fill>
        <patternFill>
          <bgColor rgb="FFF1A9DC"/>
        </patternFill>
      </fill>
    </dxf>
    <dxf>
      <fill>
        <patternFill>
          <bgColor rgb="FFFF99FF"/>
        </patternFill>
      </fill>
    </dxf>
    <dxf>
      <fill>
        <patternFill patternType="gray125"/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 patternType="gray125"/>
      </fill>
    </dxf>
    <dxf>
      <fill>
        <patternFill patternType="gray125"/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99FF33"/>
        </patternFill>
      </fill>
    </dxf>
    <dxf>
      <fill>
        <patternFill>
          <bgColor rgb="FFFA8AED"/>
        </patternFill>
      </fill>
    </dxf>
    <dxf>
      <fill>
        <patternFill>
          <bgColor rgb="FFF1A9DC"/>
        </patternFill>
      </fill>
    </dxf>
    <dxf>
      <fill>
        <patternFill>
          <bgColor rgb="FFFF99FF"/>
        </patternFill>
      </fill>
    </dxf>
    <dxf>
      <fill>
        <patternFill patternType="gray125"/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 patternType="gray125"/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99FF33"/>
        </patternFill>
      </fill>
    </dxf>
    <dxf>
      <fill>
        <patternFill>
          <bgColor rgb="FFFA8AED"/>
        </patternFill>
      </fill>
    </dxf>
    <dxf>
      <fill>
        <patternFill>
          <bgColor rgb="FFF1A9DC"/>
        </patternFill>
      </fill>
    </dxf>
    <dxf>
      <fill>
        <patternFill>
          <bgColor rgb="FFFF99FF"/>
        </patternFill>
      </fill>
    </dxf>
    <dxf>
      <fill>
        <patternFill patternType="gray125"/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 patternType="gray125"/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99FF33"/>
        </patternFill>
      </fill>
    </dxf>
    <dxf>
      <fill>
        <patternFill>
          <bgColor rgb="FFFA8AED"/>
        </patternFill>
      </fill>
    </dxf>
    <dxf>
      <fill>
        <patternFill>
          <bgColor rgb="FFF1A9DC"/>
        </patternFill>
      </fill>
    </dxf>
    <dxf>
      <fill>
        <patternFill>
          <bgColor rgb="FFFF99FF"/>
        </patternFill>
      </fill>
    </dxf>
    <dxf>
      <fill>
        <patternFill patternType="gray125"/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 patternType="gray125"/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99FF33"/>
        </patternFill>
      </fill>
    </dxf>
    <dxf>
      <fill>
        <patternFill>
          <bgColor rgb="FFFA8AED"/>
        </patternFill>
      </fill>
    </dxf>
    <dxf>
      <fill>
        <patternFill>
          <bgColor rgb="FFF1A9DC"/>
        </patternFill>
      </fill>
    </dxf>
    <dxf>
      <fill>
        <patternFill>
          <bgColor rgb="FFFF99FF"/>
        </patternFill>
      </fill>
    </dxf>
    <dxf>
      <fill>
        <patternFill patternType="gray125"/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 patternType="gray125"/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99FF33"/>
        </patternFill>
      </fill>
    </dxf>
    <dxf>
      <fill>
        <patternFill>
          <bgColor rgb="FFFA8AED"/>
        </patternFill>
      </fill>
    </dxf>
    <dxf>
      <fill>
        <patternFill>
          <bgColor rgb="FFF1A9DC"/>
        </patternFill>
      </fill>
    </dxf>
    <dxf>
      <fill>
        <patternFill>
          <bgColor rgb="FFFF99FF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 patternType="lightUp"/>
      </fill>
    </dxf>
    <dxf>
      <fill>
        <patternFill>
          <bgColor rgb="FFFA90ED"/>
        </patternFill>
      </fill>
    </dxf>
    <dxf>
      <fill>
        <patternFill>
          <bgColor rgb="FFF7B3EA"/>
        </patternFill>
      </fill>
    </dxf>
    <dxf>
      <fill>
        <patternFill>
          <bgColor rgb="FFFFCCFF"/>
        </patternFill>
      </fill>
    </dxf>
    <dxf>
      <fill>
        <patternFill patternType="gray125"/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 patternType="lightHorizontal"/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 patternType="gray125"/>
      </fill>
    </dxf>
    <dxf>
      <fill>
        <patternFill>
          <bgColor rgb="FF66FF33"/>
        </patternFill>
      </fill>
    </dxf>
    <dxf>
      <fill>
        <patternFill patternType="lightUp"/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/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00FFFF"/>
        </patternFill>
      </fill>
    </dxf>
    <dxf>
      <fill>
        <patternFill>
          <bgColor rgb="FFFFC000"/>
        </patternFill>
      </fill>
    </dxf>
    <dxf>
      <fill>
        <patternFill>
          <bgColor rgb="FF00FFFF"/>
        </patternFill>
      </fill>
    </dxf>
    <dxf>
      <fill>
        <patternFill>
          <bgColor rgb="FFFFC000"/>
        </patternFill>
      </fill>
    </dxf>
    <dxf>
      <fill>
        <patternFill>
          <bgColor rgb="FF00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FFFF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 patternType="none">
          <bgColor auto="1"/>
        </patternFill>
      </fill>
    </dxf>
    <dxf>
      <fill>
        <patternFill>
          <bgColor rgb="FF00FFFF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FFFF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FFFF"/>
        </patternFill>
      </fill>
    </dxf>
    <dxf>
      <fill>
        <patternFill>
          <bgColor rgb="FFFFC000"/>
        </patternFill>
      </fill>
    </dxf>
    <dxf>
      <fill>
        <patternFill>
          <bgColor rgb="FF00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00FFFF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66FF33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00FFFF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66FF33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66FF33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FFFF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00FFFF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00FFFF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66FF33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66FF33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00FFFF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66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AC090"/>
      <color rgb="FF66FFFF"/>
      <color rgb="FF99FF66"/>
      <color rgb="FF00FFFF"/>
      <color rgb="FFFC8EF4"/>
      <color rgb="FF52DAEC"/>
      <color rgb="FF57D3FF"/>
      <color rgb="FF5BB9FF"/>
      <color rgb="FF29A3FF"/>
      <color rgb="FF66FF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0</xdr:colOff>
      <xdr:row>10</xdr:row>
      <xdr:rowOff>0</xdr:rowOff>
    </xdr:from>
    <xdr:to>
      <xdr:col>85</xdr:col>
      <xdr:colOff>0</xdr:colOff>
      <xdr:row>11</xdr:row>
      <xdr:rowOff>149679</xdr:rowOff>
    </xdr:to>
    <xdr:cxnSp macro="">
      <xdr:nvCxnSpPr>
        <xdr:cNvPr id="3" name="Connecteur droit avec flèche 2"/>
        <xdr:cNvCxnSpPr/>
      </xdr:nvCxnSpPr>
      <xdr:spPr>
        <a:xfrm>
          <a:off x="47609125" y="4238625"/>
          <a:ext cx="587375" cy="514804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83</xdr:col>
      <xdr:colOff>698500</xdr:colOff>
      <xdr:row>12</xdr:row>
      <xdr:rowOff>108857</xdr:rowOff>
    </xdr:from>
    <xdr:to>
      <xdr:col>85</xdr:col>
      <xdr:colOff>0</xdr:colOff>
      <xdr:row>14</xdr:row>
      <xdr:rowOff>0</xdr:rowOff>
    </xdr:to>
    <xdr:cxnSp macro="">
      <xdr:nvCxnSpPr>
        <xdr:cNvPr id="4" name="Connecteur droit avec flèche 3"/>
        <xdr:cNvCxnSpPr/>
      </xdr:nvCxnSpPr>
      <xdr:spPr>
        <a:xfrm flipV="1">
          <a:off x="47593250" y="4982482"/>
          <a:ext cx="603250" cy="430893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0</xdr:colOff>
      <xdr:row>17</xdr:row>
      <xdr:rowOff>254000</xdr:rowOff>
    </xdr:from>
    <xdr:to>
      <xdr:col>85</xdr:col>
      <xdr:colOff>0</xdr:colOff>
      <xdr:row>19</xdr:row>
      <xdr:rowOff>149679</xdr:rowOff>
    </xdr:to>
    <xdr:cxnSp macro="">
      <xdr:nvCxnSpPr>
        <xdr:cNvPr id="7" name="Connecteur droit avec flèche 6"/>
        <xdr:cNvCxnSpPr/>
      </xdr:nvCxnSpPr>
      <xdr:spPr>
        <a:xfrm>
          <a:off x="47609125" y="6477000"/>
          <a:ext cx="587375" cy="435429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83</xdr:col>
      <xdr:colOff>682625</xdr:colOff>
      <xdr:row>20</xdr:row>
      <xdr:rowOff>108857</xdr:rowOff>
    </xdr:from>
    <xdr:to>
      <xdr:col>85</xdr:col>
      <xdr:colOff>0</xdr:colOff>
      <xdr:row>21</xdr:row>
      <xdr:rowOff>254000</xdr:rowOff>
    </xdr:to>
    <xdr:cxnSp macro="">
      <xdr:nvCxnSpPr>
        <xdr:cNvPr id="8" name="Connecteur droit avec flèche 7"/>
        <xdr:cNvCxnSpPr/>
      </xdr:nvCxnSpPr>
      <xdr:spPr>
        <a:xfrm flipV="1">
          <a:off x="47577375" y="7141482"/>
          <a:ext cx="619125" cy="415018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0</xdr:colOff>
      <xdr:row>26</xdr:row>
      <xdr:rowOff>15875</xdr:rowOff>
    </xdr:from>
    <xdr:to>
      <xdr:col>85</xdr:col>
      <xdr:colOff>0</xdr:colOff>
      <xdr:row>27</xdr:row>
      <xdr:rowOff>149679</xdr:rowOff>
    </xdr:to>
    <xdr:cxnSp macro="">
      <xdr:nvCxnSpPr>
        <xdr:cNvPr id="9" name="Connecteur droit avec flèche 8"/>
        <xdr:cNvCxnSpPr/>
      </xdr:nvCxnSpPr>
      <xdr:spPr>
        <a:xfrm>
          <a:off x="47609125" y="8667750"/>
          <a:ext cx="587375" cy="403679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0</xdr:colOff>
      <xdr:row>28</xdr:row>
      <xdr:rowOff>108857</xdr:rowOff>
    </xdr:from>
    <xdr:to>
      <xdr:col>85</xdr:col>
      <xdr:colOff>0</xdr:colOff>
      <xdr:row>30</xdr:row>
      <xdr:rowOff>0</xdr:rowOff>
    </xdr:to>
    <xdr:cxnSp macro="">
      <xdr:nvCxnSpPr>
        <xdr:cNvPr id="10" name="Connecteur droit avec flèche 9"/>
        <xdr:cNvCxnSpPr/>
      </xdr:nvCxnSpPr>
      <xdr:spPr>
        <a:xfrm flipV="1">
          <a:off x="47609125" y="9300482"/>
          <a:ext cx="587375" cy="430893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0</xdr:colOff>
      <xdr:row>33</xdr:row>
      <xdr:rowOff>254000</xdr:rowOff>
    </xdr:from>
    <xdr:to>
      <xdr:col>85</xdr:col>
      <xdr:colOff>0</xdr:colOff>
      <xdr:row>35</xdr:row>
      <xdr:rowOff>149679</xdr:rowOff>
    </xdr:to>
    <xdr:cxnSp macro="">
      <xdr:nvCxnSpPr>
        <xdr:cNvPr id="11" name="Connecteur droit avec flèche 10"/>
        <xdr:cNvCxnSpPr/>
      </xdr:nvCxnSpPr>
      <xdr:spPr>
        <a:xfrm>
          <a:off x="47609125" y="10795000"/>
          <a:ext cx="587375" cy="435429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0</xdr:colOff>
      <xdr:row>36</xdr:row>
      <xdr:rowOff>108857</xdr:rowOff>
    </xdr:from>
    <xdr:to>
      <xdr:col>85</xdr:col>
      <xdr:colOff>0</xdr:colOff>
      <xdr:row>38</xdr:row>
      <xdr:rowOff>31750</xdr:rowOff>
    </xdr:to>
    <xdr:cxnSp macro="">
      <xdr:nvCxnSpPr>
        <xdr:cNvPr id="12" name="Connecteur droit avec flèche 11"/>
        <xdr:cNvCxnSpPr/>
      </xdr:nvCxnSpPr>
      <xdr:spPr>
        <a:xfrm flipV="1">
          <a:off x="47609125" y="11459482"/>
          <a:ext cx="587375" cy="462643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793750</xdr:colOff>
      <xdr:row>38</xdr:row>
      <xdr:rowOff>222251</xdr:rowOff>
    </xdr:from>
    <xdr:to>
      <xdr:col>57</xdr:col>
      <xdr:colOff>15875</xdr:colOff>
      <xdr:row>53</xdr:row>
      <xdr:rowOff>15875</xdr:rowOff>
    </xdr:to>
    <xdr:cxnSp macro="">
      <xdr:nvCxnSpPr>
        <xdr:cNvPr id="14" name="Connecteur droit avec flèche 13"/>
        <xdr:cNvCxnSpPr/>
      </xdr:nvCxnSpPr>
      <xdr:spPr>
        <a:xfrm flipH="1" flipV="1">
          <a:off x="42989500" y="12112626"/>
          <a:ext cx="31750" cy="3841749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0</xdr:colOff>
      <xdr:row>31</xdr:row>
      <xdr:rowOff>15875</xdr:rowOff>
    </xdr:from>
    <xdr:to>
      <xdr:col>56</xdr:col>
      <xdr:colOff>0</xdr:colOff>
      <xdr:row>48</xdr:row>
      <xdr:rowOff>238125</xdr:rowOff>
    </xdr:to>
    <xdr:cxnSp macro="">
      <xdr:nvCxnSpPr>
        <xdr:cNvPr id="16" name="Connecteur droit avec flèche 15"/>
        <xdr:cNvCxnSpPr/>
      </xdr:nvCxnSpPr>
      <xdr:spPr>
        <a:xfrm flipV="1">
          <a:off x="42195750" y="10017125"/>
          <a:ext cx="0" cy="4810125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0</xdr:colOff>
      <xdr:row>43</xdr:row>
      <xdr:rowOff>1</xdr:rowOff>
    </xdr:from>
    <xdr:to>
      <xdr:col>58</xdr:col>
      <xdr:colOff>15875</xdr:colOff>
      <xdr:row>61</xdr:row>
      <xdr:rowOff>15875</xdr:rowOff>
    </xdr:to>
    <xdr:cxnSp macro="">
      <xdr:nvCxnSpPr>
        <xdr:cNvPr id="18" name="Connecteur droit avec flèche 17"/>
        <xdr:cNvCxnSpPr/>
      </xdr:nvCxnSpPr>
      <xdr:spPr>
        <a:xfrm flipH="1" flipV="1">
          <a:off x="43640375" y="13239751"/>
          <a:ext cx="15875" cy="4873624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23</xdr:row>
      <xdr:rowOff>0</xdr:rowOff>
    </xdr:from>
    <xdr:to>
      <xdr:col>59</xdr:col>
      <xdr:colOff>1</xdr:colOff>
      <xdr:row>46</xdr:row>
      <xdr:rowOff>0</xdr:rowOff>
    </xdr:to>
    <xdr:cxnSp macro="">
      <xdr:nvCxnSpPr>
        <xdr:cNvPr id="20" name="Connecteur droit avec flèche 19"/>
        <xdr:cNvCxnSpPr/>
      </xdr:nvCxnSpPr>
      <xdr:spPr>
        <a:xfrm flipV="1">
          <a:off x="44243625" y="7842250"/>
          <a:ext cx="1" cy="6207125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793750</xdr:colOff>
      <xdr:row>35</xdr:row>
      <xdr:rowOff>222251</xdr:rowOff>
    </xdr:from>
    <xdr:to>
      <xdr:col>4</xdr:col>
      <xdr:colOff>15875</xdr:colOff>
      <xdr:row>50</xdr:row>
      <xdr:rowOff>15875</xdr:rowOff>
    </xdr:to>
    <xdr:cxnSp macro="">
      <xdr:nvCxnSpPr>
        <xdr:cNvPr id="2" name="Connecteur droit avec flèche 1"/>
        <xdr:cNvCxnSpPr/>
      </xdr:nvCxnSpPr>
      <xdr:spPr>
        <a:xfrm flipH="1" flipV="1">
          <a:off x="42894250" y="12309476"/>
          <a:ext cx="31750" cy="3936999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28</xdr:row>
      <xdr:rowOff>15875</xdr:rowOff>
    </xdr:from>
    <xdr:to>
      <xdr:col>3</xdr:col>
      <xdr:colOff>0</xdr:colOff>
      <xdr:row>45</xdr:row>
      <xdr:rowOff>238125</xdr:rowOff>
    </xdr:to>
    <xdr:cxnSp macro="">
      <xdr:nvCxnSpPr>
        <xdr:cNvPr id="3" name="Connecteur droit avec flèche 2"/>
        <xdr:cNvCxnSpPr/>
      </xdr:nvCxnSpPr>
      <xdr:spPr>
        <a:xfrm flipV="1">
          <a:off x="42100500" y="10169525"/>
          <a:ext cx="0" cy="4918075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40</xdr:row>
      <xdr:rowOff>1</xdr:rowOff>
    </xdr:from>
    <xdr:to>
      <xdr:col>5</xdr:col>
      <xdr:colOff>15875</xdr:colOff>
      <xdr:row>58</xdr:row>
      <xdr:rowOff>15875</xdr:rowOff>
    </xdr:to>
    <xdr:cxnSp macro="">
      <xdr:nvCxnSpPr>
        <xdr:cNvPr id="4" name="Connecteur droit avec flèche 3"/>
        <xdr:cNvCxnSpPr/>
      </xdr:nvCxnSpPr>
      <xdr:spPr>
        <a:xfrm flipH="1" flipV="1">
          <a:off x="43538775" y="13468351"/>
          <a:ext cx="15875" cy="4987924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1</xdr:colOff>
      <xdr:row>43</xdr:row>
      <xdr:rowOff>0</xdr:rowOff>
    </xdr:to>
    <xdr:cxnSp macro="">
      <xdr:nvCxnSpPr>
        <xdr:cNvPr id="5" name="Connecteur droit avec flèche 4"/>
        <xdr:cNvCxnSpPr/>
      </xdr:nvCxnSpPr>
      <xdr:spPr>
        <a:xfrm flipV="1">
          <a:off x="44138850" y="7943850"/>
          <a:ext cx="1" cy="6353175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jet%20Bertrand/Essais/Projet%20F&#233;d&#233;raux%20Bertrand_Alain%20-%20Copi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3_2_aa_F&#233;d&#233;raux%20Alain_17%20&#224;%2064%20Eq._Poule%203%20et%204_ok_(En%20cours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seignements"/>
      <sheetName val="Poule 1 et 2"/>
      <sheetName val="Poule 3 et 4"/>
      <sheetName val="Poule 5 et 6"/>
      <sheetName val="Poule 7 et 8"/>
      <sheetName val="Poule 9 et 10"/>
      <sheetName val="Poule 11 et 12"/>
      <sheetName val="Poule 13 et 14"/>
      <sheetName val="Poule 15 et 16"/>
      <sheetName val="Parties éliminatoires"/>
      <sheetName val="Feuil2"/>
    </sheetNames>
    <sheetDataSet>
      <sheetData sheetId="0">
        <row r="6">
          <cell r="E6">
            <v>0</v>
          </cell>
          <cell r="K6" t="str">
            <v>Quadrettes</v>
          </cell>
        </row>
        <row r="9">
          <cell r="E9" t="str">
            <v xml:space="preserve"> Div.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ns."/>
      <sheetName val="Tableau Général"/>
      <sheetName val="Poule 1 et 2"/>
      <sheetName val="Poule 3 et 4"/>
      <sheetName val="Poule 5 et 6"/>
      <sheetName val="Poule 7 et 8"/>
      <sheetName val="Poule 9 et 10"/>
      <sheetName val="Poule 11 et 12"/>
      <sheetName val="Poule 13 et 14"/>
      <sheetName val="Poule 15 et 16"/>
      <sheetName val="parties élimin. 1.16ème"/>
      <sheetName val="Tirage"/>
      <sheetName val="Manuel"/>
      <sheetName val="Feuil2"/>
    </sheetNames>
    <sheetDataSet>
      <sheetData sheetId="0"/>
      <sheetData sheetId="1"/>
      <sheetData sheetId="2">
        <row r="21">
          <cell r="F21" t="str">
            <v>A1-Bernard</v>
          </cell>
        </row>
      </sheetData>
      <sheetData sheetId="3">
        <row r="21">
          <cell r="F21" t="str">
            <v>A3-Jean</v>
          </cell>
        </row>
      </sheetData>
      <sheetData sheetId="4">
        <row r="21">
          <cell r="F21" t="str">
            <v>A5-Gilbert</v>
          </cell>
        </row>
      </sheetData>
      <sheetData sheetId="5">
        <row r="21">
          <cell r="F21" t="str">
            <v>A7-Guy</v>
          </cell>
        </row>
      </sheetData>
      <sheetData sheetId="6">
        <row r="21">
          <cell r="F21" t="str">
            <v>A9-Marcel</v>
          </cell>
        </row>
        <row r="22">
          <cell r="F22" t="str">
            <v>C9-Stéphane</v>
          </cell>
        </row>
      </sheetData>
      <sheetData sheetId="7">
        <row r="21">
          <cell r="F21" t="str">
            <v>A11-Serge</v>
          </cell>
        </row>
      </sheetData>
      <sheetData sheetId="8">
        <row r="21">
          <cell r="F21" t="str">
            <v>A13-Jean Claude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00B0F0"/>
  </sheetPr>
  <dimension ref="A1:J85"/>
  <sheetViews>
    <sheetView zoomScale="80" zoomScaleNormal="80" workbookViewId="0">
      <selection activeCell="B13" sqref="B13"/>
    </sheetView>
  </sheetViews>
  <sheetFormatPr baseColWidth="10" defaultRowHeight="15"/>
  <cols>
    <col min="1" max="1" width="20.85546875" customWidth="1"/>
    <col min="2" max="2" width="22.5703125" customWidth="1"/>
    <col min="3" max="3" width="24.7109375" customWidth="1"/>
    <col min="4" max="4" width="21.28515625" customWidth="1"/>
    <col min="5" max="5" width="22.85546875" customWidth="1"/>
    <col min="6" max="6" width="6" customWidth="1"/>
    <col min="7" max="7" width="5.85546875" customWidth="1"/>
    <col min="8" max="8" width="6.140625" customWidth="1"/>
    <col min="9" max="9" width="6.28515625" customWidth="1"/>
    <col min="10" max="10" width="43.5703125" customWidth="1"/>
    <col min="11" max="11" width="6.5703125" customWidth="1"/>
    <col min="12" max="12" width="7.140625" customWidth="1"/>
    <col min="13" max="13" width="7" customWidth="1"/>
    <col min="14" max="14" width="6.7109375" customWidth="1"/>
    <col min="15" max="15" width="6.140625" customWidth="1"/>
    <col min="16" max="16" width="7.5703125" customWidth="1"/>
    <col min="17" max="17" width="5.7109375" customWidth="1"/>
    <col min="18" max="20" width="5.85546875" customWidth="1"/>
    <col min="21" max="21" width="8.5703125" customWidth="1"/>
    <col min="22" max="22" width="5" customWidth="1"/>
    <col min="23" max="24" width="5.7109375" customWidth="1"/>
    <col min="25" max="25" width="27.42578125" customWidth="1"/>
    <col min="26" max="26" width="22" customWidth="1"/>
    <col min="27" max="27" width="13.85546875" customWidth="1"/>
    <col min="28" max="28" width="5.7109375" customWidth="1"/>
    <col min="29" max="29" width="10" customWidth="1"/>
    <col min="30" max="30" width="9.28515625" customWidth="1"/>
    <col min="31" max="31" width="7.140625" customWidth="1"/>
    <col min="32" max="32" width="9.7109375" customWidth="1"/>
    <col min="33" max="33" width="32.5703125" customWidth="1"/>
    <col min="34" max="34" width="5.7109375" customWidth="1"/>
    <col min="35" max="35" width="10.7109375" customWidth="1"/>
    <col min="36" max="38" width="5.7109375" customWidth="1"/>
    <col min="39" max="39" width="15.7109375" customWidth="1"/>
    <col min="40" max="44" width="5.7109375" customWidth="1"/>
  </cols>
  <sheetData>
    <row r="1" spans="1:10" s="447" customFormat="1" ht="36" customHeight="1" thickBot="1">
      <c r="A1" s="458" t="s">
        <v>260</v>
      </c>
      <c r="B1" s="461" t="s">
        <v>261</v>
      </c>
      <c r="C1" s="459" t="s">
        <v>262</v>
      </c>
      <c r="D1" s="461" t="s">
        <v>263</v>
      </c>
      <c r="E1" s="460" t="s">
        <v>264</v>
      </c>
    </row>
    <row r="2" spans="1:10" ht="24.95" customHeight="1">
      <c r="A2" s="454" t="s">
        <v>261</v>
      </c>
      <c r="B2" s="454" t="s">
        <v>265</v>
      </c>
      <c r="C2" s="454" t="s">
        <v>266</v>
      </c>
      <c r="D2" s="457" t="s">
        <v>285</v>
      </c>
      <c r="E2" s="454" t="s">
        <v>256</v>
      </c>
      <c r="F2" s="454"/>
      <c r="J2" s="455"/>
    </row>
    <row r="3" spans="1:10" ht="24.95" customHeight="1">
      <c r="A3" s="454" t="s">
        <v>262</v>
      </c>
      <c r="B3" s="454" t="s">
        <v>267</v>
      </c>
      <c r="C3" s="454" t="s">
        <v>268</v>
      </c>
      <c r="D3" s="457" t="s">
        <v>286</v>
      </c>
      <c r="E3" s="454" t="s">
        <v>257</v>
      </c>
      <c r="F3" s="454"/>
      <c r="J3" s="455"/>
    </row>
    <row r="4" spans="1:10" ht="24.95" customHeight="1">
      <c r="A4" s="454" t="s">
        <v>263</v>
      </c>
      <c r="B4" s="454" t="s">
        <v>269</v>
      </c>
      <c r="C4" s="454" t="s">
        <v>270</v>
      </c>
      <c r="D4" s="457" t="s">
        <v>284</v>
      </c>
      <c r="E4" s="454" t="s">
        <v>258</v>
      </c>
      <c r="F4" s="457"/>
      <c r="J4" s="455"/>
    </row>
    <row r="5" spans="1:10" ht="24.95" customHeight="1">
      <c r="A5" s="454"/>
      <c r="B5" s="454" t="s">
        <v>271</v>
      </c>
      <c r="C5" s="454" t="s">
        <v>272</v>
      </c>
      <c r="D5" s="457" t="s">
        <v>287</v>
      </c>
      <c r="E5" s="454" t="s">
        <v>259</v>
      </c>
      <c r="F5" s="454"/>
      <c r="J5" s="455"/>
    </row>
    <row r="6" spans="1:10" ht="24.95" customHeight="1">
      <c r="A6" s="454"/>
      <c r="B6" s="454" t="s">
        <v>273</v>
      </c>
      <c r="C6" s="454" t="s">
        <v>274</v>
      </c>
      <c r="D6" s="457" t="s">
        <v>288</v>
      </c>
      <c r="E6" s="454"/>
      <c r="F6" s="454"/>
      <c r="J6" s="455"/>
    </row>
    <row r="7" spans="1:10" ht="24.95" customHeight="1">
      <c r="A7" s="454"/>
      <c r="B7" s="454"/>
      <c r="C7" s="454" t="s">
        <v>275</v>
      </c>
      <c r="D7" s="457" t="s">
        <v>289</v>
      </c>
      <c r="E7" s="454"/>
      <c r="F7" s="454"/>
      <c r="J7" s="456"/>
    </row>
    <row r="8" spans="1:10" ht="24.95" customHeight="1">
      <c r="A8" s="454"/>
      <c r="B8" s="454"/>
      <c r="C8" s="454"/>
      <c r="D8" s="457" t="s">
        <v>290</v>
      </c>
      <c r="E8" s="454"/>
      <c r="F8" s="454"/>
      <c r="J8" s="456"/>
    </row>
    <row r="9" spans="1:10" ht="24.95" customHeight="1">
      <c r="A9" s="454"/>
      <c r="B9" s="454"/>
      <c r="C9" s="454"/>
      <c r="D9" s="457" t="s">
        <v>291</v>
      </c>
      <c r="E9" s="454"/>
      <c r="F9" s="454"/>
    </row>
    <row r="10" spans="1:10" ht="24.95" customHeight="1">
      <c r="D10" s="454"/>
      <c r="F10" s="454"/>
    </row>
    <row r="11" spans="1:10" ht="24.95" customHeight="1"/>
    <row r="12" spans="1:10" ht="24.95" customHeight="1"/>
    <row r="13" spans="1:10" ht="29.25" customHeight="1"/>
    <row r="14" spans="1:10" ht="24.75" customHeight="1"/>
    <row r="15" spans="1:10" ht="27.75" customHeight="1"/>
    <row r="16" spans="1:10" ht="24.95" customHeight="1"/>
    <row r="17" ht="24.7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</sheetData>
  <sheetProtection formatCells="0" formatColumns="0" formatRows="0" insertColumns="0" insertRows="0" insertHyperlinks="0" deleteColumns="0" deleteRows="0" sort="0"/>
  <pageMargins left="0.19685039370078741" right="0.23622047244094491" top="0.23622047244094491" bottom="0.49" header="0.11811023622047245" footer="0.23622047244094491"/>
  <pageSetup paperSize="9" orientation="landscape" horizontalDpi="4294967292" verticalDpi="0" r:id="rId1"/>
  <headerFooter>
    <oddFooter>&amp;F&amp;RPage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tabColor rgb="FFFFFF00"/>
    <pageSetUpPr fitToPage="1"/>
  </sheetPr>
  <dimension ref="A1:AM28"/>
  <sheetViews>
    <sheetView zoomScale="80" zoomScaleNormal="80" workbookViewId="0">
      <selection activeCell="Q28" sqref="Q28"/>
    </sheetView>
  </sheetViews>
  <sheetFormatPr baseColWidth="10" defaultRowHeight="15"/>
  <cols>
    <col min="1" max="1" width="4" style="14" customWidth="1"/>
    <col min="2" max="2" width="6.42578125" style="14" customWidth="1"/>
    <col min="3" max="3" width="6.7109375" style="14" customWidth="1"/>
    <col min="4" max="5" width="8.7109375" style="14" customWidth="1"/>
    <col min="6" max="6" width="6.42578125" style="14" customWidth="1"/>
    <col min="7" max="7" width="6.7109375" style="14" customWidth="1"/>
    <col min="8" max="9" width="8.7109375" style="14" customWidth="1"/>
    <col min="10" max="11" width="6.7109375" style="14" customWidth="1"/>
    <col min="12" max="14" width="8.7109375" style="14" customWidth="1"/>
    <col min="15" max="16" width="6.7109375" style="14" customWidth="1"/>
    <col min="17" max="17" width="4.42578125" style="14" customWidth="1"/>
    <col min="18" max="19" width="6.7109375" style="14" customWidth="1"/>
    <col min="20" max="20" width="8.85546875" style="14" customWidth="1"/>
    <col min="21" max="21" width="8.7109375" style="14" customWidth="1"/>
    <col min="22" max="23" width="6.85546875" style="14" customWidth="1"/>
    <col min="24" max="25" width="8.7109375" style="14" customWidth="1"/>
    <col min="26" max="26" width="6.7109375" style="14" customWidth="1"/>
    <col min="27" max="27" width="6.85546875" style="14" customWidth="1"/>
    <col min="28" max="30" width="8.7109375" style="14" customWidth="1"/>
    <col min="31" max="31" width="6.85546875" style="14" customWidth="1"/>
    <col min="32" max="32" width="7.140625" style="14" customWidth="1"/>
    <col min="33" max="33" width="8.140625" style="14" customWidth="1"/>
    <col min="34" max="34" width="11.42578125" style="14" customWidth="1"/>
    <col min="35" max="16384" width="11.42578125" style="14"/>
  </cols>
  <sheetData>
    <row r="1" spans="1:39" s="137" customFormat="1" ht="29.25" customHeight="1" thickBot="1">
      <c r="A1" s="65"/>
      <c r="B1" s="948" t="s">
        <v>150</v>
      </c>
      <c r="C1" s="935"/>
      <c r="D1" s="935"/>
      <c r="E1" s="935">
        <f>Données!J1</f>
        <v>0</v>
      </c>
      <c r="F1" s="935"/>
      <c r="G1" s="935"/>
      <c r="H1" s="74" t="str">
        <f>Données!$D$3</f>
        <v>F_U18</v>
      </c>
      <c r="I1" s="935">
        <f>Données!$J$3</f>
        <v>0</v>
      </c>
      <c r="J1" s="935"/>
      <c r="K1" s="935"/>
      <c r="L1" s="935"/>
      <c r="M1" s="155" t="str">
        <f>Données!$E$5</f>
        <v>Simple</v>
      </c>
      <c r="N1" s="164" t="s">
        <v>149</v>
      </c>
      <c r="O1" s="165"/>
      <c r="P1" s="17">
        <f>Données!$L13</f>
        <v>0</v>
      </c>
      <c r="Q1" s="65"/>
      <c r="R1" s="948" t="s">
        <v>150</v>
      </c>
      <c r="S1" s="935"/>
      <c r="T1" s="935"/>
      <c r="U1" s="935">
        <f>Données!J1</f>
        <v>0</v>
      </c>
      <c r="V1" s="935"/>
      <c r="W1" s="935"/>
      <c r="X1" s="74" t="str">
        <f>Données!$D$3</f>
        <v>F_U18</v>
      </c>
      <c r="Y1" s="935">
        <f>Données!$J$3</f>
        <v>0</v>
      </c>
      <c r="Z1" s="935"/>
      <c r="AA1" s="935"/>
      <c r="AB1" s="935"/>
      <c r="AC1" s="155" t="str">
        <f>Données!$E$5</f>
        <v>Simple</v>
      </c>
      <c r="AD1" s="948" t="s">
        <v>149</v>
      </c>
      <c r="AE1" s="935"/>
      <c r="AF1" s="17">
        <f>Données!$L13</f>
        <v>0</v>
      </c>
      <c r="AG1" s="166"/>
    </row>
    <row r="2" spans="1:39" ht="24.75" customHeight="1" thickBot="1">
      <c r="A2" s="4"/>
      <c r="B2" s="948" t="s">
        <v>30</v>
      </c>
      <c r="C2" s="935"/>
      <c r="D2" s="935"/>
      <c r="E2" s="167">
        <f>Données!$S$18</f>
        <v>0</v>
      </c>
      <c r="F2" s="935" t="s">
        <v>14</v>
      </c>
      <c r="G2" s="935"/>
      <c r="H2" s="168">
        <f>Données!$S$19</f>
        <v>0</v>
      </c>
      <c r="I2" s="1046" t="s">
        <v>15</v>
      </c>
      <c r="J2" s="1047"/>
      <c r="K2" s="1047"/>
      <c r="L2" s="934">
        <f ca="1">TODAY()</f>
        <v>44217</v>
      </c>
      <c r="M2" s="935"/>
      <c r="N2" s="935"/>
      <c r="O2" s="935"/>
      <c r="P2" s="936"/>
      <c r="Q2" s="4"/>
      <c r="R2" s="948" t="s">
        <v>31</v>
      </c>
      <c r="S2" s="935"/>
      <c r="T2" s="935"/>
      <c r="U2" s="167">
        <f>Données!$T$18</f>
        <v>0</v>
      </c>
      <c r="V2" s="935" t="s">
        <v>14</v>
      </c>
      <c r="W2" s="935"/>
      <c r="X2" s="168">
        <f>Données!$T$19</f>
        <v>0</v>
      </c>
      <c r="Y2" s="1046" t="s">
        <v>15</v>
      </c>
      <c r="Z2" s="1047"/>
      <c r="AA2" s="1047"/>
      <c r="AB2" s="934">
        <f ca="1">TODAY()</f>
        <v>44217</v>
      </c>
      <c r="AC2" s="935"/>
      <c r="AD2" s="935"/>
      <c r="AE2" s="935"/>
      <c r="AF2" s="936"/>
      <c r="AG2" s="11"/>
    </row>
    <row r="3" spans="1:39" ht="20.100000000000001" customHeight="1" thickBot="1">
      <c r="A3" s="79"/>
      <c r="B3" s="190">
        <f>+Données!$J$11</f>
        <v>0</v>
      </c>
      <c r="C3" s="149"/>
      <c r="D3" s="149"/>
      <c r="E3" s="149"/>
      <c r="F3" s="77" t="str">
        <f>CONCATENATE(E2,H2)</f>
        <v>00</v>
      </c>
      <c r="G3" s="149"/>
      <c r="H3" s="149"/>
      <c r="I3" s="149"/>
      <c r="J3" s="149"/>
      <c r="K3" s="149"/>
      <c r="L3" s="149"/>
      <c r="M3" s="149"/>
      <c r="N3" s="149"/>
      <c r="O3" s="149"/>
      <c r="P3" s="150"/>
      <c r="Q3" s="79"/>
      <c r="R3" s="190">
        <f>+Données!$J$11</f>
        <v>0</v>
      </c>
      <c r="S3" s="149"/>
      <c r="T3" s="149"/>
      <c r="U3" s="151"/>
      <c r="V3" s="77" t="str">
        <f>CONCATENATE(U2,X2)</f>
        <v>00</v>
      </c>
      <c r="W3" s="149"/>
      <c r="X3" s="149"/>
      <c r="Y3" s="149"/>
      <c r="Z3" s="149"/>
      <c r="AA3" s="149"/>
      <c r="AB3" s="149"/>
      <c r="AC3" s="149"/>
      <c r="AD3" s="149"/>
      <c r="AE3" s="149"/>
      <c r="AF3" s="150"/>
      <c r="AG3" s="5"/>
      <c r="AH3" s="5"/>
    </row>
    <row r="4" spans="1:39" ht="20.100000000000001" customHeight="1" thickBot="1">
      <c r="A4" s="79"/>
      <c r="B4" s="949" t="s">
        <v>167</v>
      </c>
      <c r="C4" s="950"/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0"/>
      <c r="O4" s="950"/>
      <c r="P4" s="951"/>
      <c r="Q4" s="82"/>
      <c r="R4" s="940" t="s">
        <v>167</v>
      </c>
      <c r="S4" s="941"/>
      <c r="T4" s="941"/>
      <c r="U4" s="941"/>
      <c r="V4" s="941"/>
      <c r="W4" s="941"/>
      <c r="X4" s="941"/>
      <c r="Y4" s="941"/>
      <c r="Z4" s="941"/>
      <c r="AA4" s="941"/>
      <c r="AB4" s="941"/>
      <c r="AC4" s="941"/>
      <c r="AD4" s="941"/>
      <c r="AE4" s="941"/>
      <c r="AF4" s="942"/>
      <c r="AG4" s="5"/>
    </row>
    <row r="5" spans="1:39" ht="20.100000000000001" customHeight="1">
      <c r="A5" s="79"/>
      <c r="B5" s="75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  <c r="Q5" s="79"/>
      <c r="R5" s="75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3"/>
      <c r="AG5" s="5"/>
      <c r="AH5" s="5"/>
    </row>
    <row r="6" spans="1:39" ht="20.100000000000001" customHeight="1" thickBot="1">
      <c r="A6" s="79"/>
      <c r="B6" s="75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78"/>
      <c r="Q6" s="79"/>
      <c r="R6" s="75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8"/>
      <c r="AG6" s="5"/>
      <c r="AH6" s="5"/>
    </row>
    <row r="7" spans="1:39" ht="20.100000000000001" customHeight="1" thickBot="1">
      <c r="A7" s="79"/>
      <c r="B7" s="85" t="s">
        <v>1</v>
      </c>
      <c r="C7" s="86" t="s">
        <v>10</v>
      </c>
      <c r="D7" s="80"/>
      <c r="E7" s="81"/>
      <c r="F7" s="81"/>
      <c r="G7" s="76" t="s">
        <v>0</v>
      </c>
      <c r="H7" s="76"/>
      <c r="I7" s="76"/>
      <c r="J7" s="76" t="s">
        <v>1</v>
      </c>
      <c r="K7" s="86" t="str">
        <f>IF(E2=2,"","C")</f>
        <v>C</v>
      </c>
      <c r="L7" s="80"/>
      <c r="M7" s="81"/>
      <c r="N7" s="81"/>
      <c r="O7" s="76" t="s">
        <v>0</v>
      </c>
      <c r="P7" s="78"/>
      <c r="Q7" s="133"/>
      <c r="R7" s="85" t="s">
        <v>1</v>
      </c>
      <c r="S7" s="86" t="s">
        <v>10</v>
      </c>
      <c r="T7" s="80"/>
      <c r="U7" s="81"/>
      <c r="V7" s="81"/>
      <c r="W7" s="76" t="s">
        <v>0</v>
      </c>
      <c r="X7" s="76"/>
      <c r="Y7" s="76"/>
      <c r="Z7" s="76" t="s">
        <v>1</v>
      </c>
      <c r="AA7" s="86" t="str">
        <f>IF(U2=2,"","C")</f>
        <v>C</v>
      </c>
      <c r="AB7" s="80"/>
      <c r="AC7" s="81"/>
      <c r="AD7" s="81"/>
      <c r="AE7" s="76"/>
      <c r="AF7" s="97"/>
      <c r="AH7" s="5"/>
      <c r="AI7" s="5"/>
    </row>
    <row r="8" spans="1:39" ht="20.100000000000001" customHeight="1" thickBot="1">
      <c r="A8" s="163">
        <v>57</v>
      </c>
      <c r="B8" s="899">
        <v>29</v>
      </c>
      <c r="C8" s="917">
        <f>+Données!AG62</f>
        <v>0</v>
      </c>
      <c r="D8" s="991"/>
      <c r="E8" s="991"/>
      <c r="F8" s="992"/>
      <c r="G8" s="88">
        <v>1</v>
      </c>
      <c r="H8" s="89"/>
      <c r="I8" s="90">
        <v>59</v>
      </c>
      <c r="J8" s="899">
        <v>30</v>
      </c>
      <c r="K8" s="979">
        <f>+Données!AG64</f>
        <v>0</v>
      </c>
      <c r="L8" s="980"/>
      <c r="M8" s="980"/>
      <c r="N8" s="981"/>
      <c r="O8" s="88">
        <v>1</v>
      </c>
      <c r="P8" s="78"/>
      <c r="Q8" s="133"/>
      <c r="R8" s="899">
        <v>31</v>
      </c>
      <c r="S8" s="979">
        <f>+Données!AG66</f>
        <v>0</v>
      </c>
      <c r="T8" s="980"/>
      <c r="U8" s="980"/>
      <c r="V8" s="981"/>
      <c r="W8" s="88">
        <v>1</v>
      </c>
      <c r="X8" s="89"/>
      <c r="Y8" s="90">
        <v>63</v>
      </c>
      <c r="Z8" s="899">
        <v>32</v>
      </c>
      <c r="AA8" s="979">
        <f>+Données!AG68</f>
        <v>0</v>
      </c>
      <c r="AB8" s="980"/>
      <c r="AC8" s="980"/>
      <c r="AD8" s="981"/>
      <c r="AE8" s="88">
        <v>1</v>
      </c>
      <c r="AF8" s="97"/>
    </row>
    <row r="9" spans="1:39" ht="20.100000000000001" customHeight="1" thickBot="1">
      <c r="A9" s="163">
        <v>58</v>
      </c>
      <c r="B9" s="900"/>
      <c r="C9" s="979">
        <f>+Données!AG63</f>
        <v>0</v>
      </c>
      <c r="D9" s="980"/>
      <c r="E9" s="980"/>
      <c r="F9" s="981"/>
      <c r="G9" s="92">
        <v>0</v>
      </c>
      <c r="H9" s="89"/>
      <c r="I9" s="90">
        <v>60</v>
      </c>
      <c r="J9" s="900"/>
      <c r="K9" s="995">
        <f>IF(OR(AND(B3&gt;170,B3&lt;250))," ",Données!AG65)</f>
        <v>0</v>
      </c>
      <c r="L9" s="993"/>
      <c r="M9" s="993"/>
      <c r="N9" s="994"/>
      <c r="O9" s="88">
        <v>0</v>
      </c>
      <c r="P9" s="78"/>
      <c r="Q9" s="133"/>
      <c r="R9" s="900"/>
      <c r="S9" s="979">
        <f>+Données!AG67</f>
        <v>0</v>
      </c>
      <c r="T9" s="980"/>
      <c r="U9" s="980"/>
      <c r="V9" s="981"/>
      <c r="W9" s="92">
        <v>0</v>
      </c>
      <c r="X9" s="89"/>
      <c r="Y9" s="90">
        <v>64</v>
      </c>
      <c r="Z9" s="900"/>
      <c r="AA9" s="979">
        <f>IF(OR(AND(B3&gt;170,B3&lt;250))," ",Données!AG69)</f>
        <v>0</v>
      </c>
      <c r="AB9" s="980"/>
      <c r="AC9" s="980"/>
      <c r="AD9" s="981"/>
      <c r="AE9" s="88">
        <v>0</v>
      </c>
      <c r="AF9" s="97"/>
    </row>
    <row r="10" spans="1:39" ht="20.100000000000001" customHeight="1" thickBot="1">
      <c r="A10" s="79"/>
      <c r="B10" s="75"/>
      <c r="C10" s="93" t="s">
        <v>11</v>
      </c>
      <c r="D10" s="80"/>
      <c r="E10" s="81"/>
      <c r="F10" s="81"/>
      <c r="G10" s="81"/>
      <c r="H10" s="81"/>
      <c r="I10" s="81"/>
      <c r="J10" s="81"/>
      <c r="K10" s="86" t="s">
        <v>48</v>
      </c>
      <c r="L10" s="80"/>
      <c r="M10" s="81"/>
      <c r="N10" s="81"/>
      <c r="O10" s="81"/>
      <c r="P10" s="94"/>
      <c r="Q10" s="133"/>
      <c r="R10" s="75"/>
      <c r="S10" s="93" t="s">
        <v>11</v>
      </c>
      <c r="T10" s="80"/>
      <c r="U10" s="81"/>
      <c r="V10" s="81"/>
      <c r="W10" s="81"/>
      <c r="X10" s="81"/>
      <c r="Y10" s="81"/>
      <c r="Z10" s="81"/>
      <c r="AA10" s="86" t="s">
        <v>48</v>
      </c>
      <c r="AB10" s="80"/>
      <c r="AC10" s="81"/>
      <c r="AD10" s="81"/>
      <c r="AE10" s="81"/>
      <c r="AF10" s="94"/>
    </row>
    <row r="11" spans="1:39" ht="20.100000000000001" customHeight="1">
      <c r="A11" s="79"/>
      <c r="B11" s="75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94"/>
      <c r="Q11" s="81"/>
      <c r="R11" s="75"/>
      <c r="S11" s="95"/>
      <c r="T11" s="95"/>
      <c r="U11" s="95"/>
      <c r="V11" s="95"/>
      <c r="W11" s="81"/>
      <c r="X11" s="81"/>
      <c r="Y11" s="81"/>
      <c r="Z11" s="81"/>
      <c r="AA11" s="81"/>
      <c r="AB11" s="81"/>
      <c r="AC11" s="81"/>
      <c r="AD11" s="81"/>
      <c r="AE11" s="81"/>
      <c r="AF11" s="94"/>
    </row>
    <row r="12" spans="1:39" ht="20.100000000000001" customHeight="1" thickBot="1">
      <c r="A12" s="79"/>
      <c r="B12" s="85" t="s">
        <v>1</v>
      </c>
      <c r="C12" s="81"/>
      <c r="D12" s="952" t="s">
        <v>75</v>
      </c>
      <c r="E12" s="952"/>
      <c r="F12" s="81"/>
      <c r="G12" s="76" t="s">
        <v>0</v>
      </c>
      <c r="H12" s="76"/>
      <c r="I12" s="76"/>
      <c r="J12" s="76" t="s">
        <v>1</v>
      </c>
      <c r="K12" s="81"/>
      <c r="L12" s="901" t="s">
        <v>74</v>
      </c>
      <c r="M12" s="901"/>
      <c r="N12" s="81"/>
      <c r="O12" s="76" t="s">
        <v>0</v>
      </c>
      <c r="P12" s="78"/>
      <c r="Q12" s="78"/>
      <c r="R12" s="96" t="s">
        <v>1</v>
      </c>
      <c r="S12" s="95"/>
      <c r="T12" s="952" t="s">
        <v>75</v>
      </c>
      <c r="U12" s="952"/>
      <c r="V12" s="95"/>
      <c r="W12" s="76" t="s">
        <v>0</v>
      </c>
      <c r="X12" s="76"/>
      <c r="Y12" s="76"/>
      <c r="Z12" s="76" t="s">
        <v>1</v>
      </c>
      <c r="AA12" s="81"/>
      <c r="AB12" s="901" t="s">
        <v>74</v>
      </c>
      <c r="AC12" s="901"/>
      <c r="AD12" s="81"/>
      <c r="AE12" s="76" t="s">
        <v>0</v>
      </c>
      <c r="AF12" s="97"/>
    </row>
    <row r="13" spans="1:39" ht="20.100000000000001" customHeight="1" thickBot="1">
      <c r="A13" s="79"/>
      <c r="B13" s="975">
        <v>32</v>
      </c>
      <c r="C13" s="917">
        <f>IF($G$8=$G$9,"résultat",IF($G$8&gt;$G$9,$C$9,$C$8))</f>
        <v>0</v>
      </c>
      <c r="D13" s="918"/>
      <c r="E13" s="918"/>
      <c r="F13" s="919"/>
      <c r="G13" s="88">
        <v>1</v>
      </c>
      <c r="H13" s="89"/>
      <c r="I13" s="76"/>
      <c r="J13" s="975">
        <v>1</v>
      </c>
      <c r="K13" s="917">
        <f>IF($O$8=$O$9,"résultat",IF($O$8&gt;$O$9,$K$8,$K$9))</f>
        <v>0</v>
      </c>
      <c r="L13" s="991"/>
      <c r="M13" s="991"/>
      <c r="N13" s="992"/>
      <c r="O13" s="88">
        <v>1</v>
      </c>
      <c r="P13" s="98"/>
      <c r="Q13" s="98"/>
      <c r="R13" s="975">
        <v>2</v>
      </c>
      <c r="S13" s="1048">
        <f>IF($W$8=$W$9,"résultat",IF($W$8&gt;$W$9,$S$9,$S$8))</f>
        <v>0</v>
      </c>
      <c r="T13" s="918"/>
      <c r="U13" s="918"/>
      <c r="V13" s="919"/>
      <c r="W13" s="88">
        <v>1</v>
      </c>
      <c r="X13" s="89"/>
      <c r="Y13" s="76"/>
      <c r="Z13" s="975">
        <v>3</v>
      </c>
      <c r="AA13" s="917">
        <f>IF(AE8=AE9,"résultat",IF($AE$8&gt;$AE$9,$AA$8,$AA$9))</f>
        <v>0</v>
      </c>
      <c r="AB13" s="991"/>
      <c r="AC13" s="991"/>
      <c r="AD13" s="992"/>
      <c r="AE13" s="88">
        <v>0</v>
      </c>
      <c r="AF13" s="97"/>
    </row>
    <row r="14" spans="1:39" ht="20.100000000000001" customHeight="1" thickBot="1">
      <c r="A14" s="79"/>
      <c r="B14" s="976"/>
      <c r="C14" s="961">
        <f>IF($O$8=$O$9,"résultat",IF($O$8&lt;$O$9,$K$8,$K$9))</f>
        <v>0</v>
      </c>
      <c r="D14" s="962"/>
      <c r="E14" s="962"/>
      <c r="F14" s="963"/>
      <c r="G14" s="100">
        <v>0</v>
      </c>
      <c r="H14" s="101"/>
      <c r="I14" s="76"/>
      <c r="J14" s="976"/>
      <c r="K14" s="961">
        <f>IF(G8=G9,"résultat",IF($G$8&gt;$G$9,$C$8,$C$9))</f>
        <v>0</v>
      </c>
      <c r="L14" s="962"/>
      <c r="M14" s="962"/>
      <c r="N14" s="963"/>
      <c r="O14" s="92">
        <v>2</v>
      </c>
      <c r="P14" s="98"/>
      <c r="Q14" s="98"/>
      <c r="R14" s="976"/>
      <c r="S14" s="961">
        <f>IF($AE$8=$AE$9,"résultat",IF($AE$8&lt;$AE$9,$AA$8,$AA$9))</f>
        <v>0</v>
      </c>
      <c r="T14" s="962"/>
      <c r="U14" s="962"/>
      <c r="V14" s="963"/>
      <c r="W14" s="88">
        <v>0</v>
      </c>
      <c r="X14" s="89"/>
      <c r="Y14" s="76"/>
      <c r="Z14" s="976"/>
      <c r="AA14" s="961">
        <f>IF($W$9=$W$8,"résultat",IF(W8&gt;W9,S8,S9))</f>
        <v>0</v>
      </c>
      <c r="AB14" s="962"/>
      <c r="AC14" s="962"/>
      <c r="AD14" s="963"/>
      <c r="AE14" s="92">
        <v>1</v>
      </c>
      <c r="AF14" s="97"/>
    </row>
    <row r="15" spans="1:39" ht="20.100000000000001" customHeight="1">
      <c r="A15" s="79"/>
      <c r="B15" s="75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94"/>
      <c r="Q15" s="81"/>
      <c r="R15" s="75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94"/>
      <c r="AM15" s="5"/>
    </row>
    <row r="16" spans="1:39" ht="20.100000000000001" customHeight="1" thickBot="1">
      <c r="A16" s="79"/>
      <c r="B16" s="75"/>
      <c r="C16" s="81"/>
      <c r="D16" s="81"/>
      <c r="E16" s="81"/>
      <c r="F16" s="76" t="s">
        <v>1</v>
      </c>
      <c r="G16" s="81"/>
      <c r="H16" s="921" t="s">
        <v>170</v>
      </c>
      <c r="I16" s="921"/>
      <c r="J16" s="81"/>
      <c r="K16" s="76" t="s">
        <v>0</v>
      </c>
      <c r="L16" s="76"/>
      <c r="M16" s="145"/>
      <c r="N16" s="81"/>
      <c r="O16" s="81"/>
      <c r="P16" s="94"/>
      <c r="Q16" s="81"/>
      <c r="R16" s="75"/>
      <c r="S16" s="81"/>
      <c r="T16" s="81"/>
      <c r="U16" s="81"/>
      <c r="V16" s="76" t="s">
        <v>1</v>
      </c>
      <c r="W16" s="81"/>
      <c r="X16" s="921" t="s">
        <v>170</v>
      </c>
      <c r="Y16" s="921"/>
      <c r="Z16" s="81"/>
      <c r="AA16" s="76" t="s">
        <v>0</v>
      </c>
      <c r="AB16" s="76"/>
      <c r="AC16" s="145"/>
      <c r="AD16" s="81"/>
      <c r="AE16" s="81"/>
      <c r="AF16" s="97"/>
    </row>
    <row r="17" spans="1:34" ht="20.100000000000001" customHeight="1" thickBot="1">
      <c r="A17" s="79"/>
      <c r="B17" s="75"/>
      <c r="C17" s="81"/>
      <c r="D17" s="81"/>
      <c r="E17" s="76"/>
      <c r="F17" s="986">
        <v>31</v>
      </c>
      <c r="G17" s="917" t="str">
        <f>IF($F$3+$G$3=0," ",IF($F$3+$G$3=43,IF(0&lt;0,0,0),(IF($F$3+$G$3=42,IF($O$13=$O$14,"résultat",IF($O$13&lt;$O$14,$K$13,$K$14)),IF($F$3+$G$3=32,IF($O$13=$O$14,"résultat",IF($O$13&lt;$O$14,$K$13,$K$14)))))))</f>
        <v xml:space="preserve"> </v>
      </c>
      <c r="H17" s="918"/>
      <c r="I17" s="918"/>
      <c r="J17" s="919"/>
      <c r="K17" s="88">
        <v>1</v>
      </c>
      <c r="L17" s="76"/>
      <c r="M17" s="81"/>
      <c r="N17" s="81"/>
      <c r="O17" s="81"/>
      <c r="P17" s="94"/>
      <c r="Q17" s="81"/>
      <c r="R17" s="75"/>
      <c r="S17" s="81"/>
      <c r="T17" s="81"/>
      <c r="U17" s="76"/>
      <c r="V17" s="986">
        <v>1</v>
      </c>
      <c r="W17" s="979" t="str">
        <f>IF(V3+W3=0," ",IF($V$3+$W$3=43,IF(0&lt;0,0,0),(IF($V$3+$W$3=42,IF($AE$13=$AE$14,"résultat",IF($AE$13&lt;$AE$14,$AA$13,$AA$14)),IF($V$3+$W$3=32,IF($AE$13=$AE$14,"résultat",IF($AE$13&lt;$AE$14,$AA$13,$AA$14)))))))</f>
        <v xml:space="preserve"> </v>
      </c>
      <c r="X17" s="993"/>
      <c r="Y17" s="993"/>
      <c r="Z17" s="994"/>
      <c r="AA17" s="88">
        <v>1</v>
      </c>
      <c r="AB17" s="76"/>
      <c r="AC17" s="81"/>
      <c r="AD17" s="81"/>
      <c r="AE17" s="81"/>
      <c r="AF17" s="97"/>
    </row>
    <row r="18" spans="1:34" ht="20.100000000000001" customHeight="1" thickBot="1">
      <c r="A18" s="79"/>
      <c r="B18" s="75"/>
      <c r="C18" s="81"/>
      <c r="D18" s="81"/>
      <c r="E18" s="81"/>
      <c r="F18" s="987"/>
      <c r="G18" s="914" t="str">
        <f>IF($F$3+$G$3=0," ",IF($F$3+$G$3=43,IF(0&gt;0,0,0),(IF(F3+G3=42,IF($G$13=$G$14,"résultat",IF($G$13&gt;$G$14,$C$13,$C$14)),(IF($F$3+$G$3=32,IF($G$13=$G$14,"résultat",IF($G$13&gt;$G$14,$C$13,$C$14))))))))</f>
        <v xml:space="preserve"> </v>
      </c>
      <c r="H18" s="915"/>
      <c r="I18" s="915"/>
      <c r="J18" s="916"/>
      <c r="K18" s="88">
        <v>0</v>
      </c>
      <c r="L18" s="76"/>
      <c r="M18" s="81"/>
      <c r="N18" s="81"/>
      <c r="O18" s="81"/>
      <c r="P18" s="94"/>
      <c r="Q18" s="81"/>
      <c r="R18" s="75"/>
      <c r="S18" s="81"/>
      <c r="T18" s="81"/>
      <c r="U18" s="81"/>
      <c r="V18" s="987"/>
      <c r="W18" s="914" t="str">
        <f>IF($V$3+$W$3=0," ",IF($V$3+$W$3=43,IF(0&gt;0,0,0),(IF($V$3+$W$3=42,IF(W13=W14,"résultat",IF($W$13&gt;$W$14,$S$13,$S$14)),(IF($V$3+$W$3=32,IF(W13=W14,"résultat",IF($W$13&gt;$W$14,$S$13,$S$14))))))))</f>
        <v xml:space="preserve"> </v>
      </c>
      <c r="X18" s="915"/>
      <c r="Y18" s="915"/>
      <c r="Z18" s="916"/>
      <c r="AA18" s="88">
        <v>0</v>
      </c>
      <c r="AB18" s="76"/>
      <c r="AC18" s="81"/>
      <c r="AD18" s="81"/>
      <c r="AE18" s="81"/>
      <c r="AF18" s="97"/>
    </row>
    <row r="19" spans="1:34" ht="20.100000000000001" customHeight="1" thickBot="1">
      <c r="A19" s="79"/>
      <c r="B19" s="75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110"/>
      <c r="N19" s="110"/>
      <c r="O19" s="110"/>
      <c r="P19" s="97"/>
      <c r="Q19" s="79"/>
      <c r="R19" s="75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94"/>
      <c r="AG19" s="5"/>
      <c r="AH19" s="5"/>
    </row>
    <row r="20" spans="1:34" ht="20.100000000000001" customHeight="1" thickBot="1">
      <c r="A20" s="79"/>
      <c r="B20" s="75"/>
      <c r="C20" s="110"/>
      <c r="D20" s="110"/>
      <c r="E20" s="110"/>
      <c r="F20" s="81"/>
      <c r="G20" s="996" t="s">
        <v>73</v>
      </c>
      <c r="H20" s="997"/>
      <c r="I20" s="997"/>
      <c r="J20" s="998"/>
      <c r="K20" s="81"/>
      <c r="L20" s="110"/>
      <c r="M20" s="110"/>
      <c r="N20" s="110"/>
      <c r="O20" s="110"/>
      <c r="P20" s="97"/>
      <c r="Q20" s="133"/>
      <c r="R20" s="132"/>
      <c r="S20" s="110"/>
      <c r="T20" s="81"/>
      <c r="U20" s="81"/>
      <c r="V20" s="81"/>
      <c r="W20" s="943" t="s">
        <v>73</v>
      </c>
      <c r="X20" s="944"/>
      <c r="Y20" s="944"/>
      <c r="Z20" s="945"/>
      <c r="AA20" s="81"/>
      <c r="AB20" s="110"/>
      <c r="AC20" s="104"/>
      <c r="AD20" s="81"/>
      <c r="AE20" s="81"/>
      <c r="AF20" s="97"/>
    </row>
    <row r="21" spans="1:34" ht="20.100000000000001" customHeight="1">
      <c r="A21" s="79"/>
      <c r="B21" s="75"/>
      <c r="C21" s="110"/>
      <c r="D21" s="105" t="s">
        <v>146</v>
      </c>
      <c r="E21" s="110"/>
      <c r="F21" s="902" t="str">
        <f>IF(F3+G3=0," ",IF($F$3+$G$3=43,IF($O$13=$O$14,"résultat",IF($O$13&gt;$O$14,$K$13,$K$14)),(IF($F$3+$G$3=42,IF($O$13=$O$14,"résultat",IF($O$13&gt;$O$14,$K$13,$K$14)),(IF($F$3+$G$3=32,IF($O$13=$O$14,"résultat",IF($O$13&gt;$O$14,$K$13,$K$14))))))))</f>
        <v xml:space="preserve"> </v>
      </c>
      <c r="G21" s="903"/>
      <c r="H21" s="903"/>
      <c r="I21" s="903"/>
      <c r="J21" s="903"/>
      <c r="K21" s="904"/>
      <c r="L21" s="110"/>
      <c r="M21" s="110"/>
      <c r="N21" s="110"/>
      <c r="O21" s="110"/>
      <c r="P21" s="97"/>
      <c r="Q21" s="133"/>
      <c r="R21" s="132"/>
      <c r="S21" s="110"/>
      <c r="T21" s="105" t="s">
        <v>146</v>
      </c>
      <c r="U21" s="81"/>
      <c r="V21" s="902" t="str">
        <f>IF(V3+W3=0," ",IF($V$3+$W$3=43,IF($AE$13=$AE$14,"résultat",IF($AE$13&gt;$AE$14,$AA$13,$AA$14)),(IF($V$3+$W$3=42,IF($AE$13=$AE$14,"résultat",IF($AE$13&gt;$AE$14,$AA$13,$AA$14)),(IF($V$3+$W$3=32,IF($AE$13=$AE$14,"résultat",IF($AE$13&gt;$AE$14,$AA$13,$AA$14))))))))</f>
        <v xml:space="preserve"> </v>
      </c>
      <c r="W21" s="903"/>
      <c r="X21" s="903"/>
      <c r="Y21" s="903"/>
      <c r="Z21" s="903"/>
      <c r="AA21" s="904"/>
      <c r="AB21" s="110"/>
      <c r="AC21" s="81"/>
      <c r="AD21" s="81"/>
      <c r="AE21" s="110"/>
      <c r="AF21" s="97"/>
    </row>
    <row r="22" spans="1:34" ht="20.100000000000001" customHeight="1">
      <c r="A22" s="79"/>
      <c r="B22" s="75"/>
      <c r="C22" s="110"/>
      <c r="D22" s="108" t="s">
        <v>147</v>
      </c>
      <c r="E22" s="110"/>
      <c r="F22" s="964" t="str">
        <f>IF(F3+G3=0," ",IF($F$3+$G$3=43,IF($O$13=$O$14,"résultat",IF($O$13&lt;$O$14,$K$13,$K$14)),(IF($F$3+$G$3=42,IF($K$17=$K$18,"résultat",IF($K$17&gt;$K$18,$G$17,$G$18)),(IF($F$3+$G$3=32,IF($K$17=$K$18,"résultat",IF($K$17&gt;$K$18,$G$17,$G$18))))))))</f>
        <v xml:space="preserve"> </v>
      </c>
      <c r="G22" s="965"/>
      <c r="H22" s="965"/>
      <c r="I22" s="965"/>
      <c r="J22" s="965"/>
      <c r="K22" s="966"/>
      <c r="L22" s="110"/>
      <c r="M22" s="110"/>
      <c r="N22" s="110"/>
      <c r="O22" s="110"/>
      <c r="P22" s="97"/>
      <c r="Q22" s="133"/>
      <c r="R22" s="132"/>
      <c r="S22" s="110"/>
      <c r="T22" s="108" t="s">
        <v>147</v>
      </c>
      <c r="U22" s="81"/>
      <c r="V22" s="964" t="str">
        <f>IF(V3+W3=0," ",IF($V$3+$W$3=43,IF($AE$13=$AE$14,"résultat",IF($AE$13&lt;$AE$14,$AA$13,$AA$14)),(IF($V$3+$W$3=42,IF($AA$17=$AA$18,"résultat",IF($AA$17&gt;$AA$18,$W$17,$W$18)),(IF($V$3+$W$3=32,IF($AA$17=$AA$18,"résultat",IF($AA$17&gt;$AA$18,$W$17,$W$18))))))))</f>
        <v xml:space="preserve"> </v>
      </c>
      <c r="W22" s="965"/>
      <c r="X22" s="965"/>
      <c r="Y22" s="965"/>
      <c r="Z22" s="965"/>
      <c r="AA22" s="966"/>
      <c r="AB22" s="110"/>
      <c r="AC22" s="81"/>
      <c r="AD22" s="146"/>
      <c r="AE22" s="146"/>
      <c r="AF22" s="97"/>
    </row>
    <row r="23" spans="1:34" ht="20.100000000000001" customHeight="1" thickBot="1">
      <c r="A23" s="79"/>
      <c r="B23" s="75"/>
      <c r="C23" s="110"/>
      <c r="D23" s="109" t="s">
        <v>148</v>
      </c>
      <c r="E23" s="110"/>
      <c r="F23" s="961" t="str">
        <f>IF(F3+G3=0," ",IF($F$3+$G$3=43,IF($G$13=$G$14,"résultat",IF($G$13&gt;$G$14,$C$13,$C$14)),(IF($F$3+$G$3=42,"&amp;",(IF($F$3+$G$3=32,"&amp;"))))))</f>
        <v xml:space="preserve"> </v>
      </c>
      <c r="G23" s="962"/>
      <c r="H23" s="962"/>
      <c r="I23" s="962"/>
      <c r="J23" s="962"/>
      <c r="K23" s="963"/>
      <c r="L23" s="110"/>
      <c r="M23" s="110"/>
      <c r="N23" s="110"/>
      <c r="O23" s="110"/>
      <c r="P23" s="97"/>
      <c r="Q23" s="133"/>
      <c r="R23" s="132"/>
      <c r="S23" s="110"/>
      <c r="T23" s="109" t="s">
        <v>148</v>
      </c>
      <c r="U23" s="81"/>
      <c r="V23" s="907" t="str">
        <f>IF(V3+W3=0," ",IF($V$3+$W$3=43,IF(W13=W14,"résultat",IF(W13&gt;W14,S13,S14)),IF($V$3+$W$3=42,"&amp;",(IF($V$3+$W$3=32,"&amp;")))))</f>
        <v xml:space="preserve"> </v>
      </c>
      <c r="W23" s="908"/>
      <c r="X23" s="908"/>
      <c r="Y23" s="908"/>
      <c r="Z23" s="908"/>
      <c r="AA23" s="909"/>
      <c r="AB23" s="110"/>
      <c r="AC23" s="81"/>
      <c r="AD23" s="81"/>
      <c r="AE23" s="81"/>
      <c r="AF23" s="97"/>
    </row>
    <row r="24" spans="1:34" ht="20.100000000000001" customHeight="1" thickBot="1">
      <c r="A24" s="79"/>
      <c r="B24" s="111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4"/>
      <c r="O24" s="114"/>
      <c r="P24" s="115"/>
      <c r="Q24" s="79"/>
      <c r="R24" s="111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5"/>
      <c r="AG24" s="5"/>
      <c r="AH24" s="5"/>
    </row>
    <row r="25" spans="1:34" ht="20.100000000000001" customHeight="1" thickBo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</row>
    <row r="26" spans="1:34" ht="20.100000000000001" customHeight="1" thickBot="1">
      <c r="A26" s="133"/>
      <c r="B26" s="133"/>
      <c r="C26" s="133"/>
      <c r="D26" s="133"/>
      <c r="E26" s="133"/>
      <c r="F26" s="956" t="s">
        <v>76</v>
      </c>
      <c r="G26" s="957"/>
      <c r="H26" s="958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</row>
    <row r="27" spans="1:34" ht="18.75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</row>
    <row r="28" spans="1:34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</sheetData>
  <sheetProtection formatCells="0" formatColumns="0" formatRows="0" insertColumns="0" insertRows="0" insertHyperlinks="0" deleteColumns="0" deleteRows="0" sort="0"/>
  <mergeCells count="62">
    <mergeCell ref="F26:H26"/>
    <mergeCell ref="G17:J17"/>
    <mergeCell ref="G18:J18"/>
    <mergeCell ref="F21:K21"/>
    <mergeCell ref="F22:K22"/>
    <mergeCell ref="F23:K23"/>
    <mergeCell ref="Z8:Z9"/>
    <mergeCell ref="AA8:AD8"/>
    <mergeCell ref="S9:V9"/>
    <mergeCell ref="AA9:AD9"/>
    <mergeCell ref="B8:B9"/>
    <mergeCell ref="C8:F8"/>
    <mergeCell ref="R1:T1"/>
    <mergeCell ref="U1:W1"/>
    <mergeCell ref="Y1:AB1"/>
    <mergeCell ref="AD1:AE1"/>
    <mergeCell ref="V2:W2"/>
    <mergeCell ref="Y2:AA2"/>
    <mergeCell ref="AB2:AF2"/>
    <mergeCell ref="R2:T2"/>
    <mergeCell ref="I1:L1"/>
    <mergeCell ref="B1:D1"/>
    <mergeCell ref="E1:G1"/>
    <mergeCell ref="B2:D2"/>
    <mergeCell ref="F2:G2"/>
    <mergeCell ref="I2:K2"/>
    <mergeCell ref="L2:P2"/>
    <mergeCell ref="V21:AA21"/>
    <mergeCell ref="V22:AA22"/>
    <mergeCell ref="V23:AA23"/>
    <mergeCell ref="AA13:AD13"/>
    <mergeCell ref="AA14:AD14"/>
    <mergeCell ref="W17:Z17"/>
    <mergeCell ref="W18:Z18"/>
    <mergeCell ref="W20:Z20"/>
    <mergeCell ref="S14:V14"/>
    <mergeCell ref="S13:V13"/>
    <mergeCell ref="Z13:Z14"/>
    <mergeCell ref="X16:Y16"/>
    <mergeCell ref="B4:P4"/>
    <mergeCell ref="R4:AF4"/>
    <mergeCell ref="AB12:AC12"/>
    <mergeCell ref="G20:J20"/>
    <mergeCell ref="T12:U12"/>
    <mergeCell ref="D12:E12"/>
    <mergeCell ref="L12:M12"/>
    <mergeCell ref="K13:N13"/>
    <mergeCell ref="K14:N14"/>
    <mergeCell ref="J8:J9"/>
    <mergeCell ref="K8:N8"/>
    <mergeCell ref="C9:F9"/>
    <mergeCell ref="K9:N9"/>
    <mergeCell ref="C13:F13"/>
    <mergeCell ref="R8:R9"/>
    <mergeCell ref="S8:V8"/>
    <mergeCell ref="R13:R14"/>
    <mergeCell ref="B13:B14"/>
    <mergeCell ref="F17:F18"/>
    <mergeCell ref="V17:V18"/>
    <mergeCell ref="H16:I16"/>
    <mergeCell ref="C14:F14"/>
    <mergeCell ref="J13:J14"/>
  </mergeCells>
  <conditionalFormatting sqref="F21">
    <cfRule type="expression" dxfId="120" priority="251">
      <formula>$H$2=0</formula>
    </cfRule>
    <cfRule type="expression" dxfId="119" priority="252" stopIfTrue="1">
      <formula>(OR(H2="1",H2="2",H2="3"))</formula>
    </cfRule>
  </conditionalFormatting>
  <conditionalFormatting sqref="F22">
    <cfRule type="expression" dxfId="118" priority="250">
      <formula>(OR(H2="2",H2="3"))</formula>
    </cfRule>
  </conditionalFormatting>
  <conditionalFormatting sqref="F23">
    <cfRule type="expression" dxfId="117" priority="249">
      <formula>(H2="3")</formula>
    </cfRule>
  </conditionalFormatting>
  <conditionalFormatting sqref="C13:F14 W17:Z17 V23">
    <cfRule type="cellIs" dxfId="116" priority="248" operator="equal">
      <formula>0</formula>
    </cfRule>
  </conditionalFormatting>
  <conditionalFormatting sqref="V22">
    <cfRule type="expression" dxfId="115" priority="264" stopIfTrue="1">
      <formula>$U$2=0</formula>
    </cfRule>
    <cfRule type="expression" dxfId="114" priority="265">
      <formula>$Z$2=5</formula>
    </cfRule>
    <cfRule type="expression" dxfId="113" priority="266">
      <formula>$Z$2=4</formula>
    </cfRule>
    <cfRule type="expression" dxfId="112" priority="267">
      <formula>$Z$2=3</formula>
    </cfRule>
    <cfRule type="expression" dxfId="111" priority="268">
      <formula>$Z$2=2</formula>
    </cfRule>
  </conditionalFormatting>
  <conditionalFormatting sqref="V23">
    <cfRule type="expression" dxfId="110" priority="260" stopIfTrue="1">
      <formula>$U$2=0</formula>
    </cfRule>
    <cfRule type="expression" dxfId="109" priority="261">
      <formula>$Z$2=5</formula>
    </cfRule>
    <cfRule type="expression" dxfId="108" priority="262">
      <formula>$Z$2=4</formula>
    </cfRule>
    <cfRule type="expression" dxfId="107" priority="263">
      <formula>$Z$2=3</formula>
    </cfRule>
  </conditionalFormatting>
  <conditionalFormatting sqref="V21">
    <cfRule type="expression" dxfId="106" priority="253">
      <formula>$Z$2=1</formula>
    </cfRule>
  </conditionalFormatting>
  <conditionalFormatting sqref="V21">
    <cfRule type="expression" dxfId="105" priority="237" stopIfTrue="1">
      <formula>(OR(Z2="1",Z2="2",Z2="3"))</formula>
    </cfRule>
  </conditionalFormatting>
  <conditionalFormatting sqref="V22">
    <cfRule type="expression" dxfId="104" priority="235">
      <formula>(OR(Z2="2",Z2="3"))</formula>
    </cfRule>
  </conditionalFormatting>
  <conditionalFormatting sqref="V23">
    <cfRule type="expression" dxfId="103" priority="234">
      <formula>(Z2="3")</formula>
    </cfRule>
  </conditionalFormatting>
  <conditionalFormatting sqref="V21">
    <cfRule type="expression" dxfId="102" priority="318">
      <formula>$Z$2=2</formula>
    </cfRule>
    <cfRule type="expression" dxfId="101" priority="319">
      <formula>$Z$2=5</formula>
    </cfRule>
    <cfRule type="expression" dxfId="100" priority="320">
      <formula>$Z$2=4</formula>
    </cfRule>
    <cfRule type="expression" dxfId="99" priority="321">
      <formula>$Z$2=3</formula>
    </cfRule>
    <cfRule type="expression" dxfId="98" priority="322">
      <formula>$H$2=0</formula>
    </cfRule>
  </conditionalFormatting>
  <conditionalFormatting sqref="V21:V23">
    <cfRule type="expression" dxfId="97" priority="236">
      <formula>$U$2=0</formula>
    </cfRule>
  </conditionalFormatting>
  <conditionalFormatting sqref="V21">
    <cfRule type="expression" dxfId="96" priority="208">
      <formula>$X$2=2</formula>
    </cfRule>
    <cfRule type="expression" dxfId="95" priority="209">
      <formula>$X$2=5</formula>
    </cfRule>
    <cfRule type="expression" dxfId="94" priority="210">
      <formula>$X$2=4</formula>
    </cfRule>
    <cfRule type="expression" dxfId="93" priority="211">
      <formula>$X$2=3</formula>
    </cfRule>
    <cfRule type="expression" dxfId="92" priority="212">
      <formula>$H$2=0</formula>
    </cfRule>
  </conditionalFormatting>
  <conditionalFormatting sqref="V22">
    <cfRule type="expression" dxfId="91" priority="203">
      <formula>$X$2=0</formula>
    </cfRule>
    <cfRule type="expression" dxfId="90" priority="204">
      <formula>$X$2=5</formula>
    </cfRule>
    <cfRule type="expression" dxfId="89" priority="205">
      <formula>$X$2=4</formula>
    </cfRule>
    <cfRule type="expression" dxfId="88" priority="206">
      <formula>$X$2=3</formula>
    </cfRule>
    <cfRule type="expression" dxfId="87" priority="207">
      <formula>$X$2=2</formula>
    </cfRule>
  </conditionalFormatting>
  <conditionalFormatting sqref="V23">
    <cfRule type="expression" dxfId="86" priority="199">
      <formula>$X$2=0</formula>
    </cfRule>
    <cfRule type="expression" dxfId="85" priority="200">
      <formula>$X$2=5</formula>
    </cfRule>
    <cfRule type="expression" dxfId="84" priority="201">
      <formula>$X$2=4</formula>
    </cfRule>
    <cfRule type="expression" dxfId="83" priority="202">
      <formula>$X$2=3</formula>
    </cfRule>
  </conditionalFormatting>
  <conditionalFormatting sqref="V21">
    <cfRule type="expression" dxfId="82" priority="193">
      <formula>$X$2=1</formula>
    </cfRule>
  </conditionalFormatting>
  <conditionalFormatting sqref="F21">
    <cfRule type="expression" dxfId="81" priority="191">
      <formula>$H$2=0</formula>
    </cfRule>
    <cfRule type="expression" dxfId="80" priority="192" stopIfTrue="1">
      <formula>(OR(H2="1",H2="2",H2="3"))</formula>
    </cfRule>
  </conditionalFormatting>
  <conditionalFormatting sqref="F22">
    <cfRule type="expression" dxfId="79" priority="190">
      <formula>(OR(H2="2",H2="3"))</formula>
    </cfRule>
  </conditionalFormatting>
  <conditionalFormatting sqref="F23">
    <cfRule type="cellIs" dxfId="78" priority="188" operator="equal">
      <formula>0</formula>
    </cfRule>
    <cfRule type="expression" dxfId="77" priority="189">
      <formula>(H2="3")</formula>
    </cfRule>
  </conditionalFormatting>
  <conditionalFormatting sqref="V21">
    <cfRule type="expression" dxfId="76" priority="186">
      <formula>$H$2=0</formula>
    </cfRule>
    <cfRule type="expression" dxfId="75" priority="187" stopIfTrue="1">
      <formula>(OR(X2="1",X2="2",X2="3"))</formula>
    </cfRule>
  </conditionalFormatting>
  <conditionalFormatting sqref="V22">
    <cfRule type="expression" dxfId="74" priority="185">
      <formula>(OR(X2="2",X2="3"))</formula>
    </cfRule>
  </conditionalFormatting>
  <conditionalFormatting sqref="V23">
    <cfRule type="expression" dxfId="73" priority="184">
      <formula>(X2="3")</formula>
    </cfRule>
  </conditionalFormatting>
  <conditionalFormatting sqref="AA8:AA9 AB8:AD8 C8:F9">
    <cfRule type="expression" dxfId="72" priority="58">
      <formula>(OR($E$2=3,$E$2=4,$E$2=5))</formula>
    </cfRule>
  </conditionalFormatting>
  <conditionalFormatting sqref="AA9:AD9 S14:V14 K9:N9 C14:F14">
    <cfRule type="containsText" dxfId="71" priority="4" operator="containsText" text="OFFICE">
      <formula>NOT(ISERROR(SEARCH("OFFICE",C9)))</formula>
    </cfRule>
  </conditionalFormatting>
  <pageMargins left="0.7" right="0.7" top="0.75" bottom="0.75" header="0.3" footer="0.3"/>
  <pageSetup paperSize="9" scale="81" orientation="landscape" horizontalDpi="4294967292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tabColor rgb="FFFF0000"/>
  </sheetPr>
  <dimension ref="A1:AR53"/>
  <sheetViews>
    <sheetView topLeftCell="A4" zoomScale="90" zoomScaleNormal="90" zoomScaleSheetLayoutView="100" workbookViewId="0">
      <selection activeCell="AD31" sqref="AD31"/>
    </sheetView>
  </sheetViews>
  <sheetFormatPr baseColWidth="10" defaultRowHeight="15"/>
  <cols>
    <col min="1" max="1" width="6.5703125" style="7" customWidth="1"/>
    <col min="2" max="2" width="9" style="26" customWidth="1"/>
    <col min="3" max="3" width="12" style="7" hidden="1" customWidth="1"/>
    <col min="4" max="4" width="14.42578125" style="7" bestFit="1" customWidth="1"/>
    <col min="5" max="5" width="4.7109375" style="7" customWidth="1"/>
    <col min="6" max="6" width="11.42578125" style="7"/>
    <col min="7" max="7" width="7.42578125" style="7" customWidth="1"/>
    <col min="8" max="8" width="8.5703125" style="7" customWidth="1"/>
    <col min="9" max="9" width="7.140625" style="51" customWidth="1"/>
    <col min="10" max="10" width="12.7109375" style="7" customWidth="1"/>
    <col min="11" max="11" width="6.28515625" style="7" customWidth="1"/>
    <col min="12" max="12" width="11.42578125" style="7" customWidth="1"/>
    <col min="13" max="13" width="6.42578125" style="7" customWidth="1"/>
    <col min="14" max="14" width="13.5703125" style="7" hidden="1" customWidth="1"/>
    <col min="15" max="15" width="7" style="7" customWidth="1"/>
    <col min="16" max="16" width="7.28515625" style="7" customWidth="1"/>
    <col min="17" max="17" width="11.42578125" style="7"/>
    <col min="18" max="18" width="6.42578125" style="7" customWidth="1"/>
    <col min="19" max="19" width="11.5703125" style="7" customWidth="1"/>
    <col min="20" max="20" width="7.140625" style="7" customWidth="1"/>
    <col min="21" max="21" width="7.28515625" style="178" customWidth="1"/>
    <col min="22" max="22" width="6.42578125" style="7" customWidth="1"/>
    <col min="23" max="23" width="8.28515625" style="7" customWidth="1"/>
    <col min="24" max="24" width="4.85546875" style="7" customWidth="1"/>
    <col min="25" max="25" width="7.5703125" style="7" customWidth="1"/>
    <col min="26" max="26" width="7.42578125" style="7" customWidth="1"/>
    <col min="27" max="27" width="10.85546875" style="178" customWidth="1"/>
    <col min="28" max="28" width="7.5703125" style="7" customWidth="1"/>
    <col min="29" max="29" width="10.7109375" style="7" customWidth="1"/>
    <col min="30" max="30" width="5" style="7" customWidth="1"/>
    <col min="31" max="31" width="11.140625" style="7" customWidth="1"/>
    <col min="32" max="32" width="7.7109375" style="7" customWidth="1"/>
    <col min="33" max="33" width="17.28515625" style="178" customWidth="1"/>
    <col min="34" max="34" width="7.85546875" style="7" customWidth="1"/>
    <col min="35" max="35" width="10.5703125" style="7" customWidth="1"/>
    <col min="36" max="36" width="7.7109375" style="7" customWidth="1"/>
    <col min="37" max="37" width="10.28515625" style="7" customWidth="1"/>
    <col min="38" max="38" width="7" style="7" customWidth="1"/>
    <col min="39" max="39" width="18.5703125" style="178" customWidth="1"/>
    <col min="40" max="40" width="7.28515625" style="7" customWidth="1"/>
    <col min="41" max="41" width="5.28515625" style="7" customWidth="1"/>
    <col min="42" max="42" width="35.42578125" style="7" customWidth="1"/>
    <col min="43" max="16384" width="11.42578125" style="7"/>
  </cols>
  <sheetData>
    <row r="1" spans="1:44" ht="24" thickBot="1">
      <c r="B1" s="265" t="s">
        <v>175</v>
      </c>
      <c r="C1" s="217"/>
      <c r="M1" s="31"/>
      <c r="N1" s="31"/>
      <c r="O1" s="31"/>
      <c r="P1" s="1114" t="s">
        <v>51</v>
      </c>
      <c r="Q1" s="1115"/>
      <c r="R1" s="1115"/>
      <c r="S1" s="1115"/>
      <c r="T1" s="1115"/>
      <c r="U1" s="1124"/>
      <c r="V1" s="1114" t="s">
        <v>52</v>
      </c>
      <c r="W1" s="1115"/>
      <c r="X1" s="1115">
        <f>[1]Renseignements!$E$6</f>
        <v>0</v>
      </c>
      <c r="Y1" s="1124"/>
      <c r="Z1" s="1114" t="s">
        <v>53</v>
      </c>
      <c r="AA1" s="1115"/>
      <c r="AB1" s="1115"/>
      <c r="AC1" s="1115" t="str">
        <f>[1]Renseignements!$K$6</f>
        <v>Quadrettes</v>
      </c>
      <c r="AD1" s="1115"/>
      <c r="AE1" s="1124"/>
      <c r="AF1" s="1114" t="s">
        <v>54</v>
      </c>
      <c r="AG1" s="1115"/>
      <c r="AH1" s="1115"/>
      <c r="AI1" s="1115"/>
      <c r="AJ1" s="1115"/>
      <c r="AK1" s="1115" t="str">
        <f>[1]Renseignements!$E$9</f>
        <v xml:space="preserve"> Div.</v>
      </c>
      <c r="AL1" s="1124"/>
    </row>
    <row r="2" spans="1:44" ht="31.5" customHeight="1" thickBot="1">
      <c r="B2" s="1116"/>
      <c r="C2" s="1116"/>
      <c r="D2" s="1116"/>
      <c r="E2" s="1116"/>
      <c r="F2" s="1116"/>
      <c r="G2" s="54"/>
      <c r="H2" s="208">
        <f>+Données!J11</f>
        <v>0</v>
      </c>
      <c r="I2" s="215" t="s">
        <v>137</v>
      </c>
      <c r="J2" s="21">
        <f>+Données!L13</f>
        <v>0</v>
      </c>
      <c r="K2" s="54"/>
      <c r="L2" s="54"/>
      <c r="M2" s="32"/>
      <c r="N2" s="32"/>
      <c r="O2" s="32"/>
      <c r="P2" s="1117" t="s">
        <v>2</v>
      </c>
      <c r="Q2" s="1118"/>
      <c r="R2" s="1118"/>
      <c r="S2" s="1118"/>
      <c r="T2" s="1118"/>
      <c r="U2" s="1118"/>
      <c r="V2" s="1118"/>
      <c r="W2" s="1118"/>
      <c r="X2" s="1118"/>
      <c r="Y2" s="33"/>
      <c r="Z2" s="32"/>
      <c r="AA2" s="272"/>
      <c r="AB2" s="32"/>
      <c r="AC2" s="32"/>
      <c r="AD2" s="32"/>
      <c r="AE2" s="32"/>
      <c r="AF2" s="33"/>
      <c r="AG2" s="269"/>
      <c r="AH2" s="34"/>
      <c r="AI2" s="34"/>
      <c r="AJ2" s="34"/>
      <c r="AK2" s="34"/>
      <c r="AL2" s="35"/>
    </row>
    <row r="3" spans="1:44" ht="34.5" customHeight="1" thickBot="1">
      <c r="B3" s="266"/>
      <c r="C3" s="209"/>
      <c r="D3" s="209"/>
      <c r="E3" s="209"/>
      <c r="F3" s="209"/>
      <c r="G3" s="209"/>
      <c r="H3" s="210"/>
      <c r="I3" s="214" t="s">
        <v>138</v>
      </c>
      <c r="J3" s="23">
        <f>+Données!D19</f>
        <v>0</v>
      </c>
      <c r="K3" s="54"/>
      <c r="L3" s="232"/>
      <c r="M3" s="209"/>
      <c r="N3" s="209" t="s">
        <v>190</v>
      </c>
      <c r="O3" s="36"/>
      <c r="P3" s="1119"/>
      <c r="Q3" s="1120"/>
      <c r="R3" s="1120"/>
      <c r="S3" s="1120"/>
      <c r="T3" s="1120"/>
      <c r="U3" s="1120"/>
      <c r="V3" s="1120"/>
      <c r="W3" s="1120"/>
      <c r="X3" s="1120"/>
      <c r="Y3" s="1121" t="s">
        <v>50</v>
      </c>
      <c r="Z3" s="1122"/>
      <c r="AA3" s="1122"/>
      <c r="AB3" s="1122"/>
      <c r="AC3" s="1122"/>
      <c r="AD3" s="1122"/>
      <c r="AE3" s="1122"/>
      <c r="AF3" s="1122"/>
      <c r="AG3" s="1122"/>
      <c r="AH3" s="1122"/>
      <c r="AI3" s="1123"/>
      <c r="AJ3" s="24">
        <f>Données!$L$14</f>
        <v>0</v>
      </c>
      <c r="AK3" s="22"/>
      <c r="AL3" s="37"/>
      <c r="AN3" s="183" t="s">
        <v>156</v>
      </c>
    </row>
    <row r="4" spans="1:44" ht="21" thickBot="1">
      <c r="B4" s="212"/>
      <c r="C4" s="54"/>
      <c r="D4" s="54"/>
      <c r="E4" s="54"/>
      <c r="F4" s="54"/>
      <c r="G4" s="54"/>
      <c r="H4" s="54"/>
      <c r="I4" s="245"/>
      <c r="J4" s="54"/>
      <c r="K4" s="54"/>
      <c r="L4" s="54"/>
      <c r="M4" s="54"/>
      <c r="N4" s="54"/>
      <c r="AC4" s="1125" t="s">
        <v>5</v>
      </c>
      <c r="AD4" s="1126"/>
      <c r="AE4" s="1126"/>
      <c r="AF4" s="1126"/>
      <c r="AG4" s="1126"/>
      <c r="AH4" s="1126"/>
      <c r="AI4" s="1126"/>
      <c r="AJ4" s="1126"/>
      <c r="AK4" s="1126"/>
      <c r="AL4" s="1127"/>
    </row>
    <row r="5" spans="1:44" s="29" customFormat="1" ht="21" thickBot="1">
      <c r="B5" s="267"/>
      <c r="C5" s="211"/>
      <c r="D5" s="1128" t="s">
        <v>9</v>
      </c>
      <c r="E5" s="1129"/>
      <c r="F5" s="1130"/>
      <c r="G5" s="211"/>
      <c r="H5" s="211"/>
      <c r="I5" s="268"/>
      <c r="J5" s="1128" t="s">
        <v>9</v>
      </c>
      <c r="K5" s="1129"/>
      <c r="L5" s="1130"/>
      <c r="M5" s="211"/>
      <c r="N5" s="211"/>
      <c r="Q5" s="1097" t="s">
        <v>3</v>
      </c>
      <c r="R5" s="1098"/>
      <c r="S5" s="1099"/>
      <c r="U5" s="273"/>
      <c r="W5" s="1131" t="s">
        <v>4</v>
      </c>
      <c r="X5" s="1132"/>
      <c r="Y5" s="1133"/>
      <c r="AA5" s="273"/>
      <c r="AC5" s="1134" t="s">
        <v>6</v>
      </c>
      <c r="AD5" s="1135"/>
      <c r="AE5" s="1136"/>
      <c r="AG5" s="179"/>
      <c r="AI5" s="1137" t="s">
        <v>8</v>
      </c>
      <c r="AJ5" s="1138"/>
      <c r="AK5" s="1139"/>
      <c r="AM5" s="179"/>
    </row>
    <row r="6" spans="1:44" ht="19.5" thickBot="1">
      <c r="B6" s="244" t="s">
        <v>1</v>
      </c>
      <c r="C6" s="244"/>
      <c r="D6" s="58"/>
      <c r="E6" s="249" t="s">
        <v>10</v>
      </c>
      <c r="F6" s="58"/>
      <c r="G6" s="244" t="s">
        <v>0</v>
      </c>
      <c r="H6" s="244"/>
      <c r="I6" s="253" t="s">
        <v>1</v>
      </c>
      <c r="J6" s="58"/>
      <c r="K6" s="249" t="s">
        <v>11</v>
      </c>
      <c r="L6" s="58"/>
      <c r="M6" s="244" t="s">
        <v>0</v>
      </c>
      <c r="N6" s="244"/>
      <c r="O6" s="244"/>
      <c r="P6" s="244" t="s">
        <v>1</v>
      </c>
      <c r="Q6" s="58"/>
      <c r="R6" s="249" t="s">
        <v>10</v>
      </c>
      <c r="S6" s="58"/>
      <c r="T6" s="244" t="s">
        <v>0</v>
      </c>
      <c r="V6" s="244" t="s">
        <v>1</v>
      </c>
      <c r="W6" s="58"/>
      <c r="X6" s="88" t="s">
        <v>10</v>
      </c>
      <c r="Y6" s="58"/>
      <c r="Z6" s="244" t="s">
        <v>0</v>
      </c>
      <c r="AA6" s="251"/>
      <c r="AB6" s="244" t="s">
        <v>1</v>
      </c>
      <c r="AC6" s="58"/>
      <c r="AD6" s="88" t="s">
        <v>10</v>
      </c>
      <c r="AE6" s="58"/>
      <c r="AF6" s="244" t="s">
        <v>0</v>
      </c>
      <c r="AG6" s="252"/>
      <c r="AH6" s="58"/>
      <c r="AI6" s="58"/>
      <c r="AJ6" s="58"/>
      <c r="AK6" s="58"/>
      <c r="AL6" s="58"/>
      <c r="AM6" s="252"/>
      <c r="AN6" s="58"/>
      <c r="AO6" s="58"/>
      <c r="AP6" s="58"/>
      <c r="AQ6" s="58"/>
    </row>
    <row r="7" spans="1:44" ht="18.95" customHeight="1" thickBot="1">
      <c r="B7" s="1055">
        <v>1</v>
      </c>
      <c r="C7" s="218" t="s">
        <v>115</v>
      </c>
      <c r="D7" s="902" t="str">
        <f>IF(OR(J3&lt;17),"OFFICE",IF(AND(H2&gt;300,H2&lt;649),'Poule 1 et 2'!$F21))</f>
        <v>OFFICE</v>
      </c>
      <c r="E7" s="903"/>
      <c r="F7" s="904"/>
      <c r="G7" s="100">
        <v>1</v>
      </c>
      <c r="H7" s="101"/>
      <c r="I7" s="1055">
        <v>9</v>
      </c>
      <c r="J7" s="902" t="str">
        <f>IF(OR(J3&lt;21),"OFFICE",IF(AND(H2&gt;300,H2&lt;530),'Poule 5 et 6'!$F23,IF(AND(H2&gt;530,H2&lt;649),'Poule 13 et 14'!V22)))</f>
        <v>OFFICE</v>
      </c>
      <c r="K7" s="903"/>
      <c r="L7" s="904"/>
      <c r="M7" s="100">
        <v>1</v>
      </c>
      <c r="N7" s="218" t="s">
        <v>179</v>
      </c>
      <c r="O7" s="101"/>
      <c r="P7" s="1055">
        <v>1</v>
      </c>
      <c r="Q7" s="902" t="str">
        <f>IF(OR($J$3&gt;32,$J$3&lt;8),"OFFICE",IF(AND($J$3&gt;16,$G7=$G8),"Gagnant 1/16 A",IF(AND($J$3&gt;16,$G7&gt;$G8),$D7,IF(AND($J$3&gt;16,G7&lt;$G8),$D8,IF(AND(H2&gt;170,H2&lt;300),'Poule 1 et 2'!F21)))))</f>
        <v>OFFICE</v>
      </c>
      <c r="R7" s="903"/>
      <c r="S7" s="904"/>
      <c r="T7" s="88">
        <v>1</v>
      </c>
      <c r="U7" s="277" t="str">
        <f>IF(T7=T8,"&amp;",IF(T7&gt;T8,Q7,Q8))</f>
        <v>OFFICE</v>
      </c>
      <c r="V7" s="975">
        <v>1</v>
      </c>
      <c r="W7" s="1106" t="str">
        <f>IF(OR(J3=4,J3=0,J3=0),"&amp;",IF(AND(J3&gt;8,T7=T8),"Gagnant 1/8 A",IF(AND(J3&gt;8,T7&gt;T8),Q7,IF(AND(J3&gt;8,T7&lt;T8),Q8,IF(AND(J3&lt;9,J3&gt;7),'Poule 1 et 2'!F21,'Poule 3 et 4'!#REF!)))))</f>
        <v>&amp;</v>
      </c>
      <c r="X7" s="1107"/>
      <c r="Y7" s="1108"/>
      <c r="Z7" s="100">
        <v>1</v>
      </c>
      <c r="AA7" s="274" t="str">
        <f>IF(Z7=Z8,"résultat",IF(Z7&gt;Z8,W7,W8))</f>
        <v>&amp;</v>
      </c>
      <c r="AB7" s="975">
        <v>1</v>
      </c>
      <c r="AC7" s="1049" t="str">
        <f>IF(Z7=Z8,"résultat",IF(Z7&lt;&gt;Z8,AA7))</f>
        <v>&amp;</v>
      </c>
      <c r="AD7" s="1050"/>
      <c r="AE7" s="1051"/>
      <c r="AF7" s="88">
        <v>1</v>
      </c>
      <c r="AG7" s="270" t="str">
        <f>IF(AF7=AF8,"résultat",IF(AF7&gt;AF8,AC7,AC8))</f>
        <v>&amp;</v>
      </c>
      <c r="AH7" s="244"/>
      <c r="AI7" s="244"/>
      <c r="AJ7" s="244"/>
      <c r="AK7" s="244"/>
      <c r="AL7" s="244"/>
      <c r="AM7" s="252"/>
      <c r="AN7" s="58"/>
      <c r="AO7" s="58"/>
      <c r="AP7" s="58"/>
      <c r="AQ7" s="106"/>
    </row>
    <row r="8" spans="1:44" ht="18.95" customHeight="1" thickBot="1">
      <c r="B8" s="1056"/>
      <c r="C8" s="188" t="s">
        <v>177</v>
      </c>
      <c r="D8" s="961" t="str">
        <f>IF(OR(H2&lt;420,$J$3=23),"OFFICE",IF(AND(H2&gt;420,H2&lt;450),'Poule 9 et 10'!F23,IF(AND(H2&gt;450,H2&lt;649),'Poule 11 et 12'!$V22)))</f>
        <v>OFFICE</v>
      </c>
      <c r="E8" s="962"/>
      <c r="F8" s="963"/>
      <c r="G8" s="100">
        <v>0</v>
      </c>
      <c r="H8" s="101"/>
      <c r="I8" s="1056"/>
      <c r="J8" s="961" t="str">
        <f>IF(OR(J3&lt;17),"OFFICE",IF(AND(H2&gt;300,H2&lt;649),'Poule 7 et 8'!$V21))</f>
        <v>OFFICE</v>
      </c>
      <c r="K8" s="962"/>
      <c r="L8" s="963"/>
      <c r="M8" s="221">
        <v>0</v>
      </c>
      <c r="N8" s="222" t="s">
        <v>97</v>
      </c>
      <c r="O8" s="89"/>
      <c r="P8" s="1056"/>
      <c r="Q8" s="911" t="b">
        <f>IF(OR($J$3&gt;32,$J$3=10,J3=12),"OFFICE",IF(AND($J$3&gt;16,$M7=$M8),"Gagnant 1/16 B",IF(AND($J$3&gt;16,$M7&gt;$M8),J7,IF(AND($J$3&gt;16,M7&lt;M8),$J8,IF(AND(H2&gt;180,H2&lt;250),'Poule 3 et 4'!F23,IF(AND(H2&gt;250,H2&lt;300),'Poule 7 et 8'!F22))))))</f>
        <v>0</v>
      </c>
      <c r="R8" s="1057"/>
      <c r="S8" s="1058"/>
      <c r="T8" s="169">
        <v>0</v>
      </c>
      <c r="U8" s="277" t="b">
        <f>IF(T7=T8,"&amp;",IF(T7&lt;T8,Q7,Q8))</f>
        <v>0</v>
      </c>
      <c r="V8" s="976"/>
      <c r="W8" s="1062" t="str">
        <f>IF(OR(J3=4,J3=0,J3=0),"&amp;",IF(AND(J3&gt;8,T10=T11),"Gagnant 1/8 B",IF(AND(J3&gt;8,T10&gt;T11),Q10,IF(AND(J3&gt;8,T10&lt;T11),Q11,IF(AND(J3&lt;9,J3&gt;4),'Poule 1 et 2'!V22,'Poule 3 et 4'!V23)))))</f>
        <v>&amp;</v>
      </c>
      <c r="X8" s="1063"/>
      <c r="Y8" s="1064"/>
      <c r="Z8" s="221">
        <v>0</v>
      </c>
      <c r="AA8" s="270" t="str">
        <f>IF(Z7=Z8,"résultat",IF(Z7&lt;Z8,W7,W8))</f>
        <v>&amp;</v>
      </c>
      <c r="AB8" s="976"/>
      <c r="AC8" s="1059" t="str">
        <f>IF(Z13=Z14,"résultat",IF(Z13&lt;&gt;Z14,AA13))</f>
        <v>&amp;</v>
      </c>
      <c r="AD8" s="1060"/>
      <c r="AE8" s="1061"/>
      <c r="AF8" s="169">
        <v>0</v>
      </c>
      <c r="AG8" s="270" t="str">
        <f>IF(AF7=AF8,"résultat",IF(AF7&lt;AF8,AC7,AC8))</f>
        <v>&amp;</v>
      </c>
      <c r="AH8" s="1111" t="s">
        <v>151</v>
      </c>
      <c r="AI8" s="1112"/>
      <c r="AJ8" s="1112"/>
      <c r="AK8" s="1112"/>
      <c r="AL8" s="1113"/>
      <c r="AM8" s="252"/>
      <c r="AN8" s="58"/>
      <c r="AO8" s="58"/>
      <c r="AP8" s="58"/>
      <c r="AQ8" s="58"/>
    </row>
    <row r="9" spans="1:44" ht="18.95" customHeight="1" thickBot="1">
      <c r="B9" s="225"/>
      <c r="C9" s="58"/>
      <c r="D9" s="223"/>
      <c r="E9" s="227" t="s">
        <v>57</v>
      </c>
      <c r="F9" s="223"/>
      <c r="G9" s="225"/>
      <c r="H9" s="101"/>
      <c r="I9" s="239"/>
      <c r="J9" s="223"/>
      <c r="K9" s="227" t="s">
        <v>48</v>
      </c>
      <c r="L9" s="223"/>
      <c r="M9" s="226"/>
      <c r="N9" s="225"/>
      <c r="O9" s="82"/>
      <c r="P9" s="239"/>
      <c r="Q9" s="250"/>
      <c r="R9" s="224" t="s">
        <v>11</v>
      </c>
      <c r="S9" s="223"/>
      <c r="T9" s="58"/>
      <c r="U9" s="278"/>
      <c r="V9" s="207"/>
      <c r="W9" s="254"/>
      <c r="X9" s="254"/>
      <c r="Y9" s="254"/>
      <c r="Z9" s="58"/>
      <c r="AA9" s="275"/>
      <c r="AB9" s="244"/>
      <c r="AC9" s="254"/>
      <c r="AD9" s="254"/>
      <c r="AE9" s="254"/>
      <c r="AF9" s="244"/>
      <c r="AG9" s="270"/>
      <c r="AH9" s="244" t="s">
        <v>1</v>
      </c>
      <c r="AI9" s="244"/>
      <c r="AJ9" s="244"/>
      <c r="AK9" s="244"/>
      <c r="AL9" s="244" t="s">
        <v>0</v>
      </c>
      <c r="AM9" s="252"/>
      <c r="AN9" s="58"/>
      <c r="AO9" s="58"/>
      <c r="AP9" s="58"/>
      <c r="AQ9" s="58"/>
    </row>
    <row r="10" spans="1:44" ht="18.95" customHeight="1" thickBot="1">
      <c r="B10" s="1055">
        <v>2</v>
      </c>
      <c r="C10" s="218" t="s">
        <v>80</v>
      </c>
      <c r="D10" s="902" t="str">
        <f>IF(OR(J3&lt;17),"OFFICE",IF(AND(H2&gt;300,H2&lt;649),'Poule 1 et 2'!$V21))</f>
        <v>OFFICE</v>
      </c>
      <c r="E10" s="903"/>
      <c r="F10" s="904"/>
      <c r="G10" s="100">
        <v>1</v>
      </c>
      <c r="H10" s="101"/>
      <c r="I10" s="1055">
        <v>10</v>
      </c>
      <c r="J10" s="902" t="str">
        <f>IF(OR(J3&lt;19,$J$3=0),"OFFICE",IF(AND(H2&gt;300,H2&lt;570),'Poule 3 et 4'!$V23,IF(AND(H2&gt;570,H2&lt;649),'Poule 15 et 16'!F21)))</f>
        <v>OFFICE</v>
      </c>
      <c r="K10" s="903"/>
      <c r="L10" s="904"/>
      <c r="M10" s="100">
        <v>1</v>
      </c>
      <c r="N10" s="218" t="s">
        <v>182</v>
      </c>
      <c r="O10" s="101"/>
      <c r="P10" s="1055">
        <v>2</v>
      </c>
      <c r="Q10" s="902" t="b">
        <f>IF(OR($J$3&gt;32),"OFFICE",IF(AND($J$3&gt;16,$G10=$G11),"Gagnant 1/16 C",IF(AND($J$3&gt;16,$G10&gt;$G11),$D10,IF(AND($J$3&gt;16,G10&lt;$G11),$D11,IF(AND(H2&gt;170,H2&lt;300),'Poule 1 et 2'!V21)))))</f>
        <v>0</v>
      </c>
      <c r="R10" s="903"/>
      <c r="S10" s="904"/>
      <c r="T10" s="88">
        <v>1</v>
      </c>
      <c r="U10" s="277" t="b">
        <f>IF(T10=T11,"&amp;",IF(T10&gt;T11,Q10,Q11))</f>
        <v>0</v>
      </c>
      <c r="V10" s="207"/>
      <c r="W10" s="254"/>
      <c r="X10" s="254"/>
      <c r="Y10" s="254"/>
      <c r="Z10" s="58"/>
      <c r="AA10" s="275"/>
      <c r="AB10" s="244"/>
      <c r="AC10" s="254"/>
      <c r="AD10" s="254"/>
      <c r="AE10" s="254"/>
      <c r="AF10" s="244"/>
      <c r="AG10" s="270"/>
      <c r="AH10" s="975">
        <v>1</v>
      </c>
      <c r="AI10" s="1140" t="str">
        <f>+AG7</f>
        <v>&amp;</v>
      </c>
      <c r="AJ10" s="1141"/>
      <c r="AK10" s="1142"/>
      <c r="AL10" s="88">
        <v>1</v>
      </c>
      <c r="AM10" s="270" t="str">
        <f>IF(AL10=AL11,"résultat",IF(AL10&gt;AL11,AI10,AI11))</f>
        <v>&amp;</v>
      </c>
      <c r="AN10" s="58"/>
      <c r="AO10" s="58"/>
      <c r="AP10" s="58"/>
      <c r="AQ10" s="58"/>
    </row>
    <row r="11" spans="1:44" ht="18.95" customHeight="1" thickBot="1">
      <c r="B11" s="1056"/>
      <c r="C11" s="188" t="s">
        <v>176</v>
      </c>
      <c r="D11" s="961" t="str">
        <f>IF(OR($J$3&lt;30,$J$3=0),"OFFICE",IF(AND(H2&gt;410,H2&lt;649),'Poule 11 et 12'!F22,IF(AND(H2&gt;400,H2&lt;410),'Poule 9 et 10'!$V23)))</f>
        <v>OFFICE</v>
      </c>
      <c r="E11" s="962"/>
      <c r="F11" s="963"/>
      <c r="G11" s="100">
        <v>0</v>
      </c>
      <c r="H11" s="101"/>
      <c r="I11" s="1056"/>
      <c r="J11" s="961" t="str">
        <f>IF(OR($J$3&lt;17),"OFFICE",IF(AND(H2&gt;300,H2&lt;649),'Poule 7 et 8'!$F22))</f>
        <v>OFFICE</v>
      </c>
      <c r="K11" s="962"/>
      <c r="L11" s="963"/>
      <c r="M11" s="221">
        <v>0</v>
      </c>
      <c r="N11" s="222" t="s">
        <v>95</v>
      </c>
      <c r="O11" s="89"/>
      <c r="P11" s="1056"/>
      <c r="Q11" s="911" t="b">
        <f>IF(OR($J$3&gt;32,J3=10,J3=12,J3=13,J3=14),"OFFICE",IF(AND($J$3&gt;16,$M10=$M11),"Gagnant 1/16 D",IF(AND($J$3&gt;16,$M10&gt;$M11),J10,IF(AND($J$3&gt;16,$M10&lt;$M11),$J11,IF(AND(H2&gt;200,H2&lt;210),'Poule 5 et 6'!F23,IF(AND(H2&gt;210,H2&lt;300),'Poule 5 et 6'!V21))))))</f>
        <v>0</v>
      </c>
      <c r="R11" s="1057"/>
      <c r="S11" s="1058"/>
      <c r="T11" s="169">
        <v>0</v>
      </c>
      <c r="U11" s="277" t="b">
        <f>IF(T10=T11,"&amp;",IF(T10&lt;T11,Q10,Q11))</f>
        <v>0</v>
      </c>
      <c r="V11" s="207"/>
      <c r="W11" s="254"/>
      <c r="X11" s="254"/>
      <c r="Y11" s="254"/>
      <c r="Z11" s="58"/>
      <c r="AA11" s="275"/>
      <c r="AB11" s="244"/>
      <c r="AC11" s="254"/>
      <c r="AD11" s="254"/>
      <c r="AE11" s="254"/>
      <c r="AF11" s="244"/>
      <c r="AG11" s="270"/>
      <c r="AH11" s="976"/>
      <c r="AI11" s="1143" t="str">
        <f>+AG13</f>
        <v>OFFICE</v>
      </c>
      <c r="AJ11" s="1144"/>
      <c r="AK11" s="1145"/>
      <c r="AL11" s="169">
        <v>0</v>
      </c>
      <c r="AM11" s="270" t="str">
        <f>IF(AL10=AL11,"résultat",IF(AL10&lt;AL11,AI10,AI11))</f>
        <v>OFFICE</v>
      </c>
      <c r="AN11" s="58"/>
      <c r="AO11" s="58"/>
      <c r="AP11" s="58"/>
      <c r="AQ11" s="226"/>
    </row>
    <row r="12" spans="1:44" ht="18.95" customHeight="1" thickBot="1">
      <c r="B12" s="225"/>
      <c r="C12" s="58"/>
      <c r="D12" s="223"/>
      <c r="E12" s="227" t="s">
        <v>49</v>
      </c>
      <c r="F12" s="223"/>
      <c r="G12" s="225"/>
      <c r="H12" s="101"/>
      <c r="I12" s="239"/>
      <c r="J12" s="223"/>
      <c r="K12" s="227" t="s">
        <v>58</v>
      </c>
      <c r="L12" s="223"/>
      <c r="M12" s="226"/>
      <c r="N12" s="225"/>
      <c r="O12" s="82"/>
      <c r="P12" s="239"/>
      <c r="Q12" s="223"/>
      <c r="R12" s="224" t="s">
        <v>57</v>
      </c>
      <c r="S12" s="223"/>
      <c r="T12" s="58"/>
      <c r="U12" s="278"/>
      <c r="V12" s="207"/>
      <c r="W12" s="254"/>
      <c r="X12" s="255" t="s">
        <v>11</v>
      </c>
      <c r="Y12" s="254"/>
      <c r="Z12" s="58"/>
      <c r="AA12" s="275"/>
      <c r="AB12" s="244"/>
      <c r="AC12" s="254"/>
      <c r="AD12" s="255" t="s">
        <v>11</v>
      </c>
      <c r="AE12" s="254"/>
      <c r="AF12" s="244"/>
      <c r="AG12" s="270"/>
      <c r="AH12" s="244"/>
      <c r="AI12" s="244"/>
      <c r="AJ12" s="244"/>
      <c r="AK12" s="244"/>
      <c r="AL12" s="244"/>
      <c r="AM12" s="271"/>
      <c r="AN12" s="1109" t="s">
        <v>193</v>
      </c>
      <c r="AO12" s="1110"/>
      <c r="AP12" s="1110"/>
      <c r="AQ12"/>
    </row>
    <row r="13" spans="1:44" ht="18.95" customHeight="1" thickBot="1">
      <c r="B13" s="1055">
        <v>3</v>
      </c>
      <c r="C13" s="218" t="s">
        <v>82</v>
      </c>
      <c r="D13" s="902" t="str">
        <f>IF(OR(J3&lt;17),"OFFICE",IF(AND(H2&gt;300,H2&lt;649),'Poule 3 et 4'!$V21))</f>
        <v>OFFICE</v>
      </c>
      <c r="E13" s="903"/>
      <c r="F13" s="904"/>
      <c r="G13" s="100">
        <v>1</v>
      </c>
      <c r="H13" s="101"/>
      <c r="I13" s="1055">
        <v>11</v>
      </c>
      <c r="J13" s="902" t="str">
        <f>IF(OR($J$3&lt;17),"OFFICE",IF(AND(H2&gt;300,H2&lt;530),'Poule 5 et 6'!V23,IF(AND(H2&gt;530,H2&lt;649),'Poule 13 et 14'!V21)))</f>
        <v>OFFICE</v>
      </c>
      <c r="K13" s="903"/>
      <c r="L13" s="904"/>
      <c r="M13" s="100">
        <v>1</v>
      </c>
      <c r="N13" s="218" t="s">
        <v>180</v>
      </c>
      <c r="O13" s="101"/>
      <c r="P13" s="1055">
        <v>3</v>
      </c>
      <c r="Q13" s="902" t="b">
        <f>IF(OR($J$3&gt;32),"OFFICE",IF(AND($J$3&gt;16,$G13=$G14),"Gagnant 1/16 E",IF(AND($J$3&gt;16,$G13&gt;$G14),D13,IF(AND($J$3&gt;16,G13&lt;$G14),$D14,IF(AND(H2&gt;170,H2&lt;300),'Poule 3 et 4'!F21)))))</f>
        <v>0</v>
      </c>
      <c r="R13" s="903"/>
      <c r="S13" s="904"/>
      <c r="T13" s="88">
        <v>1</v>
      </c>
      <c r="U13" s="277" t="b">
        <f>IF(T13=T14,"&amp;",IF(T13&gt;T14,Q13,Q14))</f>
        <v>0</v>
      </c>
      <c r="V13" s="975">
        <v>2</v>
      </c>
      <c r="W13" s="1062" t="str">
        <f>IF(OR(J3=4,J3=0,J3=0),"&amp;",IF(AND(J3&gt;8,T13=T14),"Gagnant 1/8 C",IF(AND(J3&gt;8,T13&gt;T14),Q13,IF(AND(J3&gt;8,T13&lt;T14),Q14,IF(AND(J3&lt;9,J3&gt;4),'Poule 1 et 2'!V21)))))</f>
        <v>&amp;</v>
      </c>
      <c r="X13" s="1063"/>
      <c r="Y13" s="1064"/>
      <c r="Z13" s="88">
        <v>1</v>
      </c>
      <c r="AA13" s="270" t="str">
        <f>IF(Z13=Z14,"&amp;",IF(Z13&gt;Z14,W13,W14))</f>
        <v>&amp;</v>
      </c>
      <c r="AB13" s="975">
        <v>2</v>
      </c>
      <c r="AC13" s="1049" t="str">
        <f>IF(Z19=Z20,"résultat",IF(Z19&lt;&gt;Z20,AA19))</f>
        <v>OFFICE</v>
      </c>
      <c r="AD13" s="1050"/>
      <c r="AE13" s="1051"/>
      <c r="AF13" s="88">
        <v>1</v>
      </c>
      <c r="AG13" s="270" t="str">
        <f>IF(AF13=AF14,"résultat",IF(AF13&gt;AF14,AC13,AC14))</f>
        <v>OFFICE</v>
      </c>
      <c r="AH13" s="244"/>
      <c r="AI13" s="244"/>
      <c r="AJ13" s="244"/>
      <c r="AK13" s="244"/>
      <c r="AL13" s="244"/>
      <c r="AM13" s="271"/>
      <c r="AN13" s="58"/>
      <c r="AO13" s="58"/>
      <c r="AP13" s="58"/>
      <c r="AQ13" s="226"/>
    </row>
    <row r="14" spans="1:44" ht="18.95" customHeight="1" thickBot="1">
      <c r="A14" s="25"/>
      <c r="B14" s="1056"/>
      <c r="C14" s="188" t="s">
        <v>184</v>
      </c>
      <c r="D14" s="961" t="str">
        <f>IF(OR(H2&lt;380),"OFFICE",IF(AND(H2&gt;380,H2&lt;490),'Poule 7 et 8'!V23,IF(AND(H2&gt;490,H2&lt;649),'Poule 13 et 14'!F22)))</f>
        <v>OFFICE</v>
      </c>
      <c r="E14" s="962"/>
      <c r="F14" s="963"/>
      <c r="G14" s="221">
        <v>0</v>
      </c>
      <c r="H14" s="101"/>
      <c r="I14" s="1056"/>
      <c r="J14" s="961" t="str">
        <f>IF(OR($J$3&lt;17),"OFFICE",IF(AND(H2&gt;300,H2&lt;649),'Poule 5 et 6'!$V22))</f>
        <v>OFFICE</v>
      </c>
      <c r="K14" s="962"/>
      <c r="L14" s="963"/>
      <c r="M14" s="221">
        <v>0</v>
      </c>
      <c r="N14" s="222" t="s">
        <v>91</v>
      </c>
      <c r="O14" s="89"/>
      <c r="P14" s="1056"/>
      <c r="Q14" s="911" t="b">
        <f>IF(OR($J$3&gt;32,J3=10),"OFFICE",IF(AND($J$3&gt;16,$M13=$M14),"Gagnant 1/16 F",IF(AND($J$3&gt;16,$M13&gt;$M14),J13,IF(AND($J$3&gt;16,$M13&lt;$M14),$J14,IF(AND(H2&gt;170,H2&lt;290),'Poule 1 et 2'!F23,IF(AND(H2&gt;290,H2&lt;300),'Poule 7 et 8'!V22))))))</f>
        <v>0</v>
      </c>
      <c r="R14" s="1057"/>
      <c r="S14" s="1058"/>
      <c r="T14" s="169">
        <v>0</v>
      </c>
      <c r="U14" s="277" t="b">
        <f>IF(T13=T14,"&amp;",IF(T13&lt;T14,Q13,Q14))</f>
        <v>0</v>
      </c>
      <c r="V14" s="976"/>
      <c r="W14" s="1065" t="str">
        <f>IF(OR(J3&lt;8,J3=0,J3=0),"&amp;",IF(AND(J3&gt;8,T16=T17),"Gagnant 1/8 D",IF(AND(J3&gt;8,T16&gt;T17),Q16,IF(AND(J3&gt;8,T16&lt;T17),Q17,IF(AND(J3&lt;9,J3&gt;4),'Poule 1 et 2'!F22)))))</f>
        <v>&amp;</v>
      </c>
      <c r="X14" s="1066"/>
      <c r="Y14" s="1067"/>
      <c r="Z14" s="169">
        <v>0</v>
      </c>
      <c r="AA14" s="270" t="str">
        <f>IF(Z13=Z14,"&amp;",IF(Z13&lt;Z14,W13,W14))</f>
        <v>&amp;</v>
      </c>
      <c r="AB14" s="976"/>
      <c r="AC14" s="1059" t="str">
        <f>IF(Z25=Z26,"résultat",IF(Z25&lt;&gt;Z26,AA25))</f>
        <v>&amp;</v>
      </c>
      <c r="AD14" s="1060"/>
      <c r="AE14" s="1061"/>
      <c r="AF14" s="169">
        <v>0</v>
      </c>
      <c r="AG14" s="270" t="str">
        <f>IF(AF13=AF14,"résultat",IF(AF13&lt;AF14,AC13,AC14))</f>
        <v>&amp;</v>
      </c>
      <c r="AH14" s="244"/>
      <c r="AI14" s="244"/>
      <c r="AJ14" s="244"/>
      <c r="AK14" s="244"/>
      <c r="AL14" s="244"/>
      <c r="AM14" s="271"/>
      <c r="AN14" s="256">
        <v>1</v>
      </c>
      <c r="AO14" s="79"/>
      <c r="AP14" s="200">
        <f>IF(OR(AND(AJ3&gt;0,AJ3&lt;9)),AM10,0)</f>
        <v>0</v>
      </c>
      <c r="AQ14" s="226"/>
    </row>
    <row r="15" spans="1:44" ht="18.95" customHeight="1" thickBot="1">
      <c r="A15" s="25"/>
      <c r="B15" s="225"/>
      <c r="C15" s="58"/>
      <c r="D15" s="228"/>
      <c r="E15" s="227" t="s">
        <v>59</v>
      </c>
      <c r="F15" s="228"/>
      <c r="G15" s="225"/>
      <c r="H15" s="101"/>
      <c r="I15" s="239"/>
      <c r="J15" s="223"/>
      <c r="K15" s="227" t="s">
        <v>60</v>
      </c>
      <c r="L15" s="223"/>
      <c r="M15" s="226"/>
      <c r="N15" s="225"/>
      <c r="O15" s="82"/>
      <c r="P15" s="239"/>
      <c r="Q15" s="223"/>
      <c r="R15" s="224" t="s">
        <v>48</v>
      </c>
      <c r="S15" s="223"/>
      <c r="T15" s="58"/>
      <c r="U15" s="278"/>
      <c r="V15" s="207"/>
      <c r="W15" s="254"/>
      <c r="X15" s="254"/>
      <c r="Y15" s="254"/>
      <c r="Z15" s="58"/>
      <c r="AA15" s="275"/>
      <c r="AB15" s="244"/>
      <c r="AC15" s="244"/>
      <c r="AD15" s="244"/>
      <c r="AE15" s="244"/>
      <c r="AF15" s="244"/>
      <c r="AG15" s="252"/>
      <c r="AH15" s="244"/>
      <c r="AI15" s="244"/>
      <c r="AJ15" s="244"/>
      <c r="AK15" s="244"/>
      <c r="AL15" s="244"/>
      <c r="AM15" s="271"/>
      <c r="AN15" s="257">
        <v>2</v>
      </c>
      <c r="AO15" s="79"/>
      <c r="AP15" s="201">
        <f>IF(OR(AND(AJ3&gt;1,AJ3&lt;9)),AM11,0)</f>
        <v>0</v>
      </c>
      <c r="AQ15" s="226"/>
      <c r="AR15" s="180"/>
    </row>
    <row r="16" spans="1:44" ht="18.95" customHeight="1" thickBot="1">
      <c r="A16" s="25"/>
      <c r="B16" s="1055">
        <v>4</v>
      </c>
      <c r="C16" s="218" t="s">
        <v>86</v>
      </c>
      <c r="D16" s="902" t="str">
        <f>IF(OR($J$3&lt;17),"OFFICE",IF(AND(H2&gt;300,H2&lt;649),'Poule 3 et 4'!$F22))</f>
        <v>OFFICE</v>
      </c>
      <c r="E16" s="903"/>
      <c r="F16" s="904"/>
      <c r="G16" s="100">
        <v>1</v>
      </c>
      <c r="H16" s="101"/>
      <c r="I16" s="1055">
        <v>12</v>
      </c>
      <c r="J16" s="902" t="str">
        <f>IF(OR(H2&lt;320),"OFFICE",IF(AND(H2&gt;320,H2&lt;330),'Poule 7 et 8'!V23,IF(AND(H2&gt;330,H2&lt;370),'Poule 9 et 10'!F21,IF(AND(H2&gt;370,H2&lt;649),'Poule 9 et 10'!F21))))</f>
        <v>OFFICE</v>
      </c>
      <c r="K16" s="903"/>
      <c r="L16" s="904"/>
      <c r="M16" s="100">
        <v>0</v>
      </c>
      <c r="N16" s="219" t="s">
        <v>174</v>
      </c>
      <c r="O16" s="89"/>
      <c r="P16" s="1055">
        <v>4</v>
      </c>
      <c r="Q16" s="902" t="b">
        <f>IF(OR($J$3&gt;32),"OFFICE",IF(AND($J$3&gt;16,$G16=$G17),"Gagnant 1/16 G",IF(AND($J$3&gt;16,$G16&gt;$G17),$D16,IF(AND($J$3&gt;16,G16&lt;$G17),$D17,IF(AND(H2&gt;170,H2&lt;300),'Poule 3 et 4'!V21)))))</f>
        <v>0</v>
      </c>
      <c r="R16" s="903"/>
      <c r="S16" s="904"/>
      <c r="T16" s="88">
        <v>1</v>
      </c>
      <c r="U16" s="277" t="b">
        <f>IF(T16=T17,"&amp;",IF(T16&gt;T17,Q16,Q17))</f>
        <v>0</v>
      </c>
      <c r="V16" s="207"/>
      <c r="W16" s="254"/>
      <c r="X16" s="254"/>
      <c r="Y16" s="254"/>
      <c r="Z16" s="58"/>
      <c r="AA16" s="275"/>
      <c r="AB16" s="1097" t="s">
        <v>7</v>
      </c>
      <c r="AC16" s="1098"/>
      <c r="AD16" s="1098"/>
      <c r="AE16" s="1098"/>
      <c r="AF16" s="1098"/>
      <c r="AG16" s="1098"/>
      <c r="AH16" s="1098"/>
      <c r="AI16" s="1098"/>
      <c r="AJ16" s="1098"/>
      <c r="AK16" s="1098"/>
      <c r="AL16" s="1099"/>
      <c r="AM16" s="271"/>
      <c r="AN16" s="258">
        <v>3</v>
      </c>
      <c r="AO16" s="79"/>
      <c r="AP16" s="201">
        <f>IF(OR(AND(AJ3&gt;2,AJ3&lt;9)),AM19,0)</f>
        <v>0</v>
      </c>
      <c r="AQ16" s="226"/>
      <c r="AR16" s="59"/>
    </row>
    <row r="17" spans="1:44" ht="18.95" customHeight="1" thickBot="1">
      <c r="A17" s="25"/>
      <c r="B17" s="1056"/>
      <c r="C17" s="188" t="s">
        <v>183</v>
      </c>
      <c r="D17" s="961" t="str">
        <f>IF(OR(J3&lt;25,0),"OFFICE",IF(AND(H2&gt;340,H2&lt;490),'Poule 7 et 8'!$F23,IF(AND(H2&gt;490,H2&lt;649),'Poule 13 et 14'!F21)))</f>
        <v>OFFICE</v>
      </c>
      <c r="E17" s="962"/>
      <c r="F17" s="963"/>
      <c r="G17" s="221">
        <v>0</v>
      </c>
      <c r="H17" s="101"/>
      <c r="I17" s="1056"/>
      <c r="J17" s="961" t="str">
        <f>IF(OR($J$3&lt;17),"OFFICE",IF(AND(H2&gt;300,H2&lt;649),'Poule 3 et 4'!$V22))</f>
        <v>OFFICE</v>
      </c>
      <c r="K17" s="962"/>
      <c r="L17" s="963"/>
      <c r="M17" s="221">
        <v>1</v>
      </c>
      <c r="N17" s="222" t="s">
        <v>87</v>
      </c>
      <c r="O17" s="89"/>
      <c r="P17" s="1056"/>
      <c r="Q17" s="911" t="b">
        <f>IF(OR($J$3&gt;32),"OFFICE",IF(AND($J$3&gt;16,$M16=$M17),"Gagnant 1/16 H",IF(AND($J$3&gt;16,$M16&gt;$M17),J16,IF(AND($J$3&gt;16,$M16&lt;$M17),$J17,IF(AND(H2&gt;170,H2&lt;300),'Poule 5 et 6'!F22)))))</f>
        <v>0</v>
      </c>
      <c r="R17" s="1057"/>
      <c r="S17" s="1058"/>
      <c r="T17" s="169">
        <v>0</v>
      </c>
      <c r="U17" s="277" t="b">
        <f>IF(T16=T17,"&amp;",IF(T16&lt;T17,Q16,Q17))</f>
        <v>0</v>
      </c>
      <c r="V17" s="207"/>
      <c r="W17" s="254"/>
      <c r="X17" s="254"/>
      <c r="Y17" s="254"/>
      <c r="Z17" s="58"/>
      <c r="AA17" s="275"/>
      <c r="AB17" s="244"/>
      <c r="AC17" s="1052" t="s">
        <v>55</v>
      </c>
      <c r="AD17" s="1053"/>
      <c r="AE17" s="1054"/>
      <c r="AF17" s="244"/>
      <c r="AG17" s="252"/>
      <c r="AH17" s="1094" t="s">
        <v>152</v>
      </c>
      <c r="AI17" s="1095"/>
      <c r="AJ17" s="1095"/>
      <c r="AK17" s="1095"/>
      <c r="AL17" s="1096"/>
      <c r="AM17" s="271"/>
      <c r="AN17" s="258">
        <v>4</v>
      </c>
      <c r="AO17" s="79"/>
      <c r="AP17" s="201">
        <f>IF(OR(AND(AJ3&gt;3,AJ3&lt;9)),AM20,0)</f>
        <v>0</v>
      </c>
      <c r="AQ17" s="226"/>
    </row>
    <row r="18" spans="1:44" ht="18.95" customHeight="1" thickBot="1">
      <c r="B18" s="225"/>
      <c r="C18" s="58"/>
      <c r="D18" s="223"/>
      <c r="E18" s="227" t="s">
        <v>61</v>
      </c>
      <c r="F18" s="223"/>
      <c r="G18" s="225"/>
      <c r="H18" s="101"/>
      <c r="I18" s="239"/>
      <c r="J18" s="223"/>
      <c r="K18" s="227" t="s">
        <v>62</v>
      </c>
      <c r="L18" s="223"/>
      <c r="M18" s="226"/>
      <c r="N18" s="225"/>
      <c r="O18" s="82"/>
      <c r="P18" s="239"/>
      <c r="Q18" s="223"/>
      <c r="R18" s="224" t="s">
        <v>49</v>
      </c>
      <c r="S18" s="223"/>
      <c r="T18" s="58"/>
      <c r="U18" s="278"/>
      <c r="V18" s="253" t="s">
        <v>1</v>
      </c>
      <c r="W18" s="254"/>
      <c r="X18" s="255" t="s">
        <v>57</v>
      </c>
      <c r="Y18" s="254"/>
      <c r="Z18" s="244" t="s">
        <v>0</v>
      </c>
      <c r="AA18" s="275"/>
      <c r="AB18" s="244" t="s">
        <v>1</v>
      </c>
      <c r="AC18" s="244"/>
      <c r="AD18" s="88" t="s">
        <v>10</v>
      </c>
      <c r="AE18" s="244"/>
      <c r="AF18" s="244" t="s">
        <v>0</v>
      </c>
      <c r="AG18" s="252"/>
      <c r="AH18" s="244" t="s">
        <v>1</v>
      </c>
      <c r="AI18" s="244"/>
      <c r="AJ18" s="244"/>
      <c r="AK18" s="244"/>
      <c r="AL18" s="244" t="s">
        <v>0</v>
      </c>
      <c r="AM18" s="271"/>
      <c r="AN18" s="258">
        <v>5</v>
      </c>
      <c r="AO18" s="79"/>
      <c r="AP18" s="201">
        <f>IF(OR(AND(AJ3&gt;4,AJ3&lt;9)),$AM$24,IF(OR(AND(AJ3&gt;3,AJ3&lt;5)),0,0))</f>
        <v>0</v>
      </c>
      <c r="AQ18" s="226"/>
    </row>
    <row r="19" spans="1:44" ht="18.95" customHeight="1" thickBot="1">
      <c r="B19" s="1055">
        <v>5</v>
      </c>
      <c r="C19" s="218" t="s">
        <v>83</v>
      </c>
      <c r="D19" s="902" t="str">
        <f>IF(OR(J3&lt;17),"OFFICE",IF(AND(H2&gt;300,H2&lt;649),'Poule 5 et 6'!$F21))</f>
        <v>OFFICE</v>
      </c>
      <c r="E19" s="903"/>
      <c r="F19" s="904"/>
      <c r="G19" s="229">
        <v>1</v>
      </c>
      <c r="H19" s="101"/>
      <c r="I19" s="1055">
        <v>13</v>
      </c>
      <c r="J19" s="902" t="str">
        <f>IF(OR(H2&lt;350),"OFFICE",IF(AND(H2&gt;350,H2&lt;370),'Poule 7 et 8'!V23,IF(AND(H2&gt;370,H2&lt;649),'Poule 9 et 10'!V22)))</f>
        <v>OFFICE</v>
      </c>
      <c r="K19" s="903"/>
      <c r="L19" s="904"/>
      <c r="M19" s="100">
        <v>0</v>
      </c>
      <c r="N19" s="240" t="s">
        <v>186</v>
      </c>
      <c r="O19" s="89"/>
      <c r="P19" s="1055">
        <v>5</v>
      </c>
      <c r="Q19" s="902" t="b">
        <f>IF(OR($J$3&gt;32),"OFFICE",IF(AND($J$3&gt;16,$G19=$G20),"Gagnant 1/16 K",IF(AND($J$3&gt;16,$G19&gt;$G20),$D19,IF(AND($J$3&gt;16,G19&lt;$G20),$D20,IF(AND(H2&gt;170,H2&lt;300),'Poule 5 et 6'!F21)))))</f>
        <v>0</v>
      </c>
      <c r="R19" s="903"/>
      <c r="S19" s="904"/>
      <c r="T19" s="88">
        <v>11</v>
      </c>
      <c r="U19" s="277" t="b">
        <f>IF(T19=T20,"&amp;",IF(T19&gt;T20,Q19,Q20))</f>
        <v>0</v>
      </c>
      <c r="V19" s="975">
        <v>3</v>
      </c>
      <c r="W19" s="1106" t="str">
        <f>IF(OR(J3=0,J3=0,J3=0),"OFFICE",IF(AND(J3&gt;8,T19=T20),"Gagnant 1/8 E",IF(AND(J3&gt;8,T19&gt;T20),Q19,IF(AND(J3&gt;8,T19&lt;T20),Q20,IF(AND(J3&lt;9,J3&gt;4),'Poule 3 et 4'!F22,IF(AND(J3&lt;0,J3&gt;0),'Poule 1 et 2'!F23,'Poule 3 et 4'!F21))))))</f>
        <v>OFFICE</v>
      </c>
      <c r="X19" s="1107"/>
      <c r="Y19" s="1108"/>
      <c r="Z19" s="88">
        <v>1</v>
      </c>
      <c r="AA19" s="270" t="str">
        <f>IF(Z19=Z20,"&amp;",IF(Z19&gt;Z20,W19,W20))</f>
        <v>OFFICE</v>
      </c>
      <c r="AB19" s="1104">
        <v>3</v>
      </c>
      <c r="AC19" s="1081">
        <f>IF(OR(AJ3=1)," ",IF(AND(Z7=Z8),"Perdant 1/4 A",IF(AND(AJ3&gt;4,AJ3&lt;9),AA8,0)))</f>
        <v>0</v>
      </c>
      <c r="AD19" s="1082"/>
      <c r="AE19" s="1083"/>
      <c r="AF19" s="121">
        <v>1</v>
      </c>
      <c r="AG19" s="271">
        <f>IF($AF$19=$AF$20,"résultat",IF($AF$19&gt;$AF$20,$AC$19,$AC$20))</f>
        <v>0</v>
      </c>
      <c r="AH19" s="975">
        <v>2</v>
      </c>
      <c r="AI19" s="1088" t="str">
        <f>IF(OR(AJ3=0),"OFFICE",IF(OR(AND(AJ3&gt;2,AJ3&lt;9)),AG8,IF(AND(AF7=AF8),"Perdant 1/2 Finale A",0)))</f>
        <v>OFFICE</v>
      </c>
      <c r="AJ19" s="1089"/>
      <c r="AK19" s="1090"/>
      <c r="AL19" s="88">
        <v>1</v>
      </c>
      <c r="AM19" s="271" t="str">
        <f>IF(AL19=AL20,"résultat",IF(AL19&gt;AL20,AI19,AI20))</f>
        <v>OFFICE</v>
      </c>
      <c r="AN19" s="258">
        <v>6</v>
      </c>
      <c r="AO19" s="79"/>
      <c r="AP19" s="201">
        <f>IF(OR(AND(AJ3&gt;3,AJ3&lt;5)),0,IF(OR(AND(AJ3&gt;5,AJ3&lt;9)),AM25,0))</f>
        <v>0</v>
      </c>
      <c r="AQ19" s="226"/>
    </row>
    <row r="20" spans="1:44" ht="18.95" customHeight="1" thickBot="1">
      <c r="B20" s="1056"/>
      <c r="C20" s="188" t="s">
        <v>173</v>
      </c>
      <c r="D20" s="961" t="str">
        <f>IF(OR(H2&lt;310),"OFFICE",IF(AND(H2&gt;310,H2&lt;330),'Poule 7 et 8'!F23,IF(AND(H2&gt;330,H2&lt;649),'[2]Poule 9 et 10'!$F22)))</f>
        <v>OFFICE</v>
      </c>
      <c r="E20" s="962"/>
      <c r="F20" s="963"/>
      <c r="G20" s="230">
        <v>0</v>
      </c>
      <c r="H20" s="101"/>
      <c r="I20" s="1056"/>
      <c r="J20" s="961" t="str">
        <f>IF(OR(J3&lt;17),"OFFICE",IF(AND(H2&gt;300,H2&lt;649),'Poule 3 et 4'!$F21))</f>
        <v>OFFICE</v>
      </c>
      <c r="K20" s="962"/>
      <c r="L20" s="963"/>
      <c r="M20" s="221">
        <v>1</v>
      </c>
      <c r="N20" s="220" t="s">
        <v>81</v>
      </c>
      <c r="O20" s="89"/>
      <c r="P20" s="1056"/>
      <c r="Q20" s="911" t="b">
        <f>IF(OR($J$3&gt;32),"OFFICE",IF(AND($J$3&gt;16,$M19=$M20),"Gagnant 1/16 L",IF(AND($J$3&gt;16,$M19&gt;$M20),J19,IF(AND($J$3&gt;16,$M19&lt;$M20),$J20,IF(AND(H2&gt;170,H2&lt;300),'Poule 3 et 4'!V22)))))</f>
        <v>0</v>
      </c>
      <c r="R20" s="1057"/>
      <c r="S20" s="1058"/>
      <c r="T20" s="169">
        <v>0</v>
      </c>
      <c r="U20" s="277" t="b">
        <f>IF(T19=T20,"&amp;",IF(T19&lt;T20,Q19,Q20))</f>
        <v>0</v>
      </c>
      <c r="V20" s="976"/>
      <c r="W20" s="1062" t="str">
        <f>IF(OR(J3&lt;8,J3=0,J3=0),"&amp;",IF(AND(J3&gt;8,T22=T23),"Gagnant 1/8 F",IF(AND(J3&gt;8,T22&gt;T23),Q22,IF(AND(J3&gt;8,T22&lt;T23),Q23,IF(AND(J3=8),'Poule 3 et 4'!V21,)))))</f>
        <v>&amp;</v>
      </c>
      <c r="X20" s="1063"/>
      <c r="Y20" s="1064"/>
      <c r="Z20" s="169">
        <v>0</v>
      </c>
      <c r="AA20" s="270" t="str">
        <f>IF(Z19=Z20,"&amp;",IF(Z19&lt;Z20,W19,W20))</f>
        <v>&amp;</v>
      </c>
      <c r="AB20" s="1105"/>
      <c r="AC20" s="1079">
        <f>IF(OR(AJ3=1)," ",IF(AND(Z25=Z26),"Perdant 1/4 D",IF(AND(AJ3&gt;4,AJ3&lt;9),AA26,0)))</f>
        <v>0</v>
      </c>
      <c r="AD20" s="1080"/>
      <c r="AE20" s="1103"/>
      <c r="AF20" s="88">
        <v>0</v>
      </c>
      <c r="AG20" s="271">
        <f>IF($AF$19=$AF$20,"résultat",IF($AF$19&lt;$AF$20,$AC$19,$AC$20))</f>
        <v>0</v>
      </c>
      <c r="AH20" s="976"/>
      <c r="AI20" s="1091" t="str">
        <f>IF(OR(AJ3=0),"OFFICE",IF(OR(AND(AJ3&gt;2,AJ3&lt;9)),AG14,IF(AND(AJ3=0,ACF13=AJ14),"Perdant 1/2 Finale B",0)))</f>
        <v>OFFICE</v>
      </c>
      <c r="AJ20" s="1092"/>
      <c r="AK20" s="1093"/>
      <c r="AL20" s="88">
        <v>0</v>
      </c>
      <c r="AM20" s="271" t="str">
        <f>IF(AL19=AL20,"résultat",IF(AL19&lt;AL20,AI19,AI20))</f>
        <v>OFFICE</v>
      </c>
      <c r="AN20" s="258">
        <v>7</v>
      </c>
      <c r="AO20" s="79"/>
      <c r="AP20" s="201">
        <f>IF(OR(AND(AJ3&gt;3,AJ3&lt;5)),0,IF(OR(AND(AJ3=7)),AM29,IF(OR(AND(AJ3&gt;6,AJ3&lt;9)),AM29,0)))</f>
        <v>0</v>
      </c>
      <c r="AQ20" s="58"/>
    </row>
    <row r="21" spans="1:44" ht="18.95" customHeight="1" thickBot="1">
      <c r="B21" s="225"/>
      <c r="C21" s="58"/>
      <c r="D21" s="223"/>
      <c r="E21" s="227" t="s">
        <v>63</v>
      </c>
      <c r="F21" s="223"/>
      <c r="G21" s="225"/>
      <c r="H21" s="101"/>
      <c r="I21" s="239"/>
      <c r="J21" s="223"/>
      <c r="K21" s="227" t="s">
        <v>64</v>
      </c>
      <c r="L21" s="223"/>
      <c r="M21" s="226"/>
      <c r="N21" s="225"/>
      <c r="O21" s="82"/>
      <c r="P21" s="239"/>
      <c r="Q21" s="223"/>
      <c r="R21" s="224" t="s">
        <v>58</v>
      </c>
      <c r="S21" s="223"/>
      <c r="T21" s="58"/>
      <c r="U21" s="278"/>
      <c r="V21" s="207"/>
      <c r="W21" s="254"/>
      <c r="X21" s="254"/>
      <c r="Y21" s="254"/>
      <c r="Z21" s="58"/>
      <c r="AA21" s="275"/>
      <c r="AB21" s="244"/>
      <c r="AC21" s="254"/>
      <c r="AD21" s="254"/>
      <c r="AE21" s="254"/>
      <c r="AF21" s="244" t="s">
        <v>136</v>
      </c>
      <c r="AG21" s="271"/>
      <c r="AH21" s="259"/>
      <c r="AI21" s="259"/>
      <c r="AJ21" s="259"/>
      <c r="AK21" s="259"/>
      <c r="AL21" s="259"/>
      <c r="AM21" s="271"/>
      <c r="AN21" s="260">
        <v>8</v>
      </c>
      <c r="AO21" s="79"/>
      <c r="AP21" s="202">
        <f>IF(OR(AND(AJ3&gt;3,AJ3&lt;5)),0,IF(OR(AND(AJ3&gt;7,AJ3&lt;9)),AM30,0))</f>
        <v>0</v>
      </c>
      <c r="AQ21" s="58"/>
    </row>
    <row r="22" spans="1:44" ht="18.95" customHeight="1" thickBot="1">
      <c r="B22" s="1055">
        <v>6</v>
      </c>
      <c r="C22" s="218" t="s">
        <v>84</v>
      </c>
      <c r="D22" s="902" t="str">
        <f>IF(OR(J3&lt;17),"OFFICE",IF(AND(H2&gt;300,H2&lt;649),'Poule 5 et 6'!$V21))</f>
        <v>OFFICE</v>
      </c>
      <c r="E22" s="903"/>
      <c r="F22" s="904"/>
      <c r="G22" s="100">
        <v>1</v>
      </c>
      <c r="H22" s="101"/>
      <c r="I22" s="1055">
        <v>14</v>
      </c>
      <c r="J22" s="917" t="str">
        <f>IF(OR(J3&lt;27,$J$3=0),"OFFICE",IF(AND(H2&gt;360,H2&lt;370),'Poule 9 et 10'!$F23,IF(AND(H2&gt;370,H2&lt;649),'Poule 9 et 10'!V21)))</f>
        <v>OFFICE</v>
      </c>
      <c r="K22" s="991"/>
      <c r="L22" s="992"/>
      <c r="M22" s="100">
        <v>0</v>
      </c>
      <c r="N22" s="240" t="s">
        <v>187</v>
      </c>
      <c r="O22" s="89"/>
      <c r="P22" s="1055">
        <v>6</v>
      </c>
      <c r="Q22" s="902" t="b">
        <f>IF(OR($J$3&gt;32,J3=10),"OFFICE",IF(AND($J$3&gt;16,$G22=$G23),"Gagnant 1/16 M",IF(AND($J$3&gt;16,$G22&gt;$G23),$D22,IF(AND($J$3&gt;16,G22&lt;$G23),$D23,IF(AND(H2&gt;170,H2&lt;290),'Poule 1 et 2'!V23,IF(AND(H2&gt;290,H2&lt;300),'Poule 7 et 8'!V21))))))</f>
        <v>0</v>
      </c>
      <c r="R22" s="903"/>
      <c r="S22" s="904"/>
      <c r="T22" s="88">
        <v>1</v>
      </c>
      <c r="U22" s="277" t="b">
        <f>IF(T22=T23,"&amp;",IF(T22&gt;T23,Q22,Q23))</f>
        <v>0</v>
      </c>
      <c r="V22" s="207"/>
      <c r="W22" s="254"/>
      <c r="X22" s="254"/>
      <c r="Y22" s="254"/>
      <c r="Z22" s="58"/>
      <c r="AA22" s="275"/>
      <c r="AB22" s="1087"/>
      <c r="AC22" s="1084"/>
      <c r="AD22" s="1084"/>
      <c r="AE22" s="1084"/>
      <c r="AF22" s="231"/>
      <c r="AG22" s="271"/>
      <c r="AH22" s="1100" t="s">
        <v>154</v>
      </c>
      <c r="AI22" s="1101"/>
      <c r="AJ22" s="1101"/>
      <c r="AK22" s="1101"/>
      <c r="AL22" s="1102"/>
      <c r="AM22" s="271"/>
      <c r="AN22" s="106"/>
      <c r="AO22" s="106"/>
      <c r="AP22" s="106"/>
      <c r="AQ22" s="58"/>
    </row>
    <row r="23" spans="1:44" ht="18.95" customHeight="1" thickBot="1">
      <c r="A23" s="25"/>
      <c r="B23" s="1056"/>
      <c r="C23" s="222" t="s">
        <v>185</v>
      </c>
      <c r="D23" s="961" t="str">
        <f>IF(OR(J3&lt;17),"OFFICE",IF(AND(H2&gt;300,H2&lt;610),'Poule 1 et 2'!$F23,IF(AND(H2&gt;610,H2&lt;649),'Poule 15 et 16'!V22)))</f>
        <v>OFFICE</v>
      </c>
      <c r="E23" s="962"/>
      <c r="F23" s="963"/>
      <c r="G23" s="221">
        <v>0</v>
      </c>
      <c r="H23" s="101"/>
      <c r="I23" s="1056"/>
      <c r="J23" s="961" t="str">
        <f>IF(OR($J$3&lt;17),"OFFICE",IF(AND(H2&gt;300,H2&lt;649),'Poule 5 et 6'!$F22))</f>
        <v>OFFICE</v>
      </c>
      <c r="K23" s="962"/>
      <c r="L23" s="963"/>
      <c r="M23" s="221">
        <v>1</v>
      </c>
      <c r="N23" s="222" t="s">
        <v>89</v>
      </c>
      <c r="O23" s="89"/>
      <c r="P23" s="1056"/>
      <c r="Q23" s="911" t="b">
        <f>IF(OR($J$3&gt;32),"OFFICE",IF(AND($J$3&gt;16,$M22=$M23),"Gagnant 1/16 N",IF(AND($J$3&gt;16,$M22&gt;$M23),J22,IF(AND($J$3&gt;16,$M22&lt;$M23),$J23,IF(AND(H2&gt;170,H2&lt;300),'Poule 3 et 4'!F22)))))</f>
        <v>0</v>
      </c>
      <c r="R23" s="1057"/>
      <c r="S23" s="1058"/>
      <c r="T23" s="169">
        <v>0</v>
      </c>
      <c r="U23" s="277" t="b">
        <f>IF(T22=T23,"&amp;",IF(T22&lt;T23,Q22,Q23))</f>
        <v>0</v>
      </c>
      <c r="V23" s="207"/>
      <c r="W23" s="254"/>
      <c r="X23" s="254"/>
      <c r="Y23" s="254"/>
      <c r="Z23" s="58"/>
      <c r="AA23" s="275"/>
      <c r="AB23" s="1087"/>
      <c r="AC23" s="1084"/>
      <c r="AD23" s="1084"/>
      <c r="AE23" s="1084"/>
      <c r="AF23" s="101"/>
      <c r="AG23" s="271"/>
      <c r="AH23" s="244" t="s">
        <v>1</v>
      </c>
      <c r="AI23" s="244"/>
      <c r="AJ23" s="244"/>
      <c r="AK23" s="244"/>
      <c r="AL23" s="244" t="s">
        <v>0</v>
      </c>
      <c r="AM23" s="271"/>
      <c r="AN23" s="58"/>
      <c r="AO23" s="82"/>
      <c r="AP23" s="261" t="s">
        <v>153</v>
      </c>
      <c r="AQ23" s="58"/>
    </row>
    <row r="24" spans="1:44" ht="18.95" customHeight="1" thickBot="1">
      <c r="B24" s="225"/>
      <c r="C24" s="58"/>
      <c r="D24" s="223"/>
      <c r="E24" s="227" t="s">
        <v>65</v>
      </c>
      <c r="F24" s="223"/>
      <c r="G24" s="225"/>
      <c r="H24" s="101"/>
      <c r="I24" s="239"/>
      <c r="J24" s="223"/>
      <c r="K24" s="227" t="s">
        <v>66</v>
      </c>
      <c r="L24" s="223"/>
      <c r="M24" s="226"/>
      <c r="N24" s="225"/>
      <c r="O24" s="82"/>
      <c r="P24" s="239"/>
      <c r="Q24" s="223"/>
      <c r="R24" s="224" t="s">
        <v>59</v>
      </c>
      <c r="S24" s="223"/>
      <c r="T24" s="58"/>
      <c r="U24" s="278"/>
      <c r="V24" s="207"/>
      <c r="W24" s="254"/>
      <c r="X24" s="255" t="s">
        <v>48</v>
      </c>
      <c r="Y24" s="254"/>
      <c r="Z24" s="58"/>
      <c r="AA24" s="275"/>
      <c r="AB24" s="244"/>
      <c r="AC24" s="254"/>
      <c r="AD24" s="255" t="s">
        <v>11</v>
      </c>
      <c r="AE24" s="254"/>
      <c r="AF24" s="244"/>
      <c r="AG24" s="271"/>
      <c r="AH24" s="975">
        <v>3</v>
      </c>
      <c r="AI24" s="922" t="str">
        <f>IF(OR(AJ3=0),"OFFICE",IF(AND(AF19=AF20),"G. 1ère Part. Rep.A",IF(AND(AJ3&gt;4,AJ3&lt;9),AG19,0)))</f>
        <v>OFFICE</v>
      </c>
      <c r="AJ24" s="1074"/>
      <c r="AK24" s="1075"/>
      <c r="AL24" s="121">
        <v>1</v>
      </c>
      <c r="AM24" s="271" t="str">
        <f>IF(AL24=AL25,"résultat",IF(AL24&gt;AL25,AI24,AI25))</f>
        <v>OFFICE</v>
      </c>
      <c r="AN24" s="58"/>
      <c r="AO24" s="58"/>
      <c r="AP24" s="58"/>
      <c r="AQ24" s="106"/>
      <c r="AR24"/>
    </row>
    <row r="25" spans="1:44" ht="18.95" customHeight="1" thickBot="1">
      <c r="B25" s="1055">
        <v>7</v>
      </c>
      <c r="C25" s="218" t="s">
        <v>93</v>
      </c>
      <c r="D25" s="902" t="str">
        <f>IF(OR(J3&lt;17),"OFFICE",IF(AND(H2&gt;300,H2&lt;649),'Poule 7 et 8'!$F21))</f>
        <v>OFFICE</v>
      </c>
      <c r="E25" s="903"/>
      <c r="F25" s="904"/>
      <c r="G25" s="100">
        <v>1</v>
      </c>
      <c r="H25" s="101"/>
      <c r="I25" s="1055">
        <v>15</v>
      </c>
      <c r="J25" s="902" t="str">
        <f>IF(OR(J3&lt;29,$J$3=0),"OFFICE",IF(AND(H2&gt;390,H2&lt;410),'Poule 9 et 10'!$F23,IF(AND(H2&gt;410,H2&lt;649),'Poule 11 et 12'!F21)))</f>
        <v>OFFICE</v>
      </c>
      <c r="K25" s="903"/>
      <c r="L25" s="904"/>
      <c r="M25" s="100">
        <v>0</v>
      </c>
      <c r="N25" s="219" t="s">
        <v>188</v>
      </c>
      <c r="O25" s="89"/>
      <c r="P25" s="1055">
        <v>7</v>
      </c>
      <c r="Q25" s="902" t="b">
        <f>IF(OR($J$3&gt;32,J3=10,J3=13,J3=12,J3=14,J3=15),"OFFICE",IF(AND($J$3&gt;16,$G25=$G26),"Gagnant 1/16 P",IF(AND($J$3&gt;16,$G25&gt;$G26),$D25,IF(AND($J$3&gt;16,G25&lt;$G26),$D26,IF(AND(H2&gt;220,H2&lt;250),'Poule 3 et 4'!V23,IF(AND(H2&gt;250,H2&lt;300),'Poule 7 et 8'!F21))))))</f>
        <v>0</v>
      </c>
      <c r="R25" s="903"/>
      <c r="S25" s="904"/>
      <c r="T25" s="88">
        <v>0</v>
      </c>
      <c r="U25" s="277" t="b">
        <f>IF(T25=T26,"&amp;",IF(T25&gt;T26,Q25,Q26))</f>
        <v>0</v>
      </c>
      <c r="V25" s="975">
        <v>4</v>
      </c>
      <c r="W25" s="1062" t="str">
        <f>IF(OR(J3=0,J3=0,J3=0),"&amp;",IF(AND(J3&gt;8,T25=T26),"Gagnant 1/8 G",IF(AND(J3&gt;8,T25&gt;T26),Q25,IF(AND(J3&gt;8,T25&lt;T26),Q26,IF(AND(J3&lt;9,J3&gt;4),'Poule 3 et 4'!F21)))))</f>
        <v>&amp;</v>
      </c>
      <c r="X25" s="1063"/>
      <c r="Y25" s="1064"/>
      <c r="Z25" s="88">
        <v>1</v>
      </c>
      <c r="AA25" s="270" t="str">
        <f>IF(Z25=Z26,"&amp;",IF(Z25&gt;Z26,W25,W26))</f>
        <v>&amp;</v>
      </c>
      <c r="AB25" s="975">
        <v>4</v>
      </c>
      <c r="AC25" s="1081">
        <f>IF(OR(AJ3=1)," ",IF(AND(Z13=Z14),"Perdant 1/4 B",IF(AND(AJ3&gt;4,AJ3&lt;9),AA14,0)))</f>
        <v>0</v>
      </c>
      <c r="AD25" s="1082"/>
      <c r="AE25" s="1083"/>
      <c r="AF25" s="262">
        <v>1</v>
      </c>
      <c r="AG25" s="271">
        <f>IF($AF$25=$AF$26,"résultat",IF($AF$25&gt;$AF$26,$AC$25,$AC$26))</f>
        <v>0</v>
      </c>
      <c r="AH25" s="976"/>
      <c r="AI25" s="1085" t="str">
        <f>IF(OR(AJ3=0),"OFFICE",IF(AND(AF25=AF26),"G. 1ère Part. Rep. B",IF(AND(AJ3&gt;4,AJ3&lt;9),AG25,0)))</f>
        <v>OFFICE</v>
      </c>
      <c r="AJ25" s="901"/>
      <c r="AK25" s="1086"/>
      <c r="AL25" s="169">
        <v>0</v>
      </c>
      <c r="AM25" s="271" t="str">
        <f>IF(AL24=AL25,"résultat",IF(AL24&lt;AL25,AI24,AI25))</f>
        <v>OFFICE</v>
      </c>
      <c r="AN25" s="58"/>
      <c r="AO25" s="263"/>
      <c r="AP25" s="58"/>
      <c r="AQ25" s="106"/>
      <c r="AR25"/>
    </row>
    <row r="26" spans="1:44" ht="18.75" customHeight="1" thickBot="1">
      <c r="A26" s="25"/>
      <c r="B26" s="1056"/>
      <c r="C26" s="222" t="s">
        <v>181</v>
      </c>
      <c r="D26" s="961" t="str">
        <f>IF(OR(J3&lt;20,J3=0),"OFFICE",IF(AND(H2&gt;300,H2&lt;570),'Poule 3 et 4'!$F23,IF(AND(H2&gt;570,H2&lt;649),'Poule 15 et 16'!F22)))</f>
        <v>OFFICE</v>
      </c>
      <c r="E26" s="962"/>
      <c r="F26" s="963"/>
      <c r="G26" s="221">
        <v>0</v>
      </c>
      <c r="H26" s="101"/>
      <c r="I26" s="1056"/>
      <c r="J26" s="961" t="str">
        <f>IF(OR($J$3&lt;17),"OFFICE",IF(AND(H2&gt;300,H2&lt;649),'Poule 1 et 2'!$V22))</f>
        <v>OFFICE</v>
      </c>
      <c r="K26" s="962"/>
      <c r="L26" s="963"/>
      <c r="M26" s="221">
        <v>1</v>
      </c>
      <c r="N26" s="222" t="s">
        <v>85</v>
      </c>
      <c r="O26" s="89"/>
      <c r="P26" s="1056"/>
      <c r="Q26" s="911" t="b">
        <f>IF(OR($J$3&gt;32),"OFFICE",IF(AND($J$3&gt;16,$M25=$M26),"Gagnant 1/16 R",IF(AND($J$3&gt;16,$M25&gt;$M26),J25,IF(AND($J$3&gt;16,$M25&lt;$M26),$J26,IF(AND(H2&gt;170,H2&lt;300),'Poule 1 et 2'!V22)))))</f>
        <v>0</v>
      </c>
      <c r="R26" s="1057"/>
      <c r="S26" s="1058"/>
      <c r="T26" s="169">
        <v>1</v>
      </c>
      <c r="U26" s="277" t="b">
        <f>IF(T25=T26,"&amp;",IF(T25&lt;T26,Q25,Q26))</f>
        <v>0</v>
      </c>
      <c r="V26" s="976"/>
      <c r="W26" s="1062" t="str">
        <f>IF(OR(J3=0,J3=0,J3=0),"&amp;",IF(AND(J3&gt;8,T28=T29),"Gagnant 1/8 F",IF(AND(J3&gt;8,T28&gt;T29),Q28,IF(AND(J3&gt;8,T28&lt;T29),Q29,IF(AND(J3&lt;9,J3&gt;4),'Poule 5 et 6'!F21)))))</f>
        <v>&amp;</v>
      </c>
      <c r="X26" s="1063"/>
      <c r="Y26" s="1064"/>
      <c r="Z26" s="169">
        <v>0</v>
      </c>
      <c r="AA26" s="270" t="str">
        <f>IF(Z25=Z26,"&amp;",IF(Z25&lt;Z26,W25,W26))</f>
        <v>&amp;</v>
      </c>
      <c r="AB26" s="976"/>
      <c r="AC26" s="1079">
        <f>IF(OR(AJ3=1)," ",IF(AND(Z19=Z20),"Perdant 1/4 D",IF(AND(AJ3&gt;4,AJ3&lt;9),AA20,0)))</f>
        <v>0</v>
      </c>
      <c r="AD26" s="1080"/>
      <c r="AE26" s="1080"/>
      <c r="AF26" s="88">
        <v>0</v>
      </c>
      <c r="AG26" s="271">
        <f>IF($AF$25=$AF$26,"résultat",IF($AF$25&lt;$AF$26,$AC$25,$AC$26))</f>
        <v>0</v>
      </c>
      <c r="AH26" s="244"/>
      <c r="AI26" s="244"/>
      <c r="AJ26" s="244"/>
      <c r="AK26" s="244"/>
      <c r="AL26" s="244"/>
      <c r="AM26" s="271"/>
      <c r="AN26" s="58"/>
      <c r="AO26" s="264"/>
      <c r="AP26" s="58"/>
      <c r="AQ26" s="106"/>
      <c r="AR26"/>
    </row>
    <row r="27" spans="1:44" ht="18.95" customHeight="1" thickBot="1">
      <c r="B27" s="225"/>
      <c r="C27" s="58"/>
      <c r="D27" s="223"/>
      <c r="E27" s="227" t="s">
        <v>67</v>
      </c>
      <c r="F27" s="223"/>
      <c r="G27" s="225"/>
      <c r="H27" s="101"/>
      <c r="I27" s="239"/>
      <c r="J27" s="223"/>
      <c r="K27" s="227" t="s">
        <v>68</v>
      </c>
      <c r="L27" s="223"/>
      <c r="M27" s="226"/>
      <c r="N27" s="225"/>
      <c r="O27" s="82"/>
      <c r="P27" s="239"/>
      <c r="Q27" s="223"/>
      <c r="R27" s="224" t="s">
        <v>60</v>
      </c>
      <c r="S27" s="223"/>
      <c r="T27" s="58"/>
      <c r="U27" s="279"/>
      <c r="V27" s="58"/>
      <c r="W27" s="58"/>
      <c r="X27" s="58"/>
      <c r="Y27" s="58"/>
      <c r="Z27" s="58"/>
      <c r="AA27" s="276"/>
      <c r="AB27" s="58"/>
      <c r="AC27" s="79"/>
      <c r="AD27" s="79"/>
      <c r="AE27" s="79"/>
      <c r="AF27" s="58"/>
      <c r="AG27" s="252"/>
      <c r="AH27" s="1076" t="s">
        <v>155</v>
      </c>
      <c r="AI27" s="1077"/>
      <c r="AJ27" s="1077"/>
      <c r="AK27" s="1077"/>
      <c r="AL27" s="1078"/>
      <c r="AM27" s="281"/>
      <c r="AN27" s="58"/>
      <c r="AO27" s="106"/>
      <c r="AP27" s="106"/>
      <c r="AQ27" s="106"/>
      <c r="AR27"/>
    </row>
    <row r="28" spans="1:44" ht="18.95" customHeight="1" thickBot="1">
      <c r="B28" s="1055">
        <v>8</v>
      </c>
      <c r="C28" s="218" t="s">
        <v>99</v>
      </c>
      <c r="D28" s="917" t="str">
        <f>IF(OR($J$3&lt;17),"OFFICE",IF(AND(H2&gt;300,H2&lt;649),'Poule 7 et 8'!$V22))</f>
        <v>OFFICE</v>
      </c>
      <c r="E28" s="991"/>
      <c r="F28" s="992"/>
      <c r="G28" s="100">
        <v>1</v>
      </c>
      <c r="H28" s="101"/>
      <c r="I28" s="1055">
        <v>16</v>
      </c>
      <c r="J28" s="902" t="str">
        <f>IF(OR(J3&lt;32,$J$3=0),"OFFICE",IF(AND(H2&gt;430,H2&lt;450),'Poule 9 et 10'!V23,IF(AND(H2&gt;450,H2&lt;649),'Poule 11 et 12'!V21)))</f>
        <v>OFFICE</v>
      </c>
      <c r="K28" s="903"/>
      <c r="L28" s="904"/>
      <c r="M28" s="100">
        <v>0</v>
      </c>
      <c r="N28" s="219" t="s">
        <v>178</v>
      </c>
      <c r="O28" s="89"/>
      <c r="P28" s="1055">
        <v>8</v>
      </c>
      <c r="Q28" s="902" t="b">
        <f>IF(OR($J$3&gt;32,J3=10,J3=13,J3=12),"OFFICE",IF(AND($J$3&gt;16,$G28=$G29),"Gagnant 1/16 S",IF(AND($J$3&gt;16,$G28&gt;$G29),$D28,IF(AND($J$3&gt;16,G28&lt;$G29),$D29,IF(AND(H2&gt;190,H2&lt;210),'Poule 3 et 4'!V23,IF(AND(H2&gt;210,H2&lt;300),'Poule 5 et 6'!V22))))))</f>
        <v>0</v>
      </c>
      <c r="R28" s="903"/>
      <c r="S28" s="904"/>
      <c r="T28" s="88">
        <v>0</v>
      </c>
      <c r="U28" s="277" t="b">
        <f>IF(T28=T29,"&amp;",IF(T28&gt;T29,Q28,Q29))</f>
        <v>0</v>
      </c>
      <c r="V28" s="58"/>
      <c r="W28" s="58"/>
      <c r="X28" s="58"/>
      <c r="Y28" s="58"/>
      <c r="Z28" s="58"/>
      <c r="AA28" s="251"/>
      <c r="AB28" s="58"/>
      <c r="AC28" s="58"/>
      <c r="AD28" s="58"/>
      <c r="AE28" s="58"/>
      <c r="AF28" s="58"/>
      <c r="AG28" s="251"/>
      <c r="AH28" s="244" t="s">
        <v>1</v>
      </c>
      <c r="AI28" s="244"/>
      <c r="AJ28" s="244"/>
      <c r="AK28" s="244"/>
      <c r="AL28" s="244" t="s">
        <v>0</v>
      </c>
      <c r="AM28" s="271"/>
      <c r="AN28" s="264"/>
      <c r="AO28" s="106"/>
      <c r="AP28" s="106"/>
      <c r="AQ28" s="106"/>
      <c r="AR28"/>
    </row>
    <row r="29" spans="1:44" ht="18.95" customHeight="1" thickBot="1">
      <c r="A29" s="25"/>
      <c r="B29" s="1056"/>
      <c r="C29" s="222" t="s">
        <v>189</v>
      </c>
      <c r="D29" s="961" t="str">
        <f>IF(OR(J3&lt;22,$J$3=8),"OFFICE",IF(AND(H2&gt;300,H2&lt;610),'Poule 1 et 2'!$V23,IF(AND(H2&gt;610,H2&lt;649),'Poule 15 et 16'!V21)))</f>
        <v>OFFICE</v>
      </c>
      <c r="E29" s="962"/>
      <c r="F29" s="963"/>
      <c r="G29" s="221">
        <v>0</v>
      </c>
      <c r="H29" s="231"/>
      <c r="I29" s="1056"/>
      <c r="J29" s="961" t="str">
        <f>IF(OR($J$3&lt;17),"OFFICE",IF(AND(H2&gt;300,H2&lt;649),'Poule 1 et 2'!$F22))</f>
        <v>OFFICE</v>
      </c>
      <c r="K29" s="962"/>
      <c r="L29" s="963"/>
      <c r="M29" s="221">
        <v>1</v>
      </c>
      <c r="N29" s="222" t="s">
        <v>116</v>
      </c>
      <c r="O29" s="89"/>
      <c r="P29" s="1056"/>
      <c r="Q29" s="911" t="b">
        <f>IF(OR($J$3&gt;32),"OFFICE",IF(AND(J3&gt;16,M28=M29),"Gagnant 1/16 T",IF(AND($J$3&gt;16,$M28&gt;$M29),J28,IF(AND($J$3&gt;16,$M28&lt;$M29),$J29,IF(AND(H2&gt;170,H2&lt;300),'Poule 1 et 2'!F22)))))</f>
        <v>0</v>
      </c>
      <c r="R29" s="1057"/>
      <c r="S29" s="1058"/>
      <c r="T29" s="169">
        <v>1</v>
      </c>
      <c r="U29" s="277" t="b">
        <f>IF(T28=T29,"&amp;",IF(T28&lt;T29,Q28,Q29))</f>
        <v>0</v>
      </c>
      <c r="V29" s="58"/>
      <c r="W29" s="58"/>
      <c r="X29" s="58"/>
      <c r="Y29" s="58"/>
      <c r="Z29" s="58"/>
      <c r="AA29" s="251"/>
      <c r="AB29" s="58"/>
      <c r="AC29" s="58"/>
      <c r="AD29" s="58"/>
      <c r="AE29" s="58"/>
      <c r="AF29" s="58"/>
      <c r="AG29" s="251"/>
      <c r="AH29" s="975">
        <v>4</v>
      </c>
      <c r="AI29" s="1068" t="str">
        <f>IF(OR(AJ3=0),"OFFICE",IF(AND(AF19=AF20),"P. 1ère Part.Rep. A",IF(AND(AJ3&gt;6,AJ3&lt;9),AG20,0)))</f>
        <v>OFFICE</v>
      </c>
      <c r="AJ29" s="1069"/>
      <c r="AK29" s="1070"/>
      <c r="AL29" s="121">
        <v>1</v>
      </c>
      <c r="AM29" s="271" t="str">
        <f>IF(AL29=AL30,"résultat",IF(AL29&gt;AL30,AI29,AI30))</f>
        <v>OFFICE</v>
      </c>
      <c r="AN29" s="263"/>
      <c r="AO29" s="106"/>
      <c r="AP29" s="106"/>
      <c r="AQ29" s="106"/>
      <c r="AR29"/>
    </row>
    <row r="30" spans="1:44" ht="18.95" customHeight="1" thickBot="1">
      <c r="B30" s="244"/>
      <c r="C30" s="58"/>
      <c r="D30" s="225"/>
      <c r="E30" s="225"/>
      <c r="F30" s="225"/>
      <c r="G30" s="225"/>
      <c r="H30" s="239"/>
      <c r="I30" s="239"/>
      <c r="J30" s="225"/>
      <c r="K30" s="225"/>
      <c r="L30" s="225"/>
      <c r="M30" s="58"/>
      <c r="N30" s="58"/>
      <c r="V30" s="58"/>
      <c r="W30" s="58"/>
      <c r="X30" s="58"/>
      <c r="Y30" s="58"/>
      <c r="Z30" s="58"/>
      <c r="AA30" s="251"/>
      <c r="AB30" s="58"/>
      <c r="AC30" s="58"/>
      <c r="AD30" s="58"/>
      <c r="AE30" s="58"/>
      <c r="AF30" s="58"/>
      <c r="AG30" s="251"/>
      <c r="AH30" s="976"/>
      <c r="AI30" s="1071" t="str">
        <f>IF(OR(AJ3=0),"OFFICE",IF(AND(AF25=AF26),"P. 1ère Part. Rep. B",IF(AND(AJ3&gt;6,APF3&lt;9),AG26,0)))</f>
        <v>OFFICE</v>
      </c>
      <c r="AJ30" s="1072"/>
      <c r="AK30" s="1073"/>
      <c r="AL30" s="169">
        <v>0</v>
      </c>
      <c r="AM30" s="271" t="str">
        <f>IF(AL29=AL30,"résultat",IF(AL29&lt;AL30,AI29,AI30))</f>
        <v>OFFICE</v>
      </c>
      <c r="AN30" s="58"/>
      <c r="AO30" s="106"/>
      <c r="AP30" s="106"/>
      <c r="AQ30" s="106"/>
      <c r="AR30"/>
    </row>
    <row r="31" spans="1:44" ht="18.95" customHeight="1">
      <c r="D31"/>
      <c r="E31"/>
      <c r="F31"/>
      <c r="G31"/>
      <c r="H31"/>
      <c r="I31" s="246"/>
      <c r="J31"/>
      <c r="K31"/>
      <c r="L31"/>
      <c r="V31" s="58"/>
      <c r="W31" s="58"/>
      <c r="X31" s="58"/>
      <c r="Y31" s="58"/>
      <c r="Z31" s="58"/>
      <c r="AA31" s="251"/>
      <c r="AB31" s="58"/>
      <c r="AC31" s="58"/>
      <c r="AD31" s="58"/>
      <c r="AE31" s="58"/>
      <c r="AF31" s="58"/>
      <c r="AG31" s="251"/>
      <c r="AH31" s="58"/>
      <c r="AI31" s="58"/>
      <c r="AJ31" s="58"/>
      <c r="AK31" s="58"/>
      <c r="AL31" s="58"/>
      <c r="AM31" s="251"/>
      <c r="AN31" s="58"/>
      <c r="AO31" s="58"/>
      <c r="AP31" s="58"/>
      <c r="AQ31" s="58"/>
    </row>
    <row r="32" spans="1:44" ht="18.75">
      <c r="D32"/>
      <c r="E32"/>
      <c r="F32"/>
      <c r="G32"/>
      <c r="H32"/>
      <c r="I32" s="246"/>
      <c r="J32"/>
      <c r="K32"/>
      <c r="L32"/>
      <c r="V32" s="58"/>
      <c r="W32" s="58"/>
      <c r="X32" s="58"/>
      <c r="Y32" s="58"/>
      <c r="Z32" s="58"/>
      <c r="AA32" s="251"/>
      <c r="AB32" s="58"/>
      <c r="AC32" s="58"/>
      <c r="AD32" s="58"/>
      <c r="AE32" s="58"/>
      <c r="AF32" s="58"/>
      <c r="AG32" s="251"/>
      <c r="AH32" s="58"/>
      <c r="AI32" s="58"/>
      <c r="AJ32" s="58"/>
      <c r="AK32" s="58"/>
      <c r="AL32" s="58"/>
      <c r="AM32" s="251"/>
      <c r="AN32" s="58"/>
      <c r="AO32" s="58"/>
      <c r="AP32" s="58"/>
      <c r="AQ32" s="58"/>
    </row>
    <row r="33" spans="4:12" ht="18.75" customHeight="1">
      <c r="D33"/>
      <c r="E33"/>
      <c r="F33"/>
      <c r="G33"/>
      <c r="H33"/>
      <c r="I33" s="246"/>
      <c r="J33"/>
      <c r="K33"/>
      <c r="L33"/>
    </row>
    <row r="34" spans="4:12" ht="21" customHeight="1">
      <c r="D34"/>
      <c r="E34"/>
      <c r="F34"/>
      <c r="G34"/>
      <c r="H34"/>
      <c r="I34" s="246"/>
      <c r="J34"/>
      <c r="K34"/>
      <c r="L34"/>
    </row>
    <row r="35" spans="4:12" ht="18" customHeight="1">
      <c r="D35"/>
      <c r="E35"/>
      <c r="F35"/>
      <c r="G35"/>
      <c r="H35"/>
      <c r="I35" s="246"/>
      <c r="J35"/>
      <c r="K35"/>
      <c r="L35"/>
    </row>
    <row r="36" spans="4:12">
      <c r="D36"/>
      <c r="E36"/>
      <c r="F36"/>
      <c r="G36"/>
      <c r="H36"/>
      <c r="I36" s="246"/>
      <c r="J36"/>
      <c r="K36"/>
      <c r="L36"/>
    </row>
    <row r="37" spans="4:12">
      <c r="D37"/>
      <c r="E37"/>
      <c r="F37"/>
      <c r="G37"/>
      <c r="H37"/>
      <c r="I37" s="246"/>
      <c r="J37"/>
      <c r="K37"/>
      <c r="L37"/>
    </row>
    <row r="38" spans="4:12">
      <c r="D38"/>
      <c r="E38"/>
      <c r="F38"/>
      <c r="G38"/>
      <c r="H38"/>
      <c r="I38" s="246"/>
      <c r="J38"/>
      <c r="K38"/>
      <c r="L38"/>
    </row>
    <row r="39" spans="4:12">
      <c r="D39"/>
      <c r="E39"/>
      <c r="F39"/>
      <c r="G39"/>
      <c r="H39"/>
      <c r="I39" s="246"/>
      <c r="J39"/>
      <c r="K39"/>
      <c r="L39"/>
    </row>
    <row r="40" spans="4:12">
      <c r="D40"/>
      <c r="E40"/>
      <c r="F40"/>
      <c r="G40"/>
      <c r="H40"/>
      <c r="I40" s="246"/>
      <c r="J40"/>
      <c r="K40"/>
      <c r="L40"/>
    </row>
    <row r="41" spans="4:12">
      <c r="D41"/>
      <c r="E41"/>
      <c r="F41"/>
      <c r="G41"/>
      <c r="H41"/>
      <c r="I41" s="246"/>
      <c r="J41"/>
      <c r="K41"/>
      <c r="L41"/>
    </row>
    <row r="42" spans="4:12">
      <c r="D42"/>
      <c r="E42"/>
      <c r="F42"/>
      <c r="G42"/>
      <c r="H42"/>
      <c r="I42" s="246"/>
      <c r="J42"/>
      <c r="K42"/>
      <c r="L42"/>
    </row>
    <row r="43" spans="4:12">
      <c r="D43"/>
      <c r="E43"/>
      <c r="F43"/>
      <c r="G43"/>
      <c r="H43"/>
      <c r="I43" s="246"/>
      <c r="J43"/>
      <c r="K43"/>
      <c r="L43"/>
    </row>
    <row r="44" spans="4:12">
      <c r="D44"/>
      <c r="E44"/>
      <c r="F44"/>
      <c r="G44"/>
      <c r="H44"/>
      <c r="I44" s="246"/>
      <c r="J44"/>
      <c r="K44"/>
      <c r="L44"/>
    </row>
    <row r="45" spans="4:12">
      <c r="D45"/>
      <c r="E45"/>
      <c r="F45"/>
      <c r="G45"/>
      <c r="H45"/>
      <c r="I45" s="246"/>
      <c r="J45"/>
      <c r="K45"/>
      <c r="L45"/>
    </row>
    <row r="46" spans="4:12">
      <c r="D46"/>
      <c r="E46"/>
      <c r="F46"/>
      <c r="G46"/>
      <c r="H46"/>
      <c r="I46" s="246"/>
      <c r="J46"/>
      <c r="K46"/>
      <c r="L46"/>
    </row>
    <row r="47" spans="4:12">
      <c r="D47"/>
      <c r="E47"/>
      <c r="F47"/>
      <c r="G47"/>
      <c r="H47"/>
      <c r="I47" s="246"/>
      <c r="J47"/>
      <c r="K47"/>
      <c r="L47"/>
    </row>
    <row r="48" spans="4:12">
      <c r="D48"/>
      <c r="E48"/>
      <c r="F48"/>
      <c r="G48"/>
      <c r="H48"/>
      <c r="I48" s="246"/>
      <c r="J48"/>
      <c r="K48"/>
      <c r="L48"/>
    </row>
    <row r="49" spans="4:12">
      <c r="D49"/>
      <c r="E49"/>
      <c r="F49"/>
      <c r="G49"/>
      <c r="H49"/>
      <c r="I49" s="246"/>
      <c r="J49"/>
      <c r="K49"/>
      <c r="L49"/>
    </row>
    <row r="50" spans="4:12">
      <c r="D50"/>
      <c r="E50"/>
      <c r="F50"/>
      <c r="G50"/>
      <c r="H50"/>
      <c r="I50" s="246"/>
      <c r="J50"/>
      <c r="K50"/>
      <c r="L50"/>
    </row>
    <row r="51" spans="4:12">
      <c r="D51"/>
      <c r="E51"/>
      <c r="F51"/>
      <c r="G51"/>
      <c r="H51"/>
      <c r="I51" s="246"/>
      <c r="J51"/>
      <c r="K51"/>
      <c r="L51"/>
    </row>
    <row r="52" spans="4:12">
      <c r="D52"/>
      <c r="E52"/>
      <c r="F52"/>
      <c r="G52"/>
      <c r="H52"/>
      <c r="I52" s="246"/>
      <c r="J52"/>
      <c r="K52"/>
      <c r="L52"/>
    </row>
    <row r="53" spans="4:12">
      <c r="D53"/>
      <c r="E53"/>
      <c r="F53"/>
      <c r="G53"/>
      <c r="H53"/>
      <c r="I53" s="246"/>
      <c r="J53"/>
      <c r="K53"/>
      <c r="L53"/>
    </row>
  </sheetData>
  <sheetProtection formatCells="0" formatColumns="0" formatRows="0" insertColumns="0" insertRows="0" insertHyperlinks="0" deleteColumns="0" deleteRows="0" sort="0"/>
  <mergeCells count="135">
    <mergeCell ref="B7:B8"/>
    <mergeCell ref="B10:B11"/>
    <mergeCell ref="B13:B14"/>
    <mergeCell ref="B16:B17"/>
    <mergeCell ref="B19:B20"/>
    <mergeCell ref="B22:B23"/>
    <mergeCell ref="B25:B26"/>
    <mergeCell ref="B28:B29"/>
    <mergeCell ref="I7:I8"/>
    <mergeCell ref="I10:I11"/>
    <mergeCell ref="I13:I14"/>
    <mergeCell ref="I16:I17"/>
    <mergeCell ref="I19:I20"/>
    <mergeCell ref="I22:I23"/>
    <mergeCell ref="I25:I26"/>
    <mergeCell ref="I28:I29"/>
    <mergeCell ref="D17:F17"/>
    <mergeCell ref="D19:F19"/>
    <mergeCell ref="D20:F20"/>
    <mergeCell ref="D10:F10"/>
    <mergeCell ref="J10:L10"/>
    <mergeCell ref="D11:F11"/>
    <mergeCell ref="J11:L11"/>
    <mergeCell ref="P7:P8"/>
    <mergeCell ref="P10:P11"/>
    <mergeCell ref="P22:P23"/>
    <mergeCell ref="P25:P26"/>
    <mergeCell ref="P28:P29"/>
    <mergeCell ref="J17:L17"/>
    <mergeCell ref="J19:L19"/>
    <mergeCell ref="J20:L20"/>
    <mergeCell ref="D13:F13"/>
    <mergeCell ref="J13:L13"/>
    <mergeCell ref="D14:F14"/>
    <mergeCell ref="J14:L14"/>
    <mergeCell ref="D16:F16"/>
    <mergeCell ref="J16:L16"/>
    <mergeCell ref="D26:F26"/>
    <mergeCell ref="J26:L26"/>
    <mergeCell ref="D28:F28"/>
    <mergeCell ref="J28:L28"/>
    <mergeCell ref="D29:F29"/>
    <mergeCell ref="J29:L29"/>
    <mergeCell ref="D22:F22"/>
    <mergeCell ref="W5:Y5"/>
    <mergeCell ref="AC5:AE5"/>
    <mergeCell ref="AI5:AK5"/>
    <mergeCell ref="AC8:AE8"/>
    <mergeCell ref="AH10:AH11"/>
    <mergeCell ref="AI10:AK10"/>
    <mergeCell ref="Q11:S11"/>
    <mergeCell ref="AI11:AK11"/>
    <mergeCell ref="Q10:S10"/>
    <mergeCell ref="Q7:S7"/>
    <mergeCell ref="V7:V8"/>
    <mergeCell ref="AB7:AB8"/>
    <mergeCell ref="AN12:AP12"/>
    <mergeCell ref="AC7:AE7"/>
    <mergeCell ref="AH8:AL8"/>
    <mergeCell ref="AF1:AJ1"/>
    <mergeCell ref="B2:F2"/>
    <mergeCell ref="P2:X3"/>
    <mergeCell ref="Y3:AI3"/>
    <mergeCell ref="AK1:AL1"/>
    <mergeCell ref="AC4:AL4"/>
    <mergeCell ref="Q8:S8"/>
    <mergeCell ref="W7:Y7"/>
    <mergeCell ref="W8:Y8"/>
    <mergeCell ref="P1:U1"/>
    <mergeCell ref="V1:W1"/>
    <mergeCell ref="X1:Y1"/>
    <mergeCell ref="D7:F7"/>
    <mergeCell ref="J7:L7"/>
    <mergeCell ref="D8:F8"/>
    <mergeCell ref="J8:L8"/>
    <mergeCell ref="Z1:AB1"/>
    <mergeCell ref="AC1:AE1"/>
    <mergeCell ref="D5:F5"/>
    <mergeCell ref="J5:L5"/>
    <mergeCell ref="Q5:S5"/>
    <mergeCell ref="AH19:AH20"/>
    <mergeCell ref="AI19:AK19"/>
    <mergeCell ref="AI20:AK20"/>
    <mergeCell ref="AH17:AL17"/>
    <mergeCell ref="Q16:S16"/>
    <mergeCell ref="AB16:AL16"/>
    <mergeCell ref="AH22:AL22"/>
    <mergeCell ref="Q20:S20"/>
    <mergeCell ref="AC20:AE20"/>
    <mergeCell ref="Q19:S19"/>
    <mergeCell ref="V19:V20"/>
    <mergeCell ref="AB19:AB20"/>
    <mergeCell ref="AC19:AE19"/>
    <mergeCell ref="W19:Y19"/>
    <mergeCell ref="W20:Y20"/>
    <mergeCell ref="Q22:S22"/>
    <mergeCell ref="AC22:AE22"/>
    <mergeCell ref="AH29:AH30"/>
    <mergeCell ref="AI29:AK29"/>
    <mergeCell ref="AI30:AK30"/>
    <mergeCell ref="AI24:AK24"/>
    <mergeCell ref="Q23:S23"/>
    <mergeCell ref="AH24:AH25"/>
    <mergeCell ref="AH27:AL27"/>
    <mergeCell ref="Q29:S29"/>
    <mergeCell ref="AC26:AE26"/>
    <mergeCell ref="V25:V26"/>
    <mergeCell ref="AB25:AB26"/>
    <mergeCell ref="AC25:AE25"/>
    <mergeCell ref="W25:Y25"/>
    <mergeCell ref="W26:Y26"/>
    <mergeCell ref="Q26:S26"/>
    <mergeCell ref="AC23:AE23"/>
    <mergeCell ref="AI25:AK25"/>
    <mergeCell ref="AB22:AB23"/>
    <mergeCell ref="Q28:S28"/>
    <mergeCell ref="Q25:S25"/>
    <mergeCell ref="J22:L22"/>
    <mergeCell ref="D23:F23"/>
    <mergeCell ref="J23:L23"/>
    <mergeCell ref="D25:F25"/>
    <mergeCell ref="J25:L25"/>
    <mergeCell ref="V13:V14"/>
    <mergeCell ref="AC13:AE13"/>
    <mergeCell ref="AC17:AE17"/>
    <mergeCell ref="P13:P14"/>
    <mergeCell ref="P16:P17"/>
    <mergeCell ref="P19:P20"/>
    <mergeCell ref="AB13:AB14"/>
    <mergeCell ref="Q17:S17"/>
    <mergeCell ref="Q14:S14"/>
    <mergeCell ref="AC14:AE14"/>
    <mergeCell ref="Q13:S13"/>
    <mergeCell ref="W13:Y13"/>
    <mergeCell ref="W14:Y14"/>
  </mergeCells>
  <conditionalFormatting sqref="AP14">
    <cfRule type="expression" dxfId="70" priority="93">
      <formula>(OR(AJ3=9,AJ3=8,AJ3=7,AJ3=6,AJ3=5,AJ3=4,AJ3=3,AJ3=2,AJ3=1))</formula>
    </cfRule>
  </conditionalFormatting>
  <conditionalFormatting sqref="AP15">
    <cfRule type="expression" dxfId="69" priority="92">
      <formula>(OR($AJ$3=9,$AJ$3=8,$AJ$3=7,$AJ$3=6,$AJ$3=5,$AJ$3=4,$AJ$3=3,$AJ$3=2))</formula>
    </cfRule>
  </conditionalFormatting>
  <conditionalFormatting sqref="AP17">
    <cfRule type="expression" dxfId="68" priority="91">
      <formula>(OR(AJ3=9,AJ3=8,AJ3=7,AJ3=6,AJ3=5,AJ3=4))</formula>
    </cfRule>
  </conditionalFormatting>
  <conditionalFormatting sqref="AP18">
    <cfRule type="expression" dxfId="67" priority="90">
      <formula>(OR(AJ3=9,AJ3=8,AJ3=7,AJ3=6,AJ3=5))</formula>
    </cfRule>
  </conditionalFormatting>
  <conditionalFormatting sqref="AP19">
    <cfRule type="expression" dxfId="66" priority="89">
      <formula>(OR(AJ3=9,AJ3=8,AJ3=7,AJ3=6))</formula>
    </cfRule>
  </conditionalFormatting>
  <conditionalFormatting sqref="AP20">
    <cfRule type="expression" dxfId="65" priority="88">
      <formula>(OR(AJ3=9,AJ3=8,AJ3=7))</formula>
    </cfRule>
  </conditionalFormatting>
  <conditionalFormatting sqref="AP21">
    <cfRule type="expression" dxfId="64" priority="87">
      <formula>(OR(AJ3=9,AJ3=8))</formula>
    </cfRule>
  </conditionalFormatting>
  <conditionalFormatting sqref="AP16">
    <cfRule type="expression" dxfId="63" priority="58">
      <formula>-(OR(AJ3=9,AJ3=8,AJ3=7,AJ3=6,AJ3=5,AJ3=4,AJ3=3))</formula>
    </cfRule>
  </conditionalFormatting>
  <conditionalFormatting sqref="Q7:S29">
    <cfRule type="containsText" dxfId="62" priority="9" operator="containsText" text="OFFICE">
      <formula>NOT(ISERROR(SEARCH("OFFICE",Q7)))</formula>
    </cfRule>
    <cfRule type="containsText" dxfId="61" priority="55" operator="containsText" text="FAUX">
      <formula>NOT(ISERROR(SEARCH("FAUX",Q7)))</formula>
    </cfRule>
  </conditionalFormatting>
  <conditionalFormatting sqref="AN14:AN21">
    <cfRule type="expression" dxfId="60" priority="45">
      <formula>"SI(OU(AG3=9;AG3=8;AG3=7;AG3=6;AG3=5;AG3=4;AG3=3;AG3=2))"</formula>
    </cfRule>
  </conditionalFormatting>
  <conditionalFormatting sqref="AN14">
    <cfRule type="expression" dxfId="59" priority="44">
      <formula>(OR(AJ3=9,AJ3=8,AJ3=7,AJ3=6,AJ3=5,AJ3=4,AJ3=3,AJ3=2,AJ3=1))</formula>
    </cfRule>
  </conditionalFormatting>
  <conditionalFormatting sqref="AN15">
    <cfRule type="expression" dxfId="58" priority="43">
      <formula>(OR(AJ3=9,AJ3=8,AJ3=7,AJ3=6,AJ3=5,AJ3=4,AJ3=3,AJ3=2))</formula>
    </cfRule>
  </conditionalFormatting>
  <conditionalFormatting sqref="AN16">
    <cfRule type="expression" dxfId="57" priority="42">
      <formula>(OR(AJ3=9,AJ3=8,AJ3=7,AJ3=6,AJ3=5,AJ3=4,AJ3=3))</formula>
    </cfRule>
  </conditionalFormatting>
  <conditionalFormatting sqref="AN17">
    <cfRule type="expression" dxfId="56" priority="41">
      <formula>(OR(AJ3=9,AJ3=8,AJ3=7,AJ3=6,AJ3=5,AJ3=4))</formula>
    </cfRule>
  </conditionalFormatting>
  <conditionalFormatting sqref="AN18">
    <cfRule type="expression" dxfId="55" priority="40">
      <formula>(OR(AJ3=9,AJ3=8,AJ3=7,AJ3=6,AJ3=5))</formula>
    </cfRule>
  </conditionalFormatting>
  <conditionalFormatting sqref="AN19">
    <cfRule type="expression" dxfId="54" priority="39">
      <formula>(OR(AJ3=9,AJ3=8,AJ3=7,AJ3=6))</formula>
    </cfRule>
  </conditionalFormatting>
  <conditionalFormatting sqref="AN20">
    <cfRule type="expression" dxfId="53" priority="38">
      <formula>(OR(AJ3=9,AJ3=8,AJ3=7))</formula>
    </cfRule>
  </conditionalFormatting>
  <conditionalFormatting sqref="AN21">
    <cfRule type="expression" dxfId="52" priority="37">
      <formula>(OR(AJ3=9,AJ3=8))</formula>
    </cfRule>
  </conditionalFormatting>
  <conditionalFormatting sqref="Q7:S30">
    <cfRule type="duplicateValues" dxfId="51" priority="15"/>
  </conditionalFormatting>
  <conditionalFormatting sqref="AP14">
    <cfRule type="expression" dxfId="50" priority="115">
      <formula>(OR(#REF!=8,#REF!=7,#REF!=6,#REF!=5,#REF!=4,#REF!=3,#REF!=2))</formula>
    </cfRule>
  </conditionalFormatting>
  <conditionalFormatting sqref="AP15">
    <cfRule type="expression" dxfId="49" priority="118">
      <formula>(OR(#REF!=9,#REF!=8,#REF!=7,#REF!=6,#REF!=5,#REF!=4,#REF!=3,#REF!=2))</formula>
    </cfRule>
  </conditionalFormatting>
  <conditionalFormatting sqref="AP16">
    <cfRule type="expression" dxfId="48" priority="119">
      <formula>(OR(#REF!=9,#REF!=8,#REF!=7,#REF!=6,#REF!=5,#REF!=4,#REF!=3))</formula>
    </cfRule>
  </conditionalFormatting>
  <conditionalFormatting sqref="AP17:AP18">
    <cfRule type="expression" dxfId="47" priority="122">
      <formula>(OR(#REF!=9,#REF!=8,#REF!=7,#REF!=6,#REF!=5,#REF!=4))</formula>
    </cfRule>
  </conditionalFormatting>
  <conditionalFormatting sqref="AP18">
    <cfRule type="expression" dxfId="46" priority="125">
      <formula>(OR(#REF!=9,#REF!=8,#REF!=7,#REF!=6,#REF!=5))</formula>
    </cfRule>
  </conditionalFormatting>
  <conditionalFormatting sqref="AP19">
    <cfRule type="expression" dxfId="45" priority="126">
      <formula>(OR(#REF!=9,#REF!=8,#REF!=7,#REF!=6))</formula>
    </cfRule>
  </conditionalFormatting>
  <conditionalFormatting sqref="AP20">
    <cfRule type="expression" dxfId="44" priority="127">
      <formula>(OR(#REF!=9,#REF!=8,#REF!=7))</formula>
    </cfRule>
  </conditionalFormatting>
  <conditionalFormatting sqref="AP21 AN21">
    <cfRule type="expression" dxfId="43" priority="130">
      <formula>(OR(#REF!=9,#REF!=8))</formula>
    </cfRule>
  </conditionalFormatting>
  <conditionalFormatting sqref="AN14">
    <cfRule type="expression" dxfId="42" priority="133">
      <formula>(OR(#REF!=9,#REF!=8,#REF!=7,#REF!=6,#REF!=5,#REF!=4,#REF!=3,#REF!=2,#REF!=1))</formula>
    </cfRule>
  </conditionalFormatting>
  <conditionalFormatting sqref="AN15">
    <cfRule type="expression" dxfId="41" priority="134">
      <formula>(OR(#REF!=9,#REF!=8,#REF!=7,#REF!=6,#REF!=5,#REF!=4,#REF!=3,#REF!=2))</formula>
    </cfRule>
  </conditionalFormatting>
  <conditionalFormatting sqref="AN16">
    <cfRule type="expression" dxfId="40" priority="135">
      <formula>(OR(#REF!=9,#REF!=8,#REF!=7,#REF!=6,#REF!=5,#REF!=4,#REF!=3))</formula>
    </cfRule>
  </conditionalFormatting>
  <conditionalFormatting sqref="AN17">
    <cfRule type="expression" dxfId="39" priority="136">
      <formula>(OR(#REF!=9,#REF!=8,#REF!=7,#REF!=6,#REF!=5,#REF!=4))</formula>
    </cfRule>
  </conditionalFormatting>
  <conditionalFormatting sqref="AN18">
    <cfRule type="expression" dxfId="38" priority="137">
      <formula>(OR(#REF!=9,#REF!=8,#REF!=7,#REF!=6,#REF!=5))</formula>
    </cfRule>
  </conditionalFormatting>
  <conditionalFormatting sqref="AN19">
    <cfRule type="expression" dxfId="37" priority="138">
      <formula>(OR(#REF!=9,#REF!=8,#REF!=7,#REF!=6))</formula>
    </cfRule>
  </conditionalFormatting>
  <conditionalFormatting sqref="AN20">
    <cfRule type="expression" dxfId="36" priority="139">
      <formula>(OR(#REF!=9,#REF!=8,#REF!=7))</formula>
    </cfRule>
  </conditionalFormatting>
  <conditionalFormatting sqref="N7:N29">
    <cfRule type="duplicateValues" dxfId="35" priority="8"/>
  </conditionalFormatting>
  <conditionalFormatting sqref="D7:F29">
    <cfRule type="containsText" dxfId="34" priority="3" operator="containsText" text="OFFICE">
      <formula>NOT(ISERROR(SEARCH("OFFICE",D7)))</formula>
    </cfRule>
  </conditionalFormatting>
  <conditionalFormatting sqref="J7:L29">
    <cfRule type="cellIs" dxfId="33" priority="2" operator="equal">
      <formula>"OFFICE"</formula>
    </cfRule>
  </conditionalFormatting>
  <conditionalFormatting sqref="D7:F29 J7:L29">
    <cfRule type="duplicateValues" dxfId="32" priority="1"/>
  </conditionalFormatting>
  <pageMargins left="0.31496062992125984" right="0.27559055118110237" top="0.23622047244094491" bottom="0.35433070866141736" header="0.15748031496062992" footer="0.19685039370078741"/>
  <pageSetup paperSize="9" scale="110" orientation="landscape" horizontalDpi="4294967293" verticalDpi="0" r:id="rId1"/>
  <colBreaks count="1" manualBreakCount="1">
    <brk id="1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R26"/>
  <sheetViews>
    <sheetView view="pageBreakPreview" zoomScale="90" zoomScaleSheetLayoutView="90" workbookViewId="0">
      <selection activeCell="AQ25" sqref="AQ25"/>
    </sheetView>
  </sheetViews>
  <sheetFormatPr baseColWidth="10" defaultRowHeight="15"/>
  <cols>
    <col min="1" max="1" width="5.140625" style="14" customWidth="1"/>
    <col min="2" max="2" width="21.140625" style="14" customWidth="1"/>
    <col min="3" max="3" width="6.140625" style="14" customWidth="1"/>
    <col min="4" max="4" width="18" style="14" customWidth="1"/>
    <col min="5" max="5" width="5.5703125" style="14" customWidth="1"/>
    <col min="6" max="6" width="3.85546875" style="14" customWidth="1"/>
    <col min="7" max="7" width="7" style="14" customWidth="1"/>
    <col min="8" max="8" width="7.140625" style="14" customWidth="1"/>
    <col min="9" max="9" width="6.42578125" style="14" customWidth="1"/>
    <col min="10" max="10" width="5.42578125" style="14" customWidth="1"/>
    <col min="11" max="11" width="2.28515625" style="14" customWidth="1"/>
    <col min="12" max="12" width="4.85546875" style="14" customWidth="1"/>
    <col min="13" max="13" width="7.28515625" style="14" customWidth="1"/>
    <col min="14" max="14" width="5.5703125" style="14" customWidth="1"/>
    <col min="15" max="15" width="7.7109375" style="14" customWidth="1"/>
    <col min="16" max="16" width="5.5703125" style="14" customWidth="1"/>
    <col min="17" max="17" width="1.42578125" style="14" customWidth="1"/>
    <col min="18" max="18" width="4.5703125" style="14" customWidth="1"/>
    <col min="19" max="19" width="7.140625" style="14" customWidth="1"/>
    <col min="20" max="20" width="6" style="14" customWidth="1"/>
    <col min="21" max="21" width="7" style="14" customWidth="1"/>
    <col min="22" max="22" width="5.85546875" style="14" customWidth="1"/>
    <col min="23" max="23" width="1.85546875" style="14" customWidth="1"/>
    <col min="24" max="24" width="4.7109375" style="14" customWidth="1"/>
    <col min="25" max="25" width="6.85546875" style="14" customWidth="1"/>
    <col min="26" max="26" width="6.7109375" style="14" customWidth="1"/>
    <col min="27" max="27" width="6.5703125" style="14" customWidth="1"/>
    <col min="28" max="28" width="5.7109375" style="14" customWidth="1"/>
    <col min="29" max="29" width="1.140625" customWidth="1"/>
    <col min="30" max="30" width="4.5703125" style="14" customWidth="1"/>
    <col min="31" max="31" width="6.85546875" style="14" customWidth="1"/>
    <col min="32" max="32" width="6.5703125" style="14" customWidth="1"/>
    <col min="33" max="33" width="6.42578125" style="14" customWidth="1"/>
    <col min="34" max="34" width="6.28515625" style="14" customWidth="1"/>
    <col min="35" max="35" width="1.42578125" style="14" customWidth="1"/>
    <col min="36" max="36" width="4.85546875" style="14" customWidth="1"/>
    <col min="37" max="37" width="7.42578125" style="14" customWidth="1"/>
    <col min="38" max="38" width="6.42578125" style="14" customWidth="1"/>
    <col min="39" max="39" width="7.28515625" style="14" customWidth="1"/>
    <col min="40" max="40" width="5.42578125" style="14" customWidth="1"/>
    <col min="41" max="41" width="3.85546875" style="14" customWidth="1"/>
    <col min="42" max="42" width="6.140625" style="14" customWidth="1"/>
    <col min="43" max="43" width="2.5703125" style="14" customWidth="1"/>
    <col min="44" max="44" width="31.85546875" style="14" customWidth="1"/>
    <col min="45" max="16384" width="11.42578125" style="14"/>
  </cols>
  <sheetData>
    <row r="1" spans="1:44" ht="19.5" thickBot="1">
      <c r="B1" s="14" t="s">
        <v>141</v>
      </c>
      <c r="F1" s="387"/>
      <c r="G1" s="1167" t="s">
        <v>9</v>
      </c>
      <c r="H1" s="1168"/>
      <c r="I1" s="1169"/>
      <c r="J1" s="387"/>
      <c r="K1" s="387"/>
      <c r="L1" s="387"/>
      <c r="M1" s="1167" t="s">
        <v>9</v>
      </c>
      <c r="N1" s="1168"/>
      <c r="O1" s="1169"/>
      <c r="P1" s="387"/>
      <c r="Q1" s="387"/>
      <c r="R1" s="387"/>
      <c r="S1" s="1170" t="s">
        <v>3</v>
      </c>
      <c r="T1" s="1171"/>
      <c r="U1" s="1172"/>
      <c r="V1" s="387"/>
      <c r="W1" s="388"/>
      <c r="X1" s="387"/>
      <c r="Y1" s="1159" t="s">
        <v>4</v>
      </c>
      <c r="Z1" s="1160"/>
      <c r="AA1" s="1161"/>
      <c r="AB1" s="387"/>
      <c r="AD1" s="387"/>
      <c r="AE1" s="1146" t="s">
        <v>6</v>
      </c>
      <c r="AF1" s="1147"/>
      <c r="AG1" s="1148"/>
      <c r="AH1" s="387"/>
    </row>
    <row r="2" spans="1:44" ht="15.75" thickBot="1">
      <c r="A2" s="389">
        <v>1</v>
      </c>
      <c r="B2" s="390"/>
      <c r="C2" s="391"/>
      <c r="D2" s="390"/>
      <c r="F2" s="392" t="s">
        <v>1</v>
      </c>
      <c r="G2" s="4"/>
      <c r="H2" s="393" t="s">
        <v>10</v>
      </c>
      <c r="I2" s="4"/>
      <c r="J2" s="392" t="s">
        <v>0</v>
      </c>
      <c r="K2" s="392"/>
      <c r="L2" s="392" t="s">
        <v>1</v>
      </c>
      <c r="M2" s="4"/>
      <c r="N2" s="393" t="s">
        <v>11</v>
      </c>
      <c r="O2" s="4"/>
      <c r="P2" s="392" t="s">
        <v>0</v>
      </c>
      <c r="Q2" s="392"/>
      <c r="R2" s="392" t="s">
        <v>1</v>
      </c>
      <c r="S2" s="4"/>
      <c r="T2" s="393" t="s">
        <v>10</v>
      </c>
      <c r="U2" s="4"/>
      <c r="V2" s="392" t="s">
        <v>0</v>
      </c>
      <c r="X2" s="392" t="s">
        <v>1</v>
      </c>
      <c r="Y2" s="4"/>
      <c r="Z2" s="393" t="s">
        <v>10</v>
      </c>
      <c r="AA2" s="4"/>
      <c r="AB2" s="392" t="s">
        <v>0</v>
      </c>
      <c r="AD2" s="392" t="s">
        <v>1</v>
      </c>
      <c r="AE2" s="4"/>
      <c r="AF2" s="393" t="s">
        <v>10</v>
      </c>
      <c r="AG2" s="4"/>
      <c r="AH2" s="392" t="s">
        <v>0</v>
      </c>
    </row>
    <row r="3" spans="1:44" ht="19.5" thickBot="1">
      <c r="A3" s="394">
        <v>2</v>
      </c>
      <c r="B3" s="395"/>
      <c r="C3" s="396"/>
      <c r="D3" s="395"/>
      <c r="F3" s="1152"/>
      <c r="G3" s="397"/>
      <c r="H3" s="398"/>
      <c r="I3" s="399"/>
      <c r="J3" s="16"/>
      <c r="K3" s="72"/>
      <c r="L3" s="1162"/>
      <c r="M3" s="1004"/>
      <c r="N3" s="1042"/>
      <c r="O3" s="1043"/>
      <c r="P3" s="16"/>
      <c r="Q3" s="72"/>
      <c r="R3" s="1162"/>
      <c r="S3" s="1004"/>
      <c r="T3" s="1042"/>
      <c r="U3" s="1043"/>
      <c r="V3" s="16"/>
      <c r="W3" s="400"/>
      <c r="X3" s="1162"/>
      <c r="Y3" s="1155"/>
      <c r="Z3" s="1155"/>
      <c r="AA3" s="1156"/>
      <c r="AB3" s="13"/>
      <c r="AD3" s="1152"/>
      <c r="AE3" s="1154"/>
      <c r="AF3" s="1155"/>
      <c r="AG3" s="1156"/>
      <c r="AH3" s="13">
        <v>1</v>
      </c>
      <c r="AI3" s="387"/>
    </row>
    <row r="4" spans="1:44" ht="19.5" thickBot="1">
      <c r="A4" s="394">
        <v>3</v>
      </c>
      <c r="B4" s="395"/>
      <c r="C4" s="396"/>
      <c r="D4" s="395"/>
      <c r="F4" s="1153"/>
      <c r="G4" s="376"/>
      <c r="H4" s="401"/>
      <c r="I4" s="402"/>
      <c r="J4" s="16"/>
      <c r="K4" s="72"/>
      <c r="L4" s="1163"/>
      <c r="M4" s="1164"/>
      <c r="N4" s="1164"/>
      <c r="O4" s="1165"/>
      <c r="P4" s="382"/>
      <c r="Q4" s="72"/>
      <c r="R4" s="1163"/>
      <c r="S4" s="1039"/>
      <c r="T4" s="1164"/>
      <c r="U4" s="1165"/>
      <c r="V4" s="382"/>
      <c r="W4" s="400"/>
      <c r="X4" s="1163"/>
      <c r="Y4" s="1166"/>
      <c r="Z4" s="1157"/>
      <c r="AA4" s="1158"/>
      <c r="AB4" s="241"/>
      <c r="AD4" s="1153"/>
      <c r="AE4" s="1013"/>
      <c r="AF4" s="1157"/>
      <c r="AG4" s="1158"/>
      <c r="AH4" s="241">
        <v>2</v>
      </c>
      <c r="AI4" s="4"/>
      <c r="AK4" s="1149" t="s">
        <v>8</v>
      </c>
      <c r="AL4" s="1150"/>
      <c r="AM4" s="1151"/>
      <c r="AO4" s="388"/>
    </row>
    <row r="5" spans="1:44" ht="19.5" thickBot="1">
      <c r="A5" s="394">
        <v>4</v>
      </c>
      <c r="B5" s="395"/>
      <c r="C5" s="396"/>
      <c r="D5" s="395"/>
      <c r="F5" s="7"/>
      <c r="G5" s="384"/>
      <c r="H5" s="380" t="s">
        <v>57</v>
      </c>
      <c r="I5" s="384"/>
      <c r="J5" s="25"/>
      <c r="K5" s="11"/>
      <c r="L5" s="25"/>
      <c r="M5" s="384"/>
      <c r="N5" s="380" t="s">
        <v>48</v>
      </c>
      <c r="O5" s="384"/>
      <c r="P5" s="25"/>
      <c r="Q5" s="11"/>
      <c r="R5" s="25"/>
      <c r="S5" s="403"/>
      <c r="T5" s="380" t="s">
        <v>11</v>
      </c>
      <c r="U5" s="384"/>
      <c r="V5" s="25"/>
      <c r="W5" s="400"/>
      <c r="X5" s="25"/>
      <c r="Y5" s="384"/>
      <c r="Z5" s="384"/>
      <c r="AA5" s="384"/>
      <c r="AB5" s="7"/>
      <c r="AD5" s="7"/>
      <c r="AE5" s="384"/>
      <c r="AF5" s="384"/>
      <c r="AG5" s="384"/>
      <c r="AH5" s="7"/>
      <c r="AI5" s="404"/>
      <c r="AJ5" s="392" t="s">
        <v>1</v>
      </c>
      <c r="AK5" s="4"/>
      <c r="AL5" s="393" t="s">
        <v>57</v>
      </c>
      <c r="AM5" s="4"/>
      <c r="AN5" s="392" t="s">
        <v>0</v>
      </c>
      <c r="AP5" s="1109" t="s">
        <v>193</v>
      </c>
      <c r="AQ5" s="1110"/>
      <c r="AR5" s="1110"/>
    </row>
    <row r="6" spans="1:44" ht="19.5" thickBot="1">
      <c r="A6" s="394">
        <v>5</v>
      </c>
      <c r="B6" s="395"/>
      <c r="C6" s="405"/>
      <c r="D6" s="406"/>
      <c r="F6" s="1152"/>
      <c r="G6" s="397"/>
      <c r="H6" s="398"/>
      <c r="I6" s="399"/>
      <c r="J6" s="16"/>
      <c r="K6" s="72"/>
      <c r="L6" s="1162"/>
      <c r="M6" s="1042"/>
      <c r="N6" s="1042"/>
      <c r="O6" s="1043"/>
      <c r="P6" s="16"/>
      <c r="Q6" s="72"/>
      <c r="R6" s="1162"/>
      <c r="S6" s="1042"/>
      <c r="T6" s="1042"/>
      <c r="U6" s="1043"/>
      <c r="V6" s="16"/>
      <c r="W6" s="400"/>
      <c r="X6" s="25"/>
      <c r="Y6" s="384"/>
      <c r="Z6" s="384"/>
      <c r="AA6" s="384"/>
      <c r="AB6" s="7"/>
      <c r="AD6" s="7"/>
      <c r="AE6" s="384"/>
      <c r="AF6" s="384"/>
      <c r="AG6" s="384"/>
      <c r="AH6" s="7"/>
      <c r="AI6" s="404"/>
      <c r="AJ6" s="1152"/>
      <c r="AK6" s="1154"/>
      <c r="AL6" s="1155"/>
      <c r="AM6" s="1156"/>
      <c r="AN6" s="13">
        <v>3</v>
      </c>
      <c r="AP6" s="58"/>
      <c r="AQ6" s="58"/>
      <c r="AR6" s="58"/>
    </row>
    <row r="7" spans="1:44" ht="19.5" thickBot="1">
      <c r="A7" s="394">
        <v>6</v>
      </c>
      <c r="B7" s="395"/>
      <c r="C7" s="407">
        <v>25</v>
      </c>
      <c r="D7" s="390"/>
      <c r="F7" s="1153"/>
      <c r="G7" s="408"/>
      <c r="H7" s="401"/>
      <c r="I7" s="402"/>
      <c r="J7" s="16"/>
      <c r="K7" s="72"/>
      <c r="L7" s="1163"/>
      <c r="M7" s="1164"/>
      <c r="N7" s="1164"/>
      <c r="O7" s="1165"/>
      <c r="P7" s="382"/>
      <c r="Q7" s="72"/>
      <c r="R7" s="1163"/>
      <c r="S7" s="1164"/>
      <c r="T7" s="1164"/>
      <c r="U7" s="1165"/>
      <c r="V7" s="382"/>
      <c r="W7" s="400"/>
      <c r="X7" s="25"/>
      <c r="Y7" s="384"/>
      <c r="Z7" s="384"/>
      <c r="AA7" s="384"/>
      <c r="AB7" s="7"/>
      <c r="AD7" s="7"/>
      <c r="AE7" s="384"/>
      <c r="AF7" s="384"/>
      <c r="AG7" s="384"/>
      <c r="AH7" s="7"/>
      <c r="AI7" s="409"/>
      <c r="AJ7" s="1153"/>
      <c r="AK7" s="1013"/>
      <c r="AL7" s="1157"/>
      <c r="AM7" s="1158"/>
      <c r="AN7" s="241">
        <v>2</v>
      </c>
      <c r="AP7" s="256">
        <v>1</v>
      </c>
      <c r="AQ7" s="79"/>
      <c r="AR7" s="200"/>
    </row>
    <row r="8" spans="1:44" ht="19.5" thickBot="1">
      <c r="A8" s="394">
        <v>7</v>
      </c>
      <c r="B8" s="395"/>
      <c r="C8" s="410">
        <v>26</v>
      </c>
      <c r="D8" s="395"/>
      <c r="F8" s="7"/>
      <c r="G8" s="384"/>
      <c r="H8" s="380" t="s">
        <v>49</v>
      </c>
      <c r="I8" s="384"/>
      <c r="J8" s="25"/>
      <c r="K8" s="11"/>
      <c r="L8" s="25"/>
      <c r="M8" s="384"/>
      <c r="N8" s="380" t="s">
        <v>58</v>
      </c>
      <c r="O8" s="384"/>
      <c r="P8" s="25"/>
      <c r="Q8" s="11"/>
      <c r="R8" s="25"/>
      <c r="S8" s="384"/>
      <c r="T8" s="380" t="s">
        <v>57</v>
      </c>
      <c r="U8" s="384"/>
      <c r="V8" s="25"/>
      <c r="W8" s="400"/>
      <c r="X8" s="25"/>
      <c r="Y8" s="384"/>
      <c r="Z8" s="380" t="s">
        <v>11</v>
      </c>
      <c r="AA8" s="384"/>
      <c r="AB8" s="7"/>
      <c r="AD8" s="26"/>
      <c r="AE8" s="384"/>
      <c r="AF8" s="380" t="s">
        <v>11</v>
      </c>
      <c r="AG8" s="384"/>
      <c r="AH8" s="26"/>
      <c r="AI8" s="409"/>
      <c r="AJ8" s="4"/>
      <c r="AK8" s="4"/>
      <c r="AL8" s="4"/>
      <c r="AM8" s="4"/>
      <c r="AN8" s="4"/>
      <c r="AP8" s="257">
        <v>2</v>
      </c>
      <c r="AQ8" s="79"/>
      <c r="AR8" s="201"/>
    </row>
    <row r="9" spans="1:44" ht="19.5" thickBot="1">
      <c r="A9" s="394">
        <v>8</v>
      </c>
      <c r="B9" s="395"/>
      <c r="C9" s="410">
        <v>27</v>
      </c>
      <c r="D9" s="395"/>
      <c r="F9" s="1152"/>
      <c r="G9" s="397"/>
      <c r="H9" s="398"/>
      <c r="I9" s="399"/>
      <c r="J9" s="16"/>
      <c r="K9" s="72"/>
      <c r="L9" s="1162"/>
      <c r="M9" s="1041"/>
      <c r="N9" s="1174"/>
      <c r="O9" s="1175"/>
      <c r="P9" s="16"/>
      <c r="Q9" s="72"/>
      <c r="R9" s="1162"/>
      <c r="S9" s="1042"/>
      <c r="T9" s="1042"/>
      <c r="U9" s="1043"/>
      <c r="V9" s="16"/>
      <c r="W9" s="400"/>
      <c r="X9" s="1162"/>
      <c r="Y9" s="1166"/>
      <c r="Z9" s="1157"/>
      <c r="AA9" s="1158"/>
      <c r="AB9" s="13"/>
      <c r="AD9" s="1152"/>
      <c r="AE9" s="1013"/>
      <c r="AF9" s="1157"/>
      <c r="AG9" s="1158"/>
      <c r="AH9" s="13">
        <v>1</v>
      </c>
      <c r="AI9" s="409"/>
      <c r="AP9" s="258">
        <v>3</v>
      </c>
      <c r="AQ9" s="79"/>
      <c r="AR9" s="201"/>
    </row>
    <row r="10" spans="1:44" ht="19.5" thickBot="1">
      <c r="A10" s="394">
        <v>9</v>
      </c>
      <c r="B10" s="395"/>
      <c r="C10" s="410">
        <v>28</v>
      </c>
      <c r="D10" s="395"/>
      <c r="F10" s="1153"/>
      <c r="G10" s="411"/>
      <c r="H10" s="401"/>
      <c r="I10" s="402"/>
      <c r="J10" s="382"/>
      <c r="K10" s="72"/>
      <c r="L10" s="1163"/>
      <c r="M10" s="1173"/>
      <c r="N10" s="1164"/>
      <c r="O10" s="1165"/>
      <c r="P10" s="382"/>
      <c r="Q10" s="72"/>
      <c r="R10" s="1163"/>
      <c r="S10" s="1173"/>
      <c r="T10" s="1164"/>
      <c r="U10" s="1165"/>
      <c r="V10" s="382"/>
      <c r="W10" s="400"/>
      <c r="X10" s="1163"/>
      <c r="Y10" s="1166"/>
      <c r="Z10" s="1157"/>
      <c r="AA10" s="1158"/>
      <c r="AB10" s="241"/>
      <c r="AD10" s="1153"/>
      <c r="AE10" s="1013"/>
      <c r="AF10" s="1157"/>
      <c r="AG10" s="1158"/>
      <c r="AH10" s="241">
        <v>2</v>
      </c>
      <c r="AI10" s="409"/>
      <c r="AP10" s="258">
        <v>4</v>
      </c>
      <c r="AQ10" s="79"/>
      <c r="AR10" s="201"/>
    </row>
    <row r="11" spans="1:44" ht="19.5" thickBot="1">
      <c r="A11" s="394">
        <v>10</v>
      </c>
      <c r="B11" s="395"/>
      <c r="C11" s="410">
        <v>29</v>
      </c>
      <c r="D11" s="395"/>
      <c r="F11" s="7"/>
      <c r="G11" s="412"/>
      <c r="H11" s="380" t="s">
        <v>59</v>
      </c>
      <c r="I11" s="412"/>
      <c r="J11" s="25"/>
      <c r="K11" s="11"/>
      <c r="L11" s="25"/>
      <c r="M11" s="384"/>
      <c r="N11" s="380" t="s">
        <v>60</v>
      </c>
      <c r="O11" s="384"/>
      <c r="P11" s="25"/>
      <c r="Q11" s="11"/>
      <c r="R11" s="25"/>
      <c r="S11" s="384"/>
      <c r="T11" s="380" t="s">
        <v>48</v>
      </c>
      <c r="U11" s="384"/>
      <c r="V11" s="25"/>
      <c r="W11" s="400"/>
      <c r="X11" s="384"/>
      <c r="Y11" s="384"/>
      <c r="Z11" s="384"/>
      <c r="AA11" s="384"/>
      <c r="AB11" s="4"/>
      <c r="AI11" s="404"/>
      <c r="AP11" s="258">
        <v>5</v>
      </c>
      <c r="AQ11" s="79"/>
      <c r="AR11" s="201"/>
    </row>
    <row r="12" spans="1:44" ht="19.5" thickBot="1">
      <c r="A12" s="394">
        <v>11</v>
      </c>
      <c r="B12" s="395"/>
      <c r="C12" s="410">
        <v>30</v>
      </c>
      <c r="D12" s="395"/>
      <c r="F12" s="1152"/>
      <c r="G12" s="397"/>
      <c r="H12" s="398"/>
      <c r="I12" s="399"/>
      <c r="J12" s="16"/>
      <c r="K12" s="72"/>
      <c r="L12" s="1162"/>
      <c r="M12" s="1005"/>
      <c r="N12" s="1042"/>
      <c r="O12" s="1043"/>
      <c r="P12" s="16"/>
      <c r="Q12" s="72"/>
      <c r="R12" s="1162"/>
      <c r="S12" s="1042"/>
      <c r="T12" s="1042"/>
      <c r="U12" s="1043"/>
      <c r="V12" s="16"/>
      <c r="W12" s="400"/>
      <c r="X12" s="384"/>
      <c r="Y12" s="384"/>
      <c r="Z12" s="384"/>
      <c r="AA12" s="384"/>
      <c r="AB12" s="4"/>
      <c r="AD12" s="1190" t="s">
        <v>7</v>
      </c>
      <c r="AE12" s="1191"/>
      <c r="AF12" s="1191"/>
      <c r="AG12" s="1191"/>
      <c r="AH12" s="1191"/>
      <c r="AI12" s="1191"/>
      <c r="AJ12" s="1191"/>
      <c r="AK12" s="1191"/>
      <c r="AL12" s="1191"/>
      <c r="AM12" s="1191"/>
      <c r="AN12" s="1192"/>
      <c r="AP12" s="258">
        <v>6</v>
      </c>
      <c r="AQ12" s="79"/>
      <c r="AR12" s="201"/>
    </row>
    <row r="13" spans="1:44" ht="19.5" thickBot="1">
      <c r="A13" s="394">
        <v>12</v>
      </c>
      <c r="B13" s="395"/>
      <c r="C13" s="410">
        <v>31</v>
      </c>
      <c r="D13" s="395"/>
      <c r="F13" s="1153"/>
      <c r="G13" s="411"/>
      <c r="H13" s="401"/>
      <c r="I13" s="402"/>
      <c r="J13" s="382"/>
      <c r="K13" s="72"/>
      <c r="L13" s="1163"/>
      <c r="M13" s="1164"/>
      <c r="N13" s="1164"/>
      <c r="O13" s="1165"/>
      <c r="P13" s="382"/>
      <c r="Q13" s="72"/>
      <c r="R13" s="1163"/>
      <c r="S13" s="1039"/>
      <c r="T13" s="1164"/>
      <c r="U13" s="1165"/>
      <c r="V13" s="382"/>
      <c r="W13" s="400"/>
      <c r="X13" s="384"/>
      <c r="Y13" s="384"/>
      <c r="Z13" s="384"/>
      <c r="AA13" s="384"/>
      <c r="AB13" s="4"/>
      <c r="AD13" s="26"/>
      <c r="AE13" s="1193" t="s">
        <v>55</v>
      </c>
      <c r="AF13" s="1194"/>
      <c r="AG13" s="1195"/>
      <c r="AH13" s="26"/>
      <c r="AI13" s="377"/>
      <c r="AJ13" s="1196" t="s">
        <v>152</v>
      </c>
      <c r="AK13" s="1197"/>
      <c r="AL13" s="1197"/>
      <c r="AM13" s="1197"/>
      <c r="AN13" s="1198"/>
      <c r="AP13" s="258">
        <v>7</v>
      </c>
      <c r="AQ13" s="79"/>
      <c r="AR13" s="201"/>
    </row>
    <row r="14" spans="1:44" ht="19.5" thickBot="1">
      <c r="A14" s="394">
        <v>13</v>
      </c>
      <c r="B14" s="395"/>
      <c r="C14" s="413">
        <v>32</v>
      </c>
      <c r="D14" s="414"/>
      <c r="F14" s="7"/>
      <c r="G14" s="384"/>
      <c r="H14" s="380" t="s">
        <v>61</v>
      </c>
      <c r="I14" s="384"/>
      <c r="J14" s="25"/>
      <c r="K14" s="11"/>
      <c r="L14" s="25"/>
      <c r="M14" s="384"/>
      <c r="N14" s="380" t="s">
        <v>62</v>
      </c>
      <c r="O14" s="384"/>
      <c r="P14" s="25"/>
      <c r="Q14" s="11"/>
      <c r="R14" s="25"/>
      <c r="S14" s="384"/>
      <c r="T14" s="380" t="s">
        <v>49</v>
      </c>
      <c r="U14" s="384"/>
      <c r="V14" s="25"/>
      <c r="W14" s="400"/>
      <c r="X14" s="379" t="s">
        <v>1</v>
      </c>
      <c r="Y14" s="384"/>
      <c r="Z14" s="380" t="s">
        <v>57</v>
      </c>
      <c r="AA14" s="384"/>
      <c r="AB14" s="392" t="s">
        <v>0</v>
      </c>
      <c r="AD14" s="26" t="s">
        <v>1</v>
      </c>
      <c r="AE14" s="26"/>
      <c r="AF14" s="13" t="s">
        <v>10</v>
      </c>
      <c r="AG14" s="26"/>
      <c r="AH14" s="26" t="s">
        <v>0</v>
      </c>
      <c r="AI14" s="377"/>
      <c r="AJ14" s="26" t="s">
        <v>1</v>
      </c>
      <c r="AK14" s="26"/>
      <c r="AL14" s="26"/>
      <c r="AM14" s="26"/>
      <c r="AN14" s="26" t="s">
        <v>0</v>
      </c>
      <c r="AP14" s="260">
        <v>8</v>
      </c>
      <c r="AQ14" s="79"/>
      <c r="AR14" s="202"/>
    </row>
    <row r="15" spans="1:44" ht="15.75" thickBot="1">
      <c r="A15" s="394">
        <v>14</v>
      </c>
      <c r="B15" s="395"/>
      <c r="C15" s="415"/>
      <c r="D15" s="416"/>
      <c r="F15" s="1152"/>
      <c r="G15" s="1004"/>
      <c r="H15" s="1042"/>
      <c r="I15" s="1043"/>
      <c r="J15" s="16"/>
      <c r="K15" s="72"/>
      <c r="L15" s="1162"/>
      <c r="M15" s="1042"/>
      <c r="N15" s="1042"/>
      <c r="O15" s="1043"/>
      <c r="P15" s="16"/>
      <c r="Q15" s="72"/>
      <c r="R15" s="1162"/>
      <c r="S15" s="1042"/>
      <c r="T15" s="1042"/>
      <c r="U15" s="1043"/>
      <c r="V15" s="16"/>
      <c r="W15" s="400"/>
      <c r="X15" s="1162"/>
      <c r="Y15" s="1166"/>
      <c r="Z15" s="1157"/>
      <c r="AA15" s="1158"/>
      <c r="AB15" s="13"/>
      <c r="AD15" s="1179"/>
      <c r="AE15" s="1004"/>
      <c r="AF15" s="1005"/>
      <c r="AG15" s="1006"/>
      <c r="AH15" s="16"/>
      <c r="AI15" s="378"/>
      <c r="AJ15" s="1179"/>
      <c r="AK15" s="1010"/>
      <c r="AL15" s="1011"/>
      <c r="AM15" s="1012"/>
      <c r="AN15" s="16"/>
    </row>
    <row r="16" spans="1:44" ht="15.75" thickBot="1">
      <c r="A16" s="394">
        <v>15</v>
      </c>
      <c r="B16" s="395"/>
      <c r="C16" s="396"/>
      <c r="D16" s="395"/>
      <c r="F16" s="1153"/>
      <c r="G16" s="1164"/>
      <c r="H16" s="1164"/>
      <c r="I16" s="1165"/>
      <c r="J16" s="382"/>
      <c r="K16" s="72"/>
      <c r="L16" s="1163"/>
      <c r="M16" s="1164"/>
      <c r="N16" s="1164"/>
      <c r="O16" s="1165"/>
      <c r="P16" s="382"/>
      <c r="Q16" s="72"/>
      <c r="R16" s="1163"/>
      <c r="S16" s="1039"/>
      <c r="T16" s="1164"/>
      <c r="U16" s="1165"/>
      <c r="V16" s="382"/>
      <c r="W16" s="400"/>
      <c r="X16" s="1163"/>
      <c r="Y16" s="1166"/>
      <c r="Z16" s="1157"/>
      <c r="AA16" s="1158"/>
      <c r="AB16" s="241"/>
      <c r="AD16" s="1180"/>
      <c r="AE16" s="1181"/>
      <c r="AF16" s="1189"/>
      <c r="AG16" s="1199"/>
      <c r="AH16" s="16"/>
      <c r="AI16" s="378"/>
      <c r="AJ16" s="1180"/>
      <c r="AK16" s="1004"/>
      <c r="AL16" s="1005"/>
      <c r="AM16" s="1006"/>
      <c r="AN16" s="16"/>
    </row>
    <row r="17" spans="1:40" ht="15.75" thickBot="1">
      <c r="A17" s="394">
        <v>16</v>
      </c>
      <c r="B17" s="395"/>
      <c r="C17" s="396"/>
      <c r="D17" s="395"/>
      <c r="F17" s="7"/>
      <c r="G17" s="384"/>
      <c r="H17" s="380" t="s">
        <v>63</v>
      </c>
      <c r="I17" s="384"/>
      <c r="J17" s="25"/>
      <c r="K17" s="11"/>
      <c r="L17" s="25"/>
      <c r="M17" s="384"/>
      <c r="N17" s="380" t="s">
        <v>64</v>
      </c>
      <c r="O17" s="384"/>
      <c r="P17" s="25"/>
      <c r="Q17" s="11"/>
      <c r="R17" s="25"/>
      <c r="S17" s="384"/>
      <c r="T17" s="380" t="s">
        <v>58</v>
      </c>
      <c r="U17" s="384"/>
      <c r="V17" s="25"/>
      <c r="W17" s="400"/>
      <c r="X17" s="25"/>
      <c r="Y17" s="384"/>
      <c r="Z17" s="384"/>
      <c r="AA17" s="384"/>
      <c r="AB17" s="7"/>
      <c r="AD17" s="373"/>
      <c r="AE17" s="379"/>
      <c r="AF17" s="379"/>
      <c r="AG17" s="379"/>
      <c r="AH17" s="373"/>
      <c r="AI17" s="378"/>
      <c r="AJ17" s="417"/>
      <c r="AK17" s="417"/>
      <c r="AL17" s="417"/>
      <c r="AM17" s="417"/>
      <c r="AN17" s="417"/>
    </row>
    <row r="18" spans="1:40" ht="15.75" thickBot="1">
      <c r="A18" s="394">
        <v>17</v>
      </c>
      <c r="B18" s="395"/>
      <c r="C18" s="396"/>
      <c r="D18" s="395"/>
      <c r="F18" s="1152"/>
      <c r="G18" s="1042"/>
      <c r="H18" s="1042"/>
      <c r="I18" s="1043"/>
      <c r="J18" s="16"/>
      <c r="K18" s="72"/>
      <c r="L18" s="1162"/>
      <c r="M18" s="1042"/>
      <c r="N18" s="1042"/>
      <c r="O18" s="1043"/>
      <c r="P18" s="16"/>
      <c r="Q18" s="72"/>
      <c r="R18" s="1162"/>
      <c r="S18" s="1005"/>
      <c r="T18" s="1042"/>
      <c r="U18" s="1043"/>
      <c r="V18" s="16"/>
      <c r="W18" s="400"/>
      <c r="X18" s="25"/>
      <c r="Y18" s="384"/>
      <c r="Z18" s="384"/>
      <c r="AA18" s="384"/>
      <c r="AB18" s="7"/>
      <c r="AD18" s="1184"/>
      <c r="AE18" s="1185"/>
      <c r="AF18" s="1185"/>
      <c r="AG18" s="1185"/>
      <c r="AH18" s="27"/>
      <c r="AI18" s="378"/>
      <c r="AJ18" s="1186" t="s">
        <v>154</v>
      </c>
      <c r="AK18" s="1187"/>
      <c r="AL18" s="1187"/>
      <c r="AM18" s="1187"/>
      <c r="AN18" s="1188"/>
    </row>
    <row r="19" spans="1:40" ht="15.75" thickBot="1">
      <c r="A19" s="394">
        <v>18</v>
      </c>
      <c r="B19" s="395"/>
      <c r="C19" s="396"/>
      <c r="D19" s="395"/>
      <c r="F19" s="1153"/>
      <c r="G19" s="1164"/>
      <c r="H19" s="1164"/>
      <c r="I19" s="1165"/>
      <c r="J19" s="382"/>
      <c r="K19" s="72"/>
      <c r="L19" s="1163"/>
      <c r="M19" s="1164"/>
      <c r="N19" s="1164"/>
      <c r="O19" s="1165"/>
      <c r="P19" s="382"/>
      <c r="Q19" s="72"/>
      <c r="R19" s="1163"/>
      <c r="S19" s="1164"/>
      <c r="T19" s="1164"/>
      <c r="U19" s="1165"/>
      <c r="V19" s="382"/>
      <c r="W19" s="400"/>
      <c r="X19" s="25"/>
      <c r="Y19" s="384"/>
      <c r="Z19" s="384"/>
      <c r="AA19" s="384"/>
      <c r="AB19" s="7"/>
      <c r="AD19" s="1184"/>
      <c r="AE19" s="1185"/>
      <c r="AF19" s="1185"/>
      <c r="AG19" s="1185"/>
      <c r="AH19" s="242"/>
      <c r="AI19" s="378"/>
      <c r="AJ19" s="373"/>
      <c r="AK19" s="373"/>
      <c r="AL19" s="373"/>
      <c r="AM19" s="373"/>
      <c r="AN19" s="373"/>
    </row>
    <row r="20" spans="1:40" ht="15.75" thickBot="1">
      <c r="A20" s="394">
        <v>19</v>
      </c>
      <c r="B20" s="395"/>
      <c r="C20" s="396"/>
      <c r="D20" s="395"/>
      <c r="F20" s="7"/>
      <c r="G20" s="384"/>
      <c r="H20" s="380" t="s">
        <v>65</v>
      </c>
      <c r="I20" s="384"/>
      <c r="J20" s="25"/>
      <c r="K20" s="11"/>
      <c r="L20" s="25"/>
      <c r="M20" s="384"/>
      <c r="N20" s="380" t="s">
        <v>66</v>
      </c>
      <c r="O20" s="384"/>
      <c r="P20" s="25"/>
      <c r="Q20" s="11"/>
      <c r="R20" s="25"/>
      <c r="S20" s="384"/>
      <c r="T20" s="380" t="s">
        <v>59</v>
      </c>
      <c r="U20" s="384"/>
      <c r="V20" s="25"/>
      <c r="W20" s="400"/>
      <c r="X20" s="25"/>
      <c r="Y20" s="384"/>
      <c r="Z20" s="380" t="s">
        <v>48</v>
      </c>
      <c r="AA20" s="384"/>
      <c r="AB20" s="7"/>
      <c r="AD20" s="373"/>
      <c r="AE20" s="379"/>
      <c r="AF20" s="380"/>
      <c r="AG20" s="379"/>
      <c r="AH20" s="373"/>
      <c r="AI20" s="378"/>
      <c r="AJ20" s="1179"/>
      <c r="AK20" s="1004"/>
      <c r="AL20" s="1042"/>
      <c r="AM20" s="1043"/>
      <c r="AN20" s="16"/>
    </row>
    <row r="21" spans="1:40" ht="15.75" thickBot="1">
      <c r="A21" s="394">
        <v>20</v>
      </c>
      <c r="B21" s="395"/>
      <c r="C21" s="396"/>
      <c r="D21" s="395"/>
      <c r="F21" s="1152"/>
      <c r="G21" s="1042"/>
      <c r="H21" s="1042"/>
      <c r="I21" s="1043"/>
      <c r="J21" s="16"/>
      <c r="K21" s="72"/>
      <c r="L21" s="1162"/>
      <c r="M21" s="1042"/>
      <c r="N21" s="1042"/>
      <c r="O21" s="1043"/>
      <c r="P21" s="16"/>
      <c r="Q21" s="72"/>
      <c r="R21" s="1162"/>
      <c r="S21" s="1005"/>
      <c r="T21" s="1042"/>
      <c r="U21" s="1043"/>
      <c r="V21" s="16"/>
      <c r="W21" s="400"/>
      <c r="X21" s="1162"/>
      <c r="Y21" s="1166"/>
      <c r="Z21" s="1157"/>
      <c r="AA21" s="1158"/>
      <c r="AB21" s="13"/>
      <c r="AD21" s="1179"/>
      <c r="AE21" s="1004"/>
      <c r="AF21" s="1005"/>
      <c r="AG21" s="1006"/>
      <c r="AH21" s="381"/>
      <c r="AI21" s="378"/>
      <c r="AJ21" s="1180"/>
      <c r="AK21" s="1181"/>
      <c r="AL21" s="1182"/>
      <c r="AM21" s="1183"/>
      <c r="AN21" s="382"/>
    </row>
    <row r="22" spans="1:40" ht="15.75" thickBot="1">
      <c r="A22" s="394">
        <v>21</v>
      </c>
      <c r="B22" s="395"/>
      <c r="C22" s="396"/>
      <c r="D22" s="395"/>
      <c r="F22" s="1153"/>
      <c r="G22" s="1164"/>
      <c r="H22" s="1164"/>
      <c r="I22" s="1165"/>
      <c r="J22" s="382"/>
      <c r="K22" s="72"/>
      <c r="L22" s="1163"/>
      <c r="M22" s="1164"/>
      <c r="N22" s="1164"/>
      <c r="O22" s="1165"/>
      <c r="P22" s="382"/>
      <c r="Q22" s="72"/>
      <c r="R22" s="1163"/>
      <c r="S22" s="1164"/>
      <c r="T22" s="1164"/>
      <c r="U22" s="1165"/>
      <c r="V22" s="382"/>
      <c r="W22" s="400"/>
      <c r="X22" s="1163"/>
      <c r="Y22" s="1166"/>
      <c r="Z22" s="1157"/>
      <c r="AA22" s="1158"/>
      <c r="AB22" s="241"/>
      <c r="AD22" s="1180"/>
      <c r="AE22" s="1181"/>
      <c r="AF22" s="1189"/>
      <c r="AG22" s="1189"/>
      <c r="AH22" s="383"/>
      <c r="AI22" s="378"/>
      <c r="AJ22" s="373"/>
      <c r="AK22" s="373"/>
      <c r="AL22" s="373"/>
      <c r="AM22" s="373"/>
      <c r="AN22" s="373"/>
    </row>
    <row r="23" spans="1:40" ht="19.5" thickBot="1">
      <c r="A23" s="394">
        <v>22</v>
      </c>
      <c r="B23" s="395"/>
      <c r="C23" s="396"/>
      <c r="D23" s="395"/>
      <c r="F23" s="7"/>
      <c r="G23" s="384"/>
      <c r="H23" s="380" t="s">
        <v>67</v>
      </c>
      <c r="I23" s="384"/>
      <c r="J23" s="25"/>
      <c r="K23" s="11"/>
      <c r="L23" s="25"/>
      <c r="M23" s="384"/>
      <c r="N23" s="380" t="s">
        <v>68</v>
      </c>
      <c r="O23" s="384"/>
      <c r="P23" s="25"/>
      <c r="Q23" s="11"/>
      <c r="R23" s="25"/>
      <c r="S23" s="384"/>
      <c r="T23" s="380" t="s">
        <v>60</v>
      </c>
      <c r="U23" s="384"/>
      <c r="V23" s="25"/>
      <c r="W23" s="418"/>
      <c r="X23" s="384"/>
      <c r="Y23" s="384"/>
      <c r="Z23" s="384"/>
      <c r="AA23" s="384"/>
      <c r="AB23" s="4"/>
      <c r="AD23" s="25"/>
      <c r="AE23" s="384"/>
      <c r="AF23" s="384"/>
      <c r="AG23" s="384"/>
      <c r="AH23" s="25"/>
      <c r="AI23" s="385"/>
      <c r="AJ23" s="1176" t="s">
        <v>155</v>
      </c>
      <c r="AK23" s="1177"/>
      <c r="AL23" s="1177"/>
      <c r="AM23" s="1177"/>
      <c r="AN23" s="1178"/>
    </row>
    <row r="24" spans="1:40" ht="15.75" thickBot="1">
      <c r="A24" s="394">
        <v>23</v>
      </c>
      <c r="B24" s="395"/>
      <c r="C24" s="396"/>
      <c r="D24" s="395"/>
      <c r="F24" s="1152"/>
      <c r="G24" s="1042"/>
      <c r="H24" s="1042"/>
      <c r="I24" s="1043"/>
      <c r="J24" s="16"/>
      <c r="K24" s="72"/>
      <c r="L24" s="1162"/>
      <c r="M24" s="1042"/>
      <c r="N24" s="1042"/>
      <c r="O24" s="1043"/>
      <c r="P24" s="16"/>
      <c r="Q24" s="72"/>
      <c r="R24" s="1162"/>
      <c r="S24" s="1005"/>
      <c r="T24" s="1042"/>
      <c r="U24" s="1043"/>
      <c r="V24" s="16"/>
      <c r="W24" s="400"/>
      <c r="X24" s="384"/>
      <c r="Y24" s="384"/>
      <c r="Z24" s="384"/>
      <c r="AA24" s="384"/>
      <c r="AB24" s="4"/>
      <c r="AD24" s="25"/>
      <c r="AE24" s="25"/>
      <c r="AF24" s="25"/>
      <c r="AG24" s="25"/>
      <c r="AH24" s="25"/>
      <c r="AI24" s="386"/>
      <c r="AJ24" s="373"/>
      <c r="AK24" s="373"/>
      <c r="AL24" s="373"/>
      <c r="AM24" s="373"/>
      <c r="AN24" s="373"/>
    </row>
    <row r="25" spans="1:40" ht="15.75" thickBot="1">
      <c r="A25" s="419">
        <v>24</v>
      </c>
      <c r="B25" s="414"/>
      <c r="C25" s="420"/>
      <c r="D25" s="414"/>
      <c r="F25" s="1153"/>
      <c r="G25" s="1038"/>
      <c r="H25" s="1164"/>
      <c r="I25" s="1165"/>
      <c r="J25" s="382"/>
      <c r="K25" s="72"/>
      <c r="L25" s="1163"/>
      <c r="M25" s="1038"/>
      <c r="N25" s="1164"/>
      <c r="O25" s="1165"/>
      <c r="P25" s="382"/>
      <c r="Q25" s="72"/>
      <c r="R25" s="1163"/>
      <c r="S25" s="1038"/>
      <c r="T25" s="1164"/>
      <c r="U25" s="1165"/>
      <c r="V25" s="382"/>
      <c r="W25" s="400"/>
      <c r="X25" s="384"/>
      <c r="Y25" s="384"/>
      <c r="Z25" s="384"/>
      <c r="AA25" s="384"/>
      <c r="AB25" s="4"/>
      <c r="AD25" s="25"/>
      <c r="AE25" s="25"/>
      <c r="AF25" s="25"/>
      <c r="AG25" s="25"/>
      <c r="AH25" s="25"/>
      <c r="AI25" s="386"/>
      <c r="AJ25" s="1179"/>
      <c r="AK25" s="1004"/>
      <c r="AL25" s="1042"/>
      <c r="AM25" s="1043"/>
      <c r="AN25" s="16"/>
    </row>
    <row r="26" spans="1:40" ht="15.75" thickBot="1">
      <c r="AD26" s="25"/>
      <c r="AE26" s="25"/>
      <c r="AF26" s="25"/>
      <c r="AG26" s="25"/>
      <c r="AH26" s="25"/>
      <c r="AI26" s="386"/>
      <c r="AJ26" s="1180"/>
      <c r="AK26" s="1181"/>
      <c r="AL26" s="1182"/>
      <c r="AM26" s="1183"/>
      <c r="AN26" s="382"/>
    </row>
  </sheetData>
  <mergeCells count="115">
    <mergeCell ref="AJ23:AN23"/>
    <mergeCell ref="AJ25:AJ26"/>
    <mergeCell ref="AK25:AM25"/>
    <mergeCell ref="AK26:AM26"/>
    <mergeCell ref="AP5:AR5"/>
    <mergeCell ref="AD18:AD19"/>
    <mergeCell ref="AE18:AG18"/>
    <mergeCell ref="AJ18:AN18"/>
    <mergeCell ref="AE19:AG19"/>
    <mergeCell ref="AJ20:AJ21"/>
    <mergeCell ref="AK20:AM20"/>
    <mergeCell ref="AD21:AD22"/>
    <mergeCell ref="AE21:AG21"/>
    <mergeCell ref="AK21:AM21"/>
    <mergeCell ref="AE22:AG22"/>
    <mergeCell ref="AD12:AN12"/>
    <mergeCell ref="AE13:AG13"/>
    <mergeCell ref="AJ13:AN13"/>
    <mergeCell ref="AD15:AD16"/>
    <mergeCell ref="AE15:AG15"/>
    <mergeCell ref="AJ15:AJ16"/>
    <mergeCell ref="AK15:AM15"/>
    <mergeCell ref="AE16:AG16"/>
    <mergeCell ref="AK16:AM16"/>
    <mergeCell ref="F24:F25"/>
    <mergeCell ref="G24:I24"/>
    <mergeCell ref="L24:L25"/>
    <mergeCell ref="M24:O24"/>
    <mergeCell ref="R24:R25"/>
    <mergeCell ref="S24:U24"/>
    <mergeCell ref="G25:I25"/>
    <mergeCell ref="M25:O25"/>
    <mergeCell ref="S25:U25"/>
    <mergeCell ref="X21:X22"/>
    <mergeCell ref="Y21:AA21"/>
    <mergeCell ref="G22:I22"/>
    <mergeCell ref="M22:O22"/>
    <mergeCell ref="S22:U22"/>
    <mergeCell ref="Y22:AA22"/>
    <mergeCell ref="S21:U21"/>
    <mergeCell ref="F21:F22"/>
    <mergeCell ref="G21:I21"/>
    <mergeCell ref="L21:L22"/>
    <mergeCell ref="M21:O21"/>
    <mergeCell ref="R21:R22"/>
    <mergeCell ref="F18:F19"/>
    <mergeCell ref="G18:I18"/>
    <mergeCell ref="L18:L19"/>
    <mergeCell ref="M18:O18"/>
    <mergeCell ref="R18:R19"/>
    <mergeCell ref="S18:U18"/>
    <mergeCell ref="G19:I19"/>
    <mergeCell ref="M19:O19"/>
    <mergeCell ref="S19:U19"/>
    <mergeCell ref="X15:X16"/>
    <mergeCell ref="Y15:AA15"/>
    <mergeCell ref="G16:I16"/>
    <mergeCell ref="M16:O16"/>
    <mergeCell ref="S16:U16"/>
    <mergeCell ref="Y16:AA16"/>
    <mergeCell ref="M13:O13"/>
    <mergeCell ref="S13:U13"/>
    <mergeCell ref="F15:F16"/>
    <mergeCell ref="G15:I15"/>
    <mergeCell ref="L15:L16"/>
    <mergeCell ref="M15:O15"/>
    <mergeCell ref="R15:R16"/>
    <mergeCell ref="S15:U15"/>
    <mergeCell ref="F12:F13"/>
    <mergeCell ref="L12:L13"/>
    <mergeCell ref="M12:O12"/>
    <mergeCell ref="R12:R13"/>
    <mergeCell ref="S12:U12"/>
    <mergeCell ref="X9:X10"/>
    <mergeCell ref="Y9:AA9"/>
    <mergeCell ref="M10:O10"/>
    <mergeCell ref="S10:U10"/>
    <mergeCell ref="Y10:AA10"/>
    <mergeCell ref="F9:F10"/>
    <mergeCell ref="L9:L10"/>
    <mergeCell ref="M9:O9"/>
    <mergeCell ref="R9:R10"/>
    <mergeCell ref="S9:U9"/>
    <mergeCell ref="F6:F7"/>
    <mergeCell ref="L6:L7"/>
    <mergeCell ref="M6:O6"/>
    <mergeCell ref="R6:R7"/>
    <mergeCell ref="S6:U6"/>
    <mergeCell ref="M7:O7"/>
    <mergeCell ref="S7:U7"/>
    <mergeCell ref="G1:I1"/>
    <mergeCell ref="M1:O1"/>
    <mergeCell ref="S1:U1"/>
    <mergeCell ref="Y1:AA1"/>
    <mergeCell ref="F3:F4"/>
    <mergeCell ref="L3:L4"/>
    <mergeCell ref="M3:O3"/>
    <mergeCell ref="R3:R4"/>
    <mergeCell ref="S3:U3"/>
    <mergeCell ref="X3:X4"/>
    <mergeCell ref="Y3:AA3"/>
    <mergeCell ref="M4:O4"/>
    <mergeCell ref="S4:U4"/>
    <mergeCell ref="Y4:AA4"/>
    <mergeCell ref="AE1:AG1"/>
    <mergeCell ref="AK4:AM4"/>
    <mergeCell ref="AD3:AD4"/>
    <mergeCell ref="AE3:AG3"/>
    <mergeCell ref="AE4:AG4"/>
    <mergeCell ref="AJ6:AJ7"/>
    <mergeCell ref="AK6:AM6"/>
    <mergeCell ref="AK7:AM7"/>
    <mergeCell ref="AD9:AD10"/>
    <mergeCell ref="AE9:AG9"/>
    <mergeCell ref="AE10:AG10"/>
  </mergeCells>
  <conditionalFormatting sqref="AR7">
    <cfRule type="expression" dxfId="31" priority="32">
      <formula>(OR(AL1048572=9,AL1048572=8,AL1048572=7,AL1048572=6,AL1048572=5,AL1048572=4,AL1048572=3,AL1048572=2,AL1048572=1))</formula>
    </cfRule>
  </conditionalFormatting>
  <conditionalFormatting sqref="AR8">
    <cfRule type="expression" dxfId="30" priority="31">
      <formula>(OR($AJ$3=9,$AJ$3=8,$AJ$3=7,$AJ$3=6,$AJ$3=5,$AJ$3=4,$AJ$3=3,$AJ$3=2))</formula>
    </cfRule>
  </conditionalFormatting>
  <conditionalFormatting sqref="AR10">
    <cfRule type="expression" dxfId="29" priority="30">
      <formula>(OR(AL1048572=9,AL1048572=8,AL1048572=7,AL1048572=6,AL1048572=5,AL1048572=4))</formula>
    </cfRule>
  </conditionalFormatting>
  <conditionalFormatting sqref="AR11">
    <cfRule type="expression" dxfId="28" priority="29">
      <formula>(OR(AL1048572=9,AL1048572=8,AL1048572=7,AL1048572=6,AL1048572=5))</formula>
    </cfRule>
  </conditionalFormatting>
  <conditionalFormatting sqref="AR12">
    <cfRule type="expression" dxfId="27" priority="28">
      <formula>(OR(AL1048572=9,AL1048572=8,AL1048572=7,AL1048572=6))</formula>
    </cfRule>
  </conditionalFormatting>
  <conditionalFormatting sqref="AR13">
    <cfRule type="expression" dxfId="26" priority="27">
      <formula>(OR(AL1048572=9,AL1048572=8,AL1048572=7))</formula>
    </cfRule>
  </conditionalFormatting>
  <conditionalFormatting sqref="AR14">
    <cfRule type="expression" dxfId="25" priority="26">
      <formula>(OR(AL1048572=9,AL1048572=8))</formula>
    </cfRule>
  </conditionalFormatting>
  <conditionalFormatting sqref="AR9">
    <cfRule type="expression" dxfId="24" priority="25">
      <formula>-(OR(AL1048572=9,AL1048572=8,AL1048572=7,AL1048572=6,AL1048572=5,AL1048572=4,AL1048572=3))</formula>
    </cfRule>
  </conditionalFormatting>
  <conditionalFormatting sqref="AP7:AP14">
    <cfRule type="expression" dxfId="23" priority="24">
      <formula>"SI(OU(AG3=9;AG3=8;AG3=7;AG3=6;AG3=5;AG3=4;AG3=3;AG3=2))"</formula>
    </cfRule>
  </conditionalFormatting>
  <conditionalFormatting sqref="AP7">
    <cfRule type="expression" dxfId="22" priority="23">
      <formula>(OR(AL1048572=9,AL1048572=8,AL1048572=7,AL1048572=6,AL1048572=5,AL1048572=4,AL1048572=3,AL1048572=2,AL1048572=1))</formula>
    </cfRule>
  </conditionalFormatting>
  <conditionalFormatting sqref="AP8">
    <cfRule type="expression" dxfId="21" priority="22">
      <formula>(OR(AL1048572=9,AL1048572=8,AL1048572=7,AL1048572=6,AL1048572=5,AL1048572=4,AL1048572=3,AL1048572=2))</formula>
    </cfRule>
  </conditionalFormatting>
  <conditionalFormatting sqref="AP9">
    <cfRule type="expression" dxfId="20" priority="21">
      <formula>(OR(AL1048572=9,AL1048572=8,AL1048572=7,AL1048572=6,AL1048572=5,AL1048572=4,AL1048572=3))</formula>
    </cfRule>
  </conditionalFormatting>
  <conditionalFormatting sqref="AP10">
    <cfRule type="expression" dxfId="19" priority="20">
      <formula>(OR(AL1048572=9,AL1048572=8,AL1048572=7,AL1048572=6,AL1048572=5,AL1048572=4))</formula>
    </cfRule>
  </conditionalFormatting>
  <conditionalFormatting sqref="AP11">
    <cfRule type="expression" dxfId="18" priority="19">
      <formula>(OR(AL1048572=9,AL1048572=8,AL1048572=7,AL1048572=6,AL1048572=5))</formula>
    </cfRule>
  </conditionalFormatting>
  <conditionalFormatting sqref="AP12">
    <cfRule type="expression" dxfId="17" priority="18">
      <formula>(OR(AL1048572=9,AL1048572=8,AL1048572=7,AL1048572=6))</formula>
    </cfRule>
  </conditionalFormatting>
  <conditionalFormatting sqref="AP13">
    <cfRule type="expression" dxfId="16" priority="17">
      <formula>(OR(AL1048572=9,AL1048572=8,AL1048572=7))</formula>
    </cfRule>
  </conditionalFormatting>
  <conditionalFormatting sqref="AP14">
    <cfRule type="expression" dxfId="15" priority="16">
      <formula>(OR(AL1048572=9,AL1048572=8))</formula>
    </cfRule>
  </conditionalFormatting>
  <conditionalFormatting sqref="AR7">
    <cfRule type="expression" dxfId="14" priority="15">
      <formula>(OR(#REF!=8,#REF!=7,#REF!=6,#REF!=5,#REF!=4,#REF!=3,#REF!=2))</formula>
    </cfRule>
  </conditionalFormatting>
  <conditionalFormatting sqref="AR8">
    <cfRule type="expression" dxfId="13" priority="14">
      <formula>(OR(#REF!=9,#REF!=8,#REF!=7,#REF!=6,#REF!=5,#REF!=4,#REF!=3,#REF!=2))</formula>
    </cfRule>
  </conditionalFormatting>
  <conditionalFormatting sqref="AR9">
    <cfRule type="expression" dxfId="12" priority="13">
      <formula>(OR(#REF!=9,#REF!=8,#REF!=7,#REF!=6,#REF!=5,#REF!=4,#REF!=3))</formula>
    </cfRule>
  </conditionalFormatting>
  <conditionalFormatting sqref="AR10:AR11">
    <cfRule type="expression" dxfId="11" priority="12">
      <formula>(OR(#REF!=9,#REF!=8,#REF!=7,#REF!=6,#REF!=5,#REF!=4))</formula>
    </cfRule>
  </conditionalFormatting>
  <conditionalFormatting sqref="AR11">
    <cfRule type="expression" dxfId="10" priority="11">
      <formula>(OR(#REF!=9,#REF!=8,#REF!=7,#REF!=6,#REF!=5))</formula>
    </cfRule>
  </conditionalFormatting>
  <conditionalFormatting sqref="AR12">
    <cfRule type="expression" dxfId="9" priority="10">
      <formula>(OR(#REF!=9,#REF!=8,#REF!=7,#REF!=6))</formula>
    </cfRule>
  </conditionalFormatting>
  <conditionalFormatting sqref="AR13">
    <cfRule type="expression" dxfId="8" priority="9">
      <formula>(OR(#REF!=9,#REF!=8,#REF!=7))</formula>
    </cfRule>
  </conditionalFormatting>
  <conditionalFormatting sqref="AR14 AP14">
    <cfRule type="expression" dxfId="7" priority="8">
      <formula>(OR(#REF!=9,#REF!=8))</formula>
    </cfRule>
  </conditionalFormatting>
  <conditionalFormatting sqref="AP7">
    <cfRule type="expression" dxfId="6" priority="7">
      <formula>(OR(#REF!=9,#REF!=8,#REF!=7,#REF!=6,#REF!=5,#REF!=4,#REF!=3,#REF!=2,#REF!=1))</formula>
    </cfRule>
  </conditionalFormatting>
  <conditionalFormatting sqref="AP8">
    <cfRule type="expression" dxfId="5" priority="6">
      <formula>(OR(#REF!=9,#REF!=8,#REF!=7,#REF!=6,#REF!=5,#REF!=4,#REF!=3,#REF!=2))</formula>
    </cfRule>
  </conditionalFormatting>
  <conditionalFormatting sqref="AP9">
    <cfRule type="expression" dxfId="4" priority="5">
      <formula>(OR(#REF!=9,#REF!=8,#REF!=7,#REF!=6,#REF!=5,#REF!=4,#REF!=3))</formula>
    </cfRule>
  </conditionalFormatting>
  <conditionalFormatting sqref="AP10">
    <cfRule type="expression" dxfId="3" priority="4">
      <formula>(OR(#REF!=9,#REF!=8,#REF!=7,#REF!=6,#REF!=5,#REF!=4))</formula>
    </cfRule>
  </conditionalFormatting>
  <conditionalFormatting sqref="AP11">
    <cfRule type="expression" dxfId="2" priority="3">
      <formula>(OR(#REF!=9,#REF!=8,#REF!=7,#REF!=6,#REF!=5))</formula>
    </cfRule>
  </conditionalFormatting>
  <conditionalFormatting sqref="AP12">
    <cfRule type="expression" dxfId="1" priority="2">
      <formula>(OR(#REF!=9,#REF!=8,#REF!=7,#REF!=6))</formula>
    </cfRule>
  </conditionalFormatting>
  <conditionalFormatting sqref="AP13">
    <cfRule type="expression" dxfId="0" priority="1">
      <formula>(OR(#REF!=9,#REF!=8,#REF!=7))</formula>
    </cfRule>
  </conditionalFormatting>
  <pageMargins left="0.19685039370078741" right="0.19685039370078741" top="0.27" bottom="0.59055118110236227" header="0.14000000000000001" footer="0.31496062992125984"/>
  <pageSetup paperSize="9" scale="155" orientation="portrait" horizontalDpi="4294967293" r:id="rId1"/>
  <colBreaks count="1" manualBreakCount="1">
    <brk id="5" max="2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D110"/>
  <sheetViews>
    <sheetView zoomScale="70" zoomScaleNormal="70" workbookViewId="0">
      <selection activeCell="S36" sqref="S36"/>
    </sheetView>
  </sheetViews>
  <sheetFormatPr baseColWidth="10" defaultRowHeight="15"/>
  <cols>
    <col min="1" max="1" width="11.42578125" style="14"/>
    <col min="2" max="17" width="8.7109375" style="14" customWidth="1"/>
    <col min="18" max="18" width="16" style="60" customWidth="1"/>
    <col min="19" max="19" width="11.42578125" style="60"/>
    <col min="20" max="20" width="11.42578125" style="14"/>
    <col min="21" max="21" width="14" style="660" customWidth="1"/>
    <col min="22" max="22" width="24.7109375" style="660" customWidth="1"/>
    <col min="23" max="23" width="24.85546875" style="660" customWidth="1"/>
    <col min="24" max="24" width="16.7109375" style="660" customWidth="1"/>
    <col min="25" max="16384" width="11.42578125" style="14"/>
  </cols>
  <sheetData>
    <row r="1" spans="1:30" s="653" customFormat="1" ht="30" customHeight="1">
      <c r="G1" s="653" t="s">
        <v>312</v>
      </c>
      <c r="R1" s="661"/>
      <c r="S1" s="661"/>
      <c r="U1" s="660"/>
      <c r="V1" s="653" t="s">
        <v>312</v>
      </c>
    </row>
    <row r="2" spans="1:30" ht="28.5" customHeight="1">
      <c r="A2" s="554"/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662"/>
      <c r="S2" s="662"/>
      <c r="T2" s="554"/>
      <c r="Y2" s="554"/>
      <c r="Z2" s="554"/>
      <c r="AA2" s="554"/>
      <c r="AB2" s="554"/>
      <c r="AC2" s="554"/>
      <c r="AD2" s="554"/>
    </row>
    <row r="3" spans="1:30" ht="20.25">
      <c r="A3" s="554"/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70"/>
      <c r="S3" s="662"/>
      <c r="T3" s="554"/>
      <c r="Y3" s="554"/>
      <c r="Z3" s="554"/>
      <c r="AA3" s="554"/>
      <c r="AB3" s="554"/>
      <c r="AC3" s="554"/>
      <c r="AD3" s="554"/>
    </row>
    <row r="4" spans="1:30" ht="27" thickBot="1">
      <c r="A4" s="554"/>
      <c r="B4" s="571" t="s">
        <v>311</v>
      </c>
      <c r="C4" s="571" t="s">
        <v>278</v>
      </c>
      <c r="D4" s="571" t="s">
        <v>279</v>
      </c>
      <c r="E4" s="571" t="s">
        <v>280</v>
      </c>
      <c r="F4" s="571" t="s">
        <v>283</v>
      </c>
      <c r="G4" s="571" t="s">
        <v>282</v>
      </c>
      <c r="H4" s="571" t="s">
        <v>281</v>
      </c>
      <c r="I4" s="572">
        <v>425</v>
      </c>
      <c r="J4" s="572">
        <v>415</v>
      </c>
      <c r="K4" s="572">
        <v>405</v>
      </c>
      <c r="L4" s="572">
        <v>395</v>
      </c>
      <c r="M4" s="572">
        <v>385</v>
      </c>
      <c r="N4" s="572">
        <v>375</v>
      </c>
      <c r="O4" s="572">
        <v>365</v>
      </c>
      <c r="P4" s="572">
        <v>355</v>
      </c>
      <c r="Q4" s="572">
        <v>345</v>
      </c>
      <c r="R4" s="663">
        <v>335</v>
      </c>
      <c r="S4" s="662"/>
      <c r="T4" s="554"/>
      <c r="U4" s="447"/>
      <c r="V4" s="447"/>
      <c r="W4" s="447"/>
      <c r="X4" s="447"/>
      <c r="Y4" s="554"/>
      <c r="Z4" s="554"/>
      <c r="AA4" s="554"/>
      <c r="AB4" s="554"/>
      <c r="AC4" s="554"/>
      <c r="AD4" s="554"/>
    </row>
    <row r="5" spans="1:30" ht="21" thickBot="1">
      <c r="A5" s="554"/>
      <c r="B5" s="576"/>
      <c r="C5" s="576"/>
      <c r="D5" s="576"/>
      <c r="E5" s="576"/>
      <c r="F5" s="576"/>
      <c r="G5" s="554"/>
      <c r="H5" s="576"/>
      <c r="I5" s="576"/>
      <c r="J5" s="576"/>
      <c r="K5" s="572"/>
      <c r="L5" s="572"/>
      <c r="M5" s="572"/>
      <c r="N5" s="554"/>
      <c r="O5" s="554"/>
      <c r="P5" s="554"/>
      <c r="Q5" s="554"/>
      <c r="R5" s="662"/>
      <c r="S5" s="662"/>
      <c r="T5" s="554"/>
      <c r="U5" s="669" t="s">
        <v>313</v>
      </c>
      <c r="V5" s="1203" t="s">
        <v>314</v>
      </c>
      <c r="W5" s="1204"/>
      <c r="X5" s="670" t="s">
        <v>315</v>
      </c>
      <c r="Y5" s="554"/>
      <c r="Z5" s="554"/>
      <c r="AA5" s="554"/>
      <c r="AB5" s="554"/>
      <c r="AC5" s="554"/>
      <c r="AD5" s="554"/>
    </row>
    <row r="6" spans="1:30" ht="20.25">
      <c r="A6" s="554"/>
      <c r="B6" s="559"/>
      <c r="C6" s="559"/>
      <c r="D6" s="559"/>
      <c r="E6" s="559"/>
      <c r="F6" s="559"/>
      <c r="G6" s="554"/>
      <c r="H6" s="559"/>
      <c r="I6" s="559"/>
      <c r="J6" s="559"/>
      <c r="K6" s="559"/>
      <c r="L6" s="559"/>
      <c r="M6" s="559"/>
      <c r="N6" s="559"/>
      <c r="O6" s="559"/>
      <c r="P6" s="559"/>
      <c r="Q6" s="559"/>
      <c r="R6" s="664"/>
      <c r="S6" s="662"/>
      <c r="T6" s="554"/>
      <c r="U6" s="673"/>
      <c r="V6" s="674"/>
      <c r="W6" s="674"/>
      <c r="X6" s="675"/>
      <c r="Y6" s="554"/>
      <c r="Z6" s="554"/>
      <c r="AA6" s="554"/>
      <c r="AB6" s="554"/>
      <c r="AC6" s="554"/>
      <c r="AD6" s="554"/>
    </row>
    <row r="7" spans="1:30" ht="20.25">
      <c r="A7" s="554"/>
      <c r="B7" s="1217" t="s">
        <v>294</v>
      </c>
      <c r="C7" s="1218"/>
      <c r="D7" s="1218"/>
      <c r="E7" s="1218"/>
      <c r="F7" s="1218"/>
      <c r="G7" s="1218"/>
      <c r="H7" s="1218"/>
      <c r="I7" s="1218"/>
      <c r="J7" s="1218"/>
      <c r="K7" s="1218"/>
      <c r="L7" s="1218"/>
      <c r="M7" s="1218"/>
      <c r="N7" s="1218"/>
      <c r="O7" s="1218"/>
      <c r="P7" s="1218"/>
      <c r="Q7" s="1218"/>
      <c r="R7" s="1219"/>
      <c r="S7" s="662"/>
      <c r="T7" s="554"/>
      <c r="U7" s="676">
        <v>335</v>
      </c>
      <c r="V7" s="671"/>
      <c r="W7" s="671"/>
      <c r="X7" s="677">
        <v>8</v>
      </c>
      <c r="Y7" s="554"/>
      <c r="Z7" s="554"/>
      <c r="AA7" s="554"/>
      <c r="AB7" s="554"/>
      <c r="AC7" s="554"/>
      <c r="AD7" s="554"/>
    </row>
    <row r="8" spans="1:30" ht="20.25">
      <c r="A8" s="554"/>
      <c r="B8" s="1234" t="s">
        <v>295</v>
      </c>
      <c r="C8" s="1235"/>
      <c r="D8" s="1235"/>
      <c r="E8" s="1235"/>
      <c r="F8" s="1235"/>
      <c r="G8" s="1236"/>
      <c r="H8" s="665" t="s">
        <v>296</v>
      </c>
      <c r="I8" s="1252" t="s">
        <v>210</v>
      </c>
      <c r="J8" s="1253"/>
      <c r="K8" s="1253"/>
      <c r="L8" s="1253"/>
      <c r="M8" s="1253"/>
      <c r="N8" s="1253"/>
      <c r="O8" s="1253"/>
      <c r="P8" s="1253"/>
      <c r="Q8" s="1253"/>
      <c r="R8" s="1254"/>
      <c r="S8" s="662"/>
      <c r="T8" s="554"/>
      <c r="U8" s="676"/>
      <c r="V8" s="671"/>
      <c r="W8" s="671"/>
      <c r="X8" s="677"/>
      <c r="Y8" s="554"/>
      <c r="Z8" s="554"/>
      <c r="AA8" s="554"/>
      <c r="AB8" s="554"/>
      <c r="AC8" s="554"/>
      <c r="AD8" s="554"/>
    </row>
    <row r="9" spans="1:30" ht="20.25">
      <c r="A9" s="554"/>
      <c r="B9" s="654"/>
      <c r="C9" s="654"/>
      <c r="D9" s="654"/>
      <c r="E9" s="654"/>
      <c r="F9" s="654"/>
      <c r="G9" s="554"/>
      <c r="H9" s="654"/>
      <c r="I9" s="654"/>
      <c r="J9" s="654"/>
      <c r="K9" s="654"/>
      <c r="L9" s="654"/>
      <c r="M9" s="654"/>
      <c r="N9" s="654"/>
      <c r="O9" s="654"/>
      <c r="P9" s="654"/>
      <c r="Q9" s="654"/>
      <c r="R9" s="664"/>
      <c r="S9" s="662"/>
      <c r="T9" s="554"/>
      <c r="U9" s="676">
        <v>345</v>
      </c>
      <c r="V9" s="672" t="s">
        <v>316</v>
      </c>
      <c r="W9" s="671"/>
      <c r="X9" s="677">
        <v>7</v>
      </c>
      <c r="Y9" s="554"/>
      <c r="Z9" s="554"/>
      <c r="AA9" s="554"/>
      <c r="AB9" s="554"/>
      <c r="AC9" s="554"/>
      <c r="AD9" s="554"/>
    </row>
    <row r="10" spans="1:30" ht="20.25">
      <c r="A10" s="554"/>
      <c r="B10" s="375"/>
      <c r="C10" s="375"/>
      <c r="D10" s="375"/>
      <c r="E10" s="375"/>
      <c r="F10" s="375"/>
      <c r="G10" s="554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597"/>
      <c r="S10" s="662"/>
      <c r="T10" s="554"/>
      <c r="U10" s="676"/>
      <c r="V10" s="671"/>
      <c r="W10" s="671"/>
      <c r="X10" s="677"/>
      <c r="Y10" s="554"/>
      <c r="Z10" s="554"/>
      <c r="AA10" s="554"/>
      <c r="AB10" s="554"/>
      <c r="AC10" s="554"/>
      <c r="AD10" s="554"/>
    </row>
    <row r="11" spans="1:30" ht="20.25">
      <c r="A11" s="554"/>
      <c r="B11" s="1255" t="s">
        <v>212</v>
      </c>
      <c r="C11" s="1239"/>
      <c r="D11" s="1239"/>
      <c r="E11" s="1239"/>
      <c r="F11" s="1239"/>
      <c r="G11" s="1239"/>
      <c r="H11" s="1239"/>
      <c r="I11" s="1239"/>
      <c r="J11" s="1239"/>
      <c r="K11" s="1239"/>
      <c r="L11" s="1239"/>
      <c r="M11" s="1239"/>
      <c r="N11" s="1239"/>
      <c r="O11" s="1239"/>
      <c r="P11" s="1239"/>
      <c r="Q11" s="1239"/>
      <c r="R11" s="1240"/>
      <c r="S11" s="662"/>
      <c r="T11" s="554"/>
      <c r="U11" s="676">
        <v>355</v>
      </c>
      <c r="V11" s="672" t="s">
        <v>318</v>
      </c>
      <c r="W11" s="671"/>
      <c r="X11" s="677">
        <v>6</v>
      </c>
      <c r="Y11" s="554"/>
      <c r="Z11" s="554"/>
      <c r="AA11" s="554"/>
      <c r="AB11" s="554"/>
      <c r="AC11" s="554"/>
      <c r="AD11" s="554"/>
    </row>
    <row r="12" spans="1:30" ht="20.25">
      <c r="A12" s="554"/>
      <c r="B12" s="1256" t="s">
        <v>225</v>
      </c>
      <c r="C12" s="1257"/>
      <c r="D12" s="1257"/>
      <c r="E12" s="1257"/>
      <c r="F12" s="1257"/>
      <c r="G12" s="1257"/>
      <c r="H12" s="1257"/>
      <c r="I12" s="1257"/>
      <c r="J12" s="1258"/>
      <c r="K12" s="666" t="s">
        <v>296</v>
      </c>
      <c r="L12" s="1259" t="s">
        <v>210</v>
      </c>
      <c r="M12" s="1260"/>
      <c r="N12" s="1260"/>
      <c r="O12" s="1260"/>
      <c r="P12" s="1260"/>
      <c r="Q12" s="1260"/>
      <c r="R12" s="1261"/>
      <c r="S12" s="662"/>
      <c r="T12" s="554"/>
      <c r="U12" s="676"/>
      <c r="V12" s="671"/>
      <c r="W12" s="671"/>
      <c r="X12" s="677"/>
      <c r="Y12" s="554"/>
      <c r="Z12" s="554"/>
      <c r="AA12" s="554"/>
      <c r="AB12" s="554"/>
      <c r="AC12" s="554"/>
      <c r="AD12" s="554"/>
    </row>
    <row r="13" spans="1:30" ht="20.25">
      <c r="A13" s="554"/>
      <c r="B13" s="655"/>
      <c r="C13" s="655"/>
      <c r="D13" s="655"/>
      <c r="E13" s="655"/>
      <c r="F13" s="655"/>
      <c r="G13" s="554"/>
      <c r="H13" s="655"/>
      <c r="I13" s="655"/>
      <c r="J13" s="655"/>
      <c r="K13" s="655"/>
      <c r="L13" s="655"/>
      <c r="M13" s="655"/>
      <c r="N13" s="655"/>
      <c r="O13" s="655"/>
      <c r="P13" s="655"/>
      <c r="Q13" s="655"/>
      <c r="R13" s="571"/>
      <c r="S13" s="662"/>
      <c r="T13" s="554"/>
      <c r="U13" s="676">
        <v>365</v>
      </c>
      <c r="V13" s="672" t="s">
        <v>317</v>
      </c>
      <c r="W13" s="671"/>
      <c r="X13" s="677">
        <v>5</v>
      </c>
      <c r="Y13" s="554"/>
      <c r="Z13" s="554"/>
      <c r="AA13" s="554"/>
      <c r="AB13" s="554"/>
      <c r="AC13" s="554"/>
      <c r="AD13" s="554"/>
    </row>
    <row r="14" spans="1:30" ht="20.25">
      <c r="A14" s="554"/>
      <c r="B14" s="527"/>
      <c r="C14" s="527"/>
      <c r="D14" s="527"/>
      <c r="E14" s="527"/>
      <c r="F14" s="527"/>
      <c r="G14" s="554"/>
      <c r="H14" s="527"/>
      <c r="I14" s="527"/>
      <c r="J14" s="527"/>
      <c r="K14" s="527"/>
      <c r="L14" s="527"/>
      <c r="M14" s="527"/>
      <c r="N14" s="527"/>
      <c r="O14" s="527"/>
      <c r="P14" s="527"/>
      <c r="Q14" s="527"/>
      <c r="R14" s="664"/>
      <c r="S14" s="662"/>
      <c r="T14" s="554"/>
      <c r="U14" s="676"/>
      <c r="V14" s="671"/>
      <c r="W14" s="671"/>
      <c r="X14" s="677"/>
      <c r="Y14" s="554"/>
      <c r="Z14" s="554"/>
      <c r="AA14" s="554"/>
      <c r="AB14" s="554"/>
      <c r="AC14" s="554"/>
      <c r="AD14" s="554"/>
    </row>
    <row r="15" spans="1:30" ht="20.25">
      <c r="A15" s="554"/>
      <c r="B15" s="1217" t="s">
        <v>214</v>
      </c>
      <c r="C15" s="1218"/>
      <c r="D15" s="1218"/>
      <c r="E15" s="1218"/>
      <c r="F15" s="1218"/>
      <c r="G15" s="1218"/>
      <c r="H15" s="1218"/>
      <c r="I15" s="1218"/>
      <c r="J15" s="1218"/>
      <c r="K15" s="1218"/>
      <c r="L15" s="1218"/>
      <c r="M15" s="1218"/>
      <c r="N15" s="1218"/>
      <c r="O15" s="1218"/>
      <c r="P15" s="1218"/>
      <c r="Q15" s="1218"/>
      <c r="R15" s="1219"/>
      <c r="S15" s="662"/>
      <c r="T15" s="554"/>
      <c r="U15" s="676">
        <v>375</v>
      </c>
      <c r="V15" s="672" t="s">
        <v>319</v>
      </c>
      <c r="W15" s="672" t="s">
        <v>321</v>
      </c>
      <c r="X15" s="677">
        <v>5</v>
      </c>
      <c r="Y15" s="554"/>
      <c r="Z15" s="554"/>
      <c r="AA15" s="554"/>
      <c r="AB15" s="554"/>
      <c r="AC15" s="554"/>
      <c r="AD15" s="554"/>
    </row>
    <row r="16" spans="1:30" ht="20.25">
      <c r="A16" s="554"/>
      <c r="B16" s="1234" t="s">
        <v>297</v>
      </c>
      <c r="C16" s="1235"/>
      <c r="D16" s="1235"/>
      <c r="E16" s="1235"/>
      <c r="F16" s="1236"/>
      <c r="G16" s="1205" t="s">
        <v>298</v>
      </c>
      <c r="H16" s="1206"/>
      <c r="I16" s="1206"/>
      <c r="J16" s="1206"/>
      <c r="K16" s="1206"/>
      <c r="L16" s="1206"/>
      <c r="M16" s="1207"/>
      <c r="N16" s="1252" t="s">
        <v>210</v>
      </c>
      <c r="O16" s="1253"/>
      <c r="P16" s="1253"/>
      <c r="Q16" s="1253"/>
      <c r="R16" s="1254"/>
      <c r="S16" s="662"/>
      <c r="T16" s="554"/>
      <c r="U16" s="676"/>
      <c r="V16" s="672" t="s">
        <v>320</v>
      </c>
      <c r="W16" s="672" t="s">
        <v>322</v>
      </c>
      <c r="X16" s="677"/>
      <c r="Y16" s="554"/>
      <c r="Z16" s="554"/>
      <c r="AA16" s="554"/>
      <c r="AB16" s="554"/>
      <c r="AC16" s="554"/>
      <c r="AD16" s="554"/>
    </row>
    <row r="17" spans="1:30" ht="20.25">
      <c r="A17" s="554"/>
      <c r="B17" s="526"/>
      <c r="C17" s="526"/>
      <c r="D17" s="526"/>
      <c r="E17" s="526"/>
      <c r="F17" s="526"/>
      <c r="G17" s="554"/>
      <c r="H17" s="526"/>
      <c r="I17" s="526"/>
      <c r="J17" s="526"/>
      <c r="K17" s="526"/>
      <c r="L17" s="526"/>
      <c r="M17" s="526"/>
      <c r="N17" s="526"/>
      <c r="O17" s="526"/>
      <c r="P17" s="526"/>
      <c r="Q17" s="526"/>
      <c r="R17" s="664"/>
      <c r="S17" s="662"/>
      <c r="T17" s="554"/>
      <c r="U17" s="676"/>
      <c r="V17" s="671"/>
      <c r="W17" s="671"/>
      <c r="X17" s="677"/>
      <c r="Y17" s="554"/>
      <c r="Z17" s="554"/>
      <c r="AA17" s="554"/>
      <c r="AB17" s="554"/>
      <c r="AC17" s="554"/>
      <c r="AD17" s="554"/>
    </row>
    <row r="18" spans="1:30" ht="20.25">
      <c r="A18" s="554"/>
      <c r="B18" s="579"/>
      <c r="C18" s="579"/>
      <c r="D18" s="579"/>
      <c r="E18" s="579"/>
      <c r="F18" s="579"/>
      <c r="G18" s="554"/>
      <c r="H18" s="579"/>
      <c r="I18" s="579"/>
      <c r="J18" s="579"/>
      <c r="K18" s="579"/>
      <c r="L18" s="579"/>
      <c r="M18" s="579"/>
      <c r="N18" s="579"/>
      <c r="O18" s="579"/>
      <c r="P18" s="579"/>
      <c r="Q18" s="579"/>
      <c r="R18" s="526"/>
      <c r="S18" s="662"/>
      <c r="T18" s="554"/>
      <c r="U18" s="676">
        <v>385</v>
      </c>
      <c r="V18" s="672" t="s">
        <v>319</v>
      </c>
      <c r="W18" s="671"/>
      <c r="X18" s="677">
        <v>4</v>
      </c>
      <c r="Y18" s="554"/>
      <c r="Z18" s="554"/>
      <c r="AA18" s="554"/>
      <c r="AB18" s="554"/>
      <c r="AC18" s="554"/>
      <c r="AD18" s="554"/>
    </row>
    <row r="19" spans="1:30" ht="21" thickBot="1">
      <c r="A19" s="554"/>
      <c r="B19" s="1255" t="s">
        <v>215</v>
      </c>
      <c r="C19" s="1239"/>
      <c r="D19" s="1239"/>
      <c r="E19" s="1239"/>
      <c r="F19" s="1238"/>
      <c r="G19" s="1239"/>
      <c r="H19" s="1239"/>
      <c r="I19" s="1239"/>
      <c r="J19" s="1239"/>
      <c r="K19" s="1239"/>
      <c r="L19" s="1239"/>
      <c r="M19" s="1239"/>
      <c r="N19" s="1239"/>
      <c r="O19" s="1239"/>
      <c r="P19" s="1239"/>
      <c r="Q19" s="1239"/>
      <c r="R19" s="1240"/>
      <c r="S19" s="662"/>
      <c r="T19" s="554"/>
      <c r="U19" s="676"/>
      <c r="V19" s="671"/>
      <c r="W19" s="671"/>
      <c r="X19" s="677"/>
      <c r="Y19" s="554"/>
      <c r="Z19" s="554"/>
      <c r="AA19" s="554"/>
      <c r="AB19" s="554"/>
      <c r="AC19" s="554"/>
      <c r="AD19" s="554"/>
    </row>
    <row r="20" spans="1:30" ht="21" thickBot="1">
      <c r="A20" s="554"/>
      <c r="B20" s="1248" t="s">
        <v>299</v>
      </c>
      <c r="C20" s="1249"/>
      <c r="D20" s="1249"/>
      <c r="E20" s="1249"/>
      <c r="F20" s="620" t="s">
        <v>300</v>
      </c>
      <c r="G20" s="1250" t="s">
        <v>301</v>
      </c>
      <c r="H20" s="1250"/>
      <c r="I20" s="1250"/>
      <c r="J20" s="1250"/>
      <c r="K20" s="1250"/>
      <c r="L20" s="1250"/>
      <c r="M20" s="1250"/>
      <c r="N20" s="1250"/>
      <c r="O20" s="1250"/>
      <c r="P20" s="1250"/>
      <c r="Q20" s="1251"/>
      <c r="R20" s="667" t="s">
        <v>210</v>
      </c>
      <c r="S20" s="662"/>
      <c r="T20" s="554"/>
      <c r="U20" s="676">
        <v>395</v>
      </c>
      <c r="V20" s="672" t="s">
        <v>323</v>
      </c>
      <c r="W20" s="671"/>
      <c r="X20" s="677">
        <v>3</v>
      </c>
      <c r="Y20" s="554"/>
      <c r="Z20" s="554"/>
      <c r="AA20" s="554"/>
      <c r="AB20" s="554"/>
      <c r="AC20" s="554"/>
      <c r="AD20" s="554"/>
    </row>
    <row r="21" spans="1:30" ht="20.25">
      <c r="A21" s="554"/>
      <c r="B21" s="526"/>
      <c r="C21" s="526"/>
      <c r="D21" s="526"/>
      <c r="E21" s="526"/>
      <c r="F21" s="526"/>
      <c r="G21" s="554"/>
      <c r="H21" s="526"/>
      <c r="I21" s="526"/>
      <c r="J21" s="526"/>
      <c r="K21" s="526"/>
      <c r="L21" s="526"/>
      <c r="M21" s="526"/>
      <c r="N21" s="526"/>
      <c r="O21" s="526"/>
      <c r="P21" s="526"/>
      <c r="Q21" s="526"/>
      <c r="R21" s="664"/>
      <c r="S21" s="662"/>
      <c r="T21" s="554"/>
      <c r="U21" s="676"/>
      <c r="V21" s="671"/>
      <c r="W21" s="671"/>
      <c r="X21" s="677"/>
      <c r="Y21" s="554"/>
      <c r="Z21" s="554"/>
      <c r="AA21" s="554"/>
      <c r="AB21" s="554"/>
      <c r="AC21" s="554"/>
      <c r="AD21" s="554"/>
    </row>
    <row r="22" spans="1:30" ht="20.25">
      <c r="A22" s="554"/>
      <c r="B22" s="527"/>
      <c r="C22" s="527"/>
      <c r="D22" s="527"/>
      <c r="E22" s="527"/>
      <c r="F22" s="527"/>
      <c r="G22" s="554"/>
      <c r="H22" s="527"/>
      <c r="I22" s="527"/>
      <c r="J22" s="527"/>
      <c r="K22" s="527"/>
      <c r="L22" s="527"/>
      <c r="M22" s="527"/>
      <c r="N22" s="527"/>
      <c r="O22" s="527"/>
      <c r="P22" s="527"/>
      <c r="Q22" s="527"/>
      <c r="R22" s="664"/>
      <c r="S22" s="662"/>
      <c r="T22" s="554"/>
      <c r="U22" s="676">
        <v>405</v>
      </c>
      <c r="V22" s="672" t="s">
        <v>324</v>
      </c>
      <c r="W22" s="671"/>
      <c r="X22" s="677">
        <v>2</v>
      </c>
      <c r="Y22" s="554"/>
      <c r="Z22" s="554"/>
      <c r="AA22" s="554"/>
      <c r="AB22" s="554"/>
      <c r="AC22" s="554"/>
      <c r="AD22" s="554"/>
    </row>
    <row r="23" spans="1:30" ht="20.25">
      <c r="A23" s="554"/>
      <c r="B23" s="1217" t="s">
        <v>216</v>
      </c>
      <c r="C23" s="1218"/>
      <c r="D23" s="1218"/>
      <c r="E23" s="1218"/>
      <c r="F23" s="1218"/>
      <c r="G23" s="1218"/>
      <c r="H23" s="1218"/>
      <c r="I23" s="1218"/>
      <c r="J23" s="1218"/>
      <c r="K23" s="1218"/>
      <c r="L23" s="1218"/>
      <c r="M23" s="1218"/>
      <c r="N23" s="1218"/>
      <c r="O23" s="1218"/>
      <c r="P23" s="1218"/>
      <c r="Q23" s="1218"/>
      <c r="R23" s="1219"/>
      <c r="S23" s="662"/>
      <c r="T23" s="554"/>
      <c r="U23" s="676"/>
      <c r="V23" s="671"/>
      <c r="W23" s="671"/>
      <c r="X23" s="677"/>
      <c r="Y23" s="554"/>
      <c r="Z23" s="554"/>
      <c r="AA23" s="554"/>
      <c r="AB23" s="554"/>
      <c r="AC23" s="554"/>
      <c r="AD23" s="554"/>
    </row>
    <row r="24" spans="1:30" ht="20.25">
      <c r="A24" s="554"/>
      <c r="B24" s="1234" t="s">
        <v>310</v>
      </c>
      <c r="C24" s="1236"/>
      <c r="D24" s="1205" t="s">
        <v>302</v>
      </c>
      <c r="E24" s="1206"/>
      <c r="F24" s="1206"/>
      <c r="G24" s="1206"/>
      <c r="H24" s="1206"/>
      <c r="I24" s="1206"/>
      <c r="J24" s="1206"/>
      <c r="K24" s="1206"/>
      <c r="L24" s="1206"/>
      <c r="M24" s="1206"/>
      <c r="N24" s="1206"/>
      <c r="O24" s="1206"/>
      <c r="P24" s="1206"/>
      <c r="Q24" s="1206"/>
      <c r="R24" s="1207"/>
      <c r="S24" s="662"/>
      <c r="T24" s="554"/>
      <c r="U24" s="676">
        <v>415</v>
      </c>
      <c r="V24" s="672" t="s">
        <v>320</v>
      </c>
      <c r="W24" s="672" t="s">
        <v>326</v>
      </c>
      <c r="X24" s="677">
        <v>2</v>
      </c>
      <c r="Y24" s="554"/>
      <c r="Z24" s="554"/>
      <c r="AA24" s="554"/>
      <c r="AB24" s="554"/>
      <c r="AC24" s="554"/>
      <c r="AD24" s="554"/>
    </row>
    <row r="25" spans="1:30" ht="20.25">
      <c r="A25" s="554"/>
      <c r="B25" s="526"/>
      <c r="C25" s="526"/>
      <c r="D25" s="526"/>
      <c r="E25" s="526"/>
      <c r="F25" s="526"/>
      <c r="G25" s="554"/>
      <c r="H25" s="526"/>
      <c r="I25" s="526"/>
      <c r="J25" s="526"/>
      <c r="K25" s="526"/>
      <c r="L25" s="526"/>
      <c r="M25" s="526"/>
      <c r="N25" s="526"/>
      <c r="O25" s="526"/>
      <c r="P25" s="526"/>
      <c r="Q25" s="526"/>
      <c r="R25" s="664"/>
      <c r="S25" s="662"/>
      <c r="T25" s="554"/>
      <c r="U25" s="676"/>
      <c r="V25" s="672" t="s">
        <v>325</v>
      </c>
      <c r="W25" s="672" t="s">
        <v>327</v>
      </c>
      <c r="X25" s="677"/>
      <c r="Y25" s="554"/>
      <c r="Z25" s="554"/>
      <c r="AA25" s="554"/>
      <c r="AB25" s="554"/>
      <c r="AC25" s="554"/>
      <c r="AD25" s="554"/>
    </row>
    <row r="26" spans="1:30" ht="20.25">
      <c r="A26" s="554"/>
      <c r="B26" s="559"/>
      <c r="C26" s="559"/>
      <c r="D26" s="559"/>
      <c r="E26" s="559"/>
      <c r="F26" s="559"/>
      <c r="G26" s="554"/>
      <c r="H26" s="559"/>
      <c r="I26" s="559"/>
      <c r="J26" s="559"/>
      <c r="K26" s="559"/>
      <c r="L26" s="559"/>
      <c r="M26" s="559"/>
      <c r="N26" s="559"/>
      <c r="O26" s="559"/>
      <c r="P26" s="559"/>
      <c r="Q26" s="559"/>
      <c r="R26" s="526"/>
      <c r="S26" s="662"/>
      <c r="T26" s="554"/>
      <c r="U26" s="676"/>
      <c r="V26" s="671"/>
      <c r="W26" s="671"/>
      <c r="X26" s="677"/>
      <c r="Y26" s="554"/>
      <c r="Z26" s="554"/>
      <c r="AA26" s="554"/>
      <c r="AB26" s="554"/>
      <c r="AC26" s="554"/>
      <c r="AD26" s="554"/>
    </row>
    <row r="27" spans="1:30" ht="21" thickBot="1">
      <c r="A27" s="554"/>
      <c r="B27" s="1237" t="s">
        <v>217</v>
      </c>
      <c r="C27" s="1238"/>
      <c r="D27" s="1239"/>
      <c r="E27" s="1239"/>
      <c r="F27" s="1239"/>
      <c r="G27" s="1239"/>
      <c r="H27" s="1239"/>
      <c r="I27" s="1239"/>
      <c r="J27" s="1239"/>
      <c r="K27" s="1239"/>
      <c r="L27" s="1239"/>
      <c r="M27" s="1239"/>
      <c r="N27" s="1239"/>
      <c r="O27" s="1239"/>
      <c r="P27" s="1239"/>
      <c r="Q27" s="1239"/>
      <c r="R27" s="1240"/>
      <c r="S27" s="662"/>
      <c r="T27" s="554"/>
      <c r="U27" s="676">
        <v>425</v>
      </c>
      <c r="V27" s="672" t="s">
        <v>323</v>
      </c>
      <c r="W27" s="671"/>
      <c r="X27" s="677">
        <v>1</v>
      </c>
      <c r="Y27" s="554"/>
      <c r="Z27" s="554"/>
      <c r="AA27" s="554"/>
      <c r="AB27" s="554"/>
      <c r="AC27" s="554"/>
      <c r="AD27" s="554"/>
    </row>
    <row r="28" spans="1:30" ht="21" thickBot="1">
      <c r="A28" s="554"/>
      <c r="B28" s="1246" t="s">
        <v>211</v>
      </c>
      <c r="C28" s="1247"/>
      <c r="D28" s="1244" t="s">
        <v>303</v>
      </c>
      <c r="E28" s="1244"/>
      <c r="F28" s="1244"/>
      <c r="G28" s="1244"/>
      <c r="H28" s="1244"/>
      <c r="I28" s="1244"/>
      <c r="J28" s="1244"/>
      <c r="K28" s="1244"/>
      <c r="L28" s="1244"/>
      <c r="M28" s="1244"/>
      <c r="N28" s="1244"/>
      <c r="O28" s="1244"/>
      <c r="P28" s="1244"/>
      <c r="Q28" s="1244"/>
      <c r="R28" s="1245"/>
      <c r="S28" s="662"/>
      <c r="T28" s="554"/>
      <c r="U28" s="676"/>
      <c r="V28" s="671"/>
      <c r="W28" s="671"/>
      <c r="X28" s="677"/>
      <c r="Y28" s="554"/>
      <c r="Z28" s="554"/>
      <c r="AA28" s="554"/>
      <c r="AB28" s="554"/>
      <c r="AC28" s="554"/>
      <c r="AD28" s="554"/>
    </row>
    <row r="29" spans="1:30" ht="20.25">
      <c r="A29" s="554"/>
      <c r="B29" s="526"/>
      <c r="C29" s="526"/>
      <c r="D29" s="526"/>
      <c r="E29" s="526"/>
      <c r="F29" s="526"/>
      <c r="G29" s="554"/>
      <c r="H29" s="526"/>
      <c r="I29" s="526"/>
      <c r="J29" s="526"/>
      <c r="K29" s="526"/>
      <c r="L29" s="526"/>
      <c r="M29" s="526"/>
      <c r="N29" s="526"/>
      <c r="O29" s="526"/>
      <c r="P29" s="526"/>
      <c r="Q29" s="526"/>
      <c r="R29" s="664"/>
      <c r="S29" s="662"/>
      <c r="T29" s="554"/>
      <c r="U29" s="676" t="s">
        <v>328</v>
      </c>
      <c r="V29" s="672" t="s">
        <v>324</v>
      </c>
      <c r="W29" s="671"/>
      <c r="X29" s="677">
        <v>0</v>
      </c>
      <c r="Y29" s="554"/>
      <c r="Z29" s="554"/>
      <c r="AA29" s="554"/>
      <c r="AB29" s="554"/>
      <c r="AC29" s="554"/>
      <c r="AD29" s="554"/>
    </row>
    <row r="30" spans="1:30" ht="20.25">
      <c r="A30" s="554"/>
      <c r="B30" s="527"/>
      <c r="C30" s="527"/>
      <c r="D30" s="527"/>
      <c r="E30" s="527"/>
      <c r="F30" s="527"/>
      <c r="G30" s="554"/>
      <c r="H30" s="527"/>
      <c r="I30" s="527"/>
      <c r="J30" s="527"/>
      <c r="K30" s="527"/>
      <c r="L30" s="527"/>
      <c r="M30" s="527"/>
      <c r="N30" s="527"/>
      <c r="O30" s="527"/>
      <c r="P30" s="527"/>
      <c r="Q30" s="527"/>
      <c r="R30" s="664"/>
      <c r="S30" s="662"/>
      <c r="T30" s="554"/>
      <c r="U30" s="676"/>
      <c r="V30" s="671"/>
      <c r="W30" s="671"/>
      <c r="X30" s="677"/>
      <c r="Y30" s="554"/>
      <c r="Z30" s="554"/>
      <c r="AA30" s="554"/>
      <c r="AB30" s="554"/>
      <c r="AC30" s="554"/>
      <c r="AD30" s="554"/>
    </row>
    <row r="31" spans="1:30" ht="20.25">
      <c r="A31" s="554"/>
      <c r="B31" s="1217" t="s">
        <v>218</v>
      </c>
      <c r="C31" s="1218"/>
      <c r="D31" s="1218"/>
      <c r="E31" s="1218"/>
      <c r="F31" s="1218"/>
      <c r="G31" s="1218"/>
      <c r="H31" s="1218"/>
      <c r="I31" s="1218"/>
      <c r="J31" s="1218"/>
      <c r="K31" s="1218"/>
      <c r="L31" s="1218"/>
      <c r="M31" s="1218"/>
      <c r="N31" s="1218"/>
      <c r="O31" s="1218"/>
      <c r="P31" s="1218"/>
      <c r="Q31" s="1218"/>
      <c r="R31" s="1219"/>
      <c r="S31" s="662"/>
      <c r="T31" s="554"/>
      <c r="U31" s="676" t="s">
        <v>329</v>
      </c>
      <c r="V31" s="672" t="s">
        <v>320</v>
      </c>
      <c r="W31" s="671"/>
      <c r="X31" s="677"/>
      <c r="Y31" s="554"/>
      <c r="Z31" s="554"/>
      <c r="AA31" s="554"/>
      <c r="AB31" s="554"/>
      <c r="AC31" s="554"/>
      <c r="AD31" s="554"/>
    </row>
    <row r="32" spans="1:30" ht="20.25">
      <c r="A32" s="554"/>
      <c r="B32" s="1234" t="s">
        <v>304</v>
      </c>
      <c r="C32" s="1235"/>
      <c r="D32" s="1236"/>
      <c r="E32" s="1205" t="s">
        <v>305</v>
      </c>
      <c r="F32" s="1206"/>
      <c r="G32" s="1206"/>
      <c r="H32" s="1206"/>
      <c r="I32" s="1206"/>
      <c r="J32" s="1206"/>
      <c r="K32" s="1206"/>
      <c r="L32" s="1206"/>
      <c r="M32" s="1206"/>
      <c r="N32" s="1206"/>
      <c r="O32" s="1206"/>
      <c r="P32" s="1206"/>
      <c r="Q32" s="1206"/>
      <c r="R32" s="1207"/>
      <c r="S32" s="662"/>
      <c r="T32" s="554"/>
      <c r="U32" s="676"/>
      <c r="V32" s="671"/>
      <c r="W32" s="671"/>
      <c r="X32" s="677"/>
      <c r="Y32" s="554"/>
      <c r="Z32" s="554"/>
      <c r="AA32" s="554"/>
      <c r="AB32" s="554"/>
      <c r="AC32" s="554"/>
      <c r="AD32" s="554"/>
    </row>
    <row r="33" spans="1:30" ht="20.25">
      <c r="A33" s="554"/>
      <c r="B33" s="526"/>
      <c r="C33" s="526"/>
      <c r="D33" s="526"/>
      <c r="E33" s="526"/>
      <c r="F33" s="526"/>
      <c r="G33" s="554"/>
      <c r="H33" s="526"/>
      <c r="I33" s="526"/>
      <c r="J33" s="526"/>
      <c r="K33" s="526"/>
      <c r="L33" s="526"/>
      <c r="M33" s="526"/>
      <c r="N33" s="526"/>
      <c r="O33" s="526"/>
      <c r="P33" s="526"/>
      <c r="Q33" s="526"/>
      <c r="R33" s="664"/>
      <c r="S33" s="662"/>
      <c r="T33" s="554"/>
      <c r="U33" s="676" t="s">
        <v>330</v>
      </c>
      <c r="V33" s="672" t="s">
        <v>331</v>
      </c>
      <c r="W33" s="671"/>
      <c r="X33" s="677"/>
      <c r="Y33" s="554"/>
      <c r="Z33" s="554"/>
      <c r="AA33" s="554"/>
      <c r="AB33" s="554"/>
      <c r="AC33" s="554"/>
      <c r="AD33" s="554"/>
    </row>
    <row r="34" spans="1:30" ht="20.25">
      <c r="A34" s="554"/>
      <c r="B34" s="559"/>
      <c r="C34" s="559"/>
      <c r="D34" s="559"/>
      <c r="E34" s="559"/>
      <c r="F34" s="559"/>
      <c r="G34" s="554"/>
      <c r="H34" s="559"/>
      <c r="I34" s="559"/>
      <c r="J34" s="559"/>
      <c r="K34" s="559"/>
      <c r="L34" s="559"/>
      <c r="M34" s="559"/>
      <c r="N34" s="559"/>
      <c r="O34" s="559"/>
      <c r="P34" s="559"/>
      <c r="Q34" s="559"/>
      <c r="R34" s="526"/>
      <c r="S34" s="662"/>
      <c r="T34" s="554"/>
      <c r="U34" s="676"/>
      <c r="V34" s="672" t="s">
        <v>319</v>
      </c>
      <c r="W34" s="671"/>
      <c r="X34" s="677"/>
      <c r="Y34" s="554"/>
      <c r="Z34" s="554"/>
      <c r="AA34" s="554"/>
      <c r="AB34" s="554"/>
      <c r="AC34" s="554"/>
      <c r="AD34" s="554"/>
    </row>
    <row r="35" spans="1:30" ht="21" thickBot="1">
      <c r="A35" s="554"/>
      <c r="B35" s="1237" t="s">
        <v>219</v>
      </c>
      <c r="C35" s="1238"/>
      <c r="D35" s="1238"/>
      <c r="E35" s="1239"/>
      <c r="F35" s="1239"/>
      <c r="G35" s="1239"/>
      <c r="H35" s="1239"/>
      <c r="I35" s="1239"/>
      <c r="J35" s="1239"/>
      <c r="K35" s="1239"/>
      <c r="L35" s="1239"/>
      <c r="M35" s="1239"/>
      <c r="N35" s="1239"/>
      <c r="O35" s="1239"/>
      <c r="P35" s="1239"/>
      <c r="Q35" s="1239"/>
      <c r="R35" s="1240"/>
      <c r="S35" s="662"/>
      <c r="T35" s="554"/>
      <c r="U35" s="676"/>
      <c r="V35" s="671"/>
      <c r="W35" s="671"/>
      <c r="X35" s="677"/>
      <c r="Y35" s="554"/>
      <c r="Z35" s="554"/>
      <c r="AA35" s="554"/>
      <c r="AB35" s="554"/>
      <c r="AC35" s="554"/>
      <c r="AD35" s="554"/>
    </row>
    <row r="36" spans="1:30" ht="21" thickBot="1">
      <c r="A36" s="554"/>
      <c r="B36" s="1241" t="s">
        <v>233</v>
      </c>
      <c r="C36" s="1242"/>
      <c r="D36" s="1243"/>
      <c r="E36" s="1244" t="s">
        <v>306</v>
      </c>
      <c r="F36" s="1244"/>
      <c r="G36" s="1244"/>
      <c r="H36" s="1244"/>
      <c r="I36" s="1244"/>
      <c r="J36" s="1244"/>
      <c r="K36" s="1244"/>
      <c r="L36" s="1244"/>
      <c r="M36" s="1244"/>
      <c r="N36" s="1244"/>
      <c r="O36" s="1244"/>
      <c r="P36" s="1244"/>
      <c r="Q36" s="1244"/>
      <c r="R36" s="1245"/>
      <c r="S36" s="662"/>
      <c r="T36" s="554"/>
      <c r="U36" s="676" t="s">
        <v>332</v>
      </c>
      <c r="V36" s="672" t="s">
        <v>333</v>
      </c>
      <c r="W36" s="672" t="s">
        <v>335</v>
      </c>
      <c r="X36" s="677"/>
      <c r="Y36" s="554"/>
      <c r="Z36" s="554"/>
      <c r="AA36" s="554"/>
      <c r="AB36" s="554"/>
      <c r="AC36" s="554"/>
      <c r="AD36" s="554"/>
    </row>
    <row r="37" spans="1:30" ht="20.25">
      <c r="A37" s="554"/>
      <c r="B37" s="526"/>
      <c r="C37" s="526"/>
      <c r="D37" s="526"/>
      <c r="E37" s="526"/>
      <c r="F37" s="526"/>
      <c r="G37" s="554"/>
      <c r="H37" s="526"/>
      <c r="I37" s="526"/>
      <c r="J37" s="526"/>
      <c r="K37" s="526"/>
      <c r="L37" s="526"/>
      <c r="M37" s="526"/>
      <c r="N37" s="526"/>
      <c r="O37" s="526"/>
      <c r="P37" s="526"/>
      <c r="Q37" s="526"/>
      <c r="R37" s="664"/>
      <c r="S37" s="662"/>
      <c r="T37" s="554"/>
      <c r="U37" s="676"/>
      <c r="V37" s="672" t="s">
        <v>334</v>
      </c>
      <c r="W37" s="672" t="s">
        <v>336</v>
      </c>
      <c r="X37" s="677"/>
      <c r="Y37" s="554"/>
      <c r="Z37" s="554"/>
      <c r="AA37" s="554"/>
      <c r="AB37" s="554"/>
      <c r="AC37" s="554"/>
      <c r="AD37" s="554"/>
    </row>
    <row r="38" spans="1:30" ht="20.25">
      <c r="A38" s="554"/>
      <c r="B38" s="656"/>
      <c r="C38" s="656"/>
      <c r="D38" s="656"/>
      <c r="E38" s="656"/>
      <c r="F38" s="656"/>
      <c r="G38" s="554"/>
      <c r="H38" s="656"/>
      <c r="I38" s="656"/>
      <c r="J38" s="656"/>
      <c r="K38" s="656"/>
      <c r="L38" s="656"/>
      <c r="M38" s="656"/>
      <c r="N38" s="656"/>
      <c r="O38" s="656"/>
      <c r="P38" s="656"/>
      <c r="Q38" s="656"/>
      <c r="R38" s="526"/>
      <c r="S38" s="662"/>
      <c r="T38" s="554"/>
      <c r="U38" s="676"/>
      <c r="V38" s="671"/>
      <c r="W38" s="671"/>
      <c r="X38" s="677"/>
      <c r="Y38" s="554"/>
      <c r="Z38" s="554"/>
      <c r="AA38" s="554"/>
      <c r="AB38" s="554"/>
      <c r="AC38" s="554"/>
      <c r="AD38" s="554"/>
    </row>
    <row r="39" spans="1:30" ht="21" thickBot="1">
      <c r="A39" s="554"/>
      <c r="B39" s="1226" t="s">
        <v>220</v>
      </c>
      <c r="C39" s="1227"/>
      <c r="D39" s="1227"/>
      <c r="E39" s="1227"/>
      <c r="F39" s="1228"/>
      <c r="G39" s="1228"/>
      <c r="H39" s="1228"/>
      <c r="I39" s="1228"/>
      <c r="J39" s="1228"/>
      <c r="K39" s="1228"/>
      <c r="L39" s="1228"/>
      <c r="M39" s="1228"/>
      <c r="N39" s="1228"/>
      <c r="O39" s="1228"/>
      <c r="P39" s="1228"/>
      <c r="Q39" s="1228"/>
      <c r="R39" s="1229"/>
      <c r="S39" s="662"/>
      <c r="T39" s="554"/>
      <c r="U39" s="676">
        <v>575</v>
      </c>
      <c r="V39" s="672" t="s">
        <v>337</v>
      </c>
      <c r="W39" s="672" t="s">
        <v>339</v>
      </c>
      <c r="X39" s="677"/>
      <c r="Y39" s="554"/>
      <c r="Z39" s="554"/>
      <c r="AA39" s="554"/>
      <c r="AB39" s="554"/>
      <c r="AC39" s="554"/>
      <c r="AD39" s="554"/>
    </row>
    <row r="40" spans="1:30" ht="21" thickBot="1">
      <c r="A40" s="554"/>
      <c r="B40" s="1222" t="s">
        <v>223</v>
      </c>
      <c r="C40" s="1223"/>
      <c r="D40" s="1223"/>
      <c r="E40" s="1224"/>
      <c r="F40" s="1230" t="s">
        <v>307</v>
      </c>
      <c r="G40" s="1230"/>
      <c r="H40" s="1230"/>
      <c r="I40" s="1230"/>
      <c r="J40" s="1230"/>
      <c r="K40" s="1230"/>
      <c r="L40" s="1230"/>
      <c r="M40" s="1230"/>
      <c r="N40" s="1230"/>
      <c r="O40" s="1230"/>
      <c r="P40" s="1230"/>
      <c r="Q40" s="1230"/>
      <c r="R40" s="1231"/>
      <c r="S40" s="662"/>
      <c r="T40" s="554"/>
      <c r="U40" s="676"/>
      <c r="V40" s="672" t="s">
        <v>338</v>
      </c>
      <c r="W40" s="672" t="s">
        <v>340</v>
      </c>
      <c r="X40" s="677"/>
      <c r="Y40" s="554"/>
      <c r="Z40" s="554"/>
      <c r="AA40" s="554"/>
      <c r="AB40" s="554"/>
      <c r="AC40" s="554"/>
      <c r="AD40" s="554"/>
    </row>
    <row r="41" spans="1:30" ht="20.25">
      <c r="A41" s="554"/>
      <c r="B41" s="562"/>
      <c r="C41" s="562"/>
      <c r="D41" s="562"/>
      <c r="E41" s="562"/>
      <c r="F41" s="562"/>
      <c r="G41" s="554"/>
      <c r="H41" s="562"/>
      <c r="I41" s="562"/>
      <c r="J41" s="562"/>
      <c r="K41" s="562"/>
      <c r="L41" s="562"/>
      <c r="M41" s="562"/>
      <c r="N41" s="562"/>
      <c r="O41" s="562"/>
      <c r="P41" s="562"/>
      <c r="Q41" s="562"/>
      <c r="R41" s="375"/>
      <c r="S41" s="662"/>
      <c r="T41" s="554"/>
      <c r="U41" s="676"/>
      <c r="V41" s="671"/>
      <c r="W41" s="671"/>
      <c r="X41" s="677"/>
      <c r="Y41" s="554"/>
      <c r="Z41" s="554"/>
      <c r="AA41" s="554"/>
      <c r="AB41" s="554"/>
      <c r="AC41" s="554"/>
      <c r="AD41" s="554"/>
    </row>
    <row r="42" spans="1:30" ht="20.25">
      <c r="A42" s="554"/>
      <c r="B42" s="562"/>
      <c r="C42" s="562"/>
      <c r="D42" s="562"/>
      <c r="E42" s="562"/>
      <c r="F42" s="562"/>
      <c r="G42" s="554"/>
      <c r="H42" s="562"/>
      <c r="I42" s="562"/>
      <c r="J42" s="562"/>
      <c r="K42" s="562"/>
      <c r="L42" s="562"/>
      <c r="M42" s="562"/>
      <c r="N42" s="562"/>
      <c r="O42" s="562"/>
      <c r="P42" s="562"/>
      <c r="Q42" s="562"/>
      <c r="R42" s="375"/>
      <c r="S42" s="662"/>
      <c r="T42" s="554"/>
      <c r="U42" s="676">
        <v>615</v>
      </c>
      <c r="V42" s="672" t="s">
        <v>341</v>
      </c>
      <c r="W42" s="672" t="s">
        <v>343</v>
      </c>
      <c r="X42" s="677"/>
      <c r="Y42" s="554"/>
      <c r="Z42" s="554"/>
      <c r="AA42" s="554"/>
      <c r="AB42" s="554"/>
      <c r="AC42" s="554"/>
      <c r="AD42" s="554"/>
    </row>
    <row r="43" spans="1:30" ht="21" thickBot="1">
      <c r="A43" s="554"/>
      <c r="B43" s="1200" t="s">
        <v>308</v>
      </c>
      <c r="C43" s="1201"/>
      <c r="D43" s="1201"/>
      <c r="E43" s="1201"/>
      <c r="F43" s="1201"/>
      <c r="G43" s="1232"/>
      <c r="H43" s="1232"/>
      <c r="I43" s="1232"/>
      <c r="J43" s="1232"/>
      <c r="K43" s="1232"/>
      <c r="L43" s="1232"/>
      <c r="M43" s="1232"/>
      <c r="N43" s="1232"/>
      <c r="O43" s="1232"/>
      <c r="P43" s="1232"/>
      <c r="Q43" s="1232"/>
      <c r="R43" s="1233"/>
      <c r="S43" s="662"/>
      <c r="T43" s="554"/>
      <c r="U43" s="678"/>
      <c r="V43" s="679" t="s">
        <v>342</v>
      </c>
      <c r="W43" s="679" t="s">
        <v>344</v>
      </c>
      <c r="X43" s="680"/>
      <c r="Y43" s="554"/>
      <c r="Z43" s="554"/>
      <c r="AA43" s="554"/>
      <c r="AB43" s="554"/>
      <c r="AC43" s="554"/>
      <c r="AD43" s="554"/>
    </row>
    <row r="44" spans="1:30" ht="21" thickBot="1">
      <c r="A44" s="554"/>
      <c r="B44" s="1217" t="s">
        <v>227</v>
      </c>
      <c r="C44" s="1218"/>
      <c r="D44" s="1218"/>
      <c r="E44" s="1218"/>
      <c r="F44" s="1218"/>
      <c r="G44" s="736" t="s">
        <v>300</v>
      </c>
      <c r="H44" s="737"/>
      <c r="I44" s="737"/>
      <c r="J44" s="737"/>
      <c r="K44" s="737"/>
      <c r="L44" s="737"/>
      <c r="M44" s="737"/>
      <c r="N44" s="737"/>
      <c r="O44" s="737"/>
      <c r="P44" s="737"/>
      <c r="Q44" s="737"/>
      <c r="R44" s="738"/>
      <c r="S44" s="662"/>
      <c r="T44" s="554"/>
      <c r="U44" s="651"/>
      <c r="V44" s="651"/>
      <c r="W44" s="651"/>
      <c r="X44" s="651"/>
      <c r="Y44" s="554"/>
      <c r="Z44" s="554"/>
      <c r="AA44" s="554"/>
      <c r="AB44" s="554"/>
      <c r="AC44" s="554"/>
      <c r="AD44" s="554"/>
    </row>
    <row r="45" spans="1:30" ht="20.25">
      <c r="A45" s="554"/>
      <c r="B45" s="562"/>
      <c r="C45" s="562"/>
      <c r="D45" s="562"/>
      <c r="E45" s="562"/>
      <c r="F45" s="562"/>
      <c r="G45" s="554"/>
      <c r="H45" s="562"/>
      <c r="I45" s="562"/>
      <c r="J45" s="562"/>
      <c r="K45" s="562"/>
      <c r="L45" s="562"/>
      <c r="M45" s="562"/>
      <c r="N45" s="562"/>
      <c r="O45" s="657"/>
      <c r="P45" s="562"/>
      <c r="Q45" s="562"/>
      <c r="R45" s="658"/>
      <c r="S45" s="662"/>
      <c r="T45" s="554"/>
      <c r="U45" s="651"/>
      <c r="V45" s="651"/>
      <c r="W45" s="651"/>
      <c r="X45" s="651"/>
      <c r="Y45" s="554"/>
      <c r="Z45" s="554"/>
      <c r="AA45" s="554"/>
      <c r="AB45" s="554"/>
      <c r="AC45" s="554"/>
      <c r="AD45" s="554"/>
    </row>
    <row r="46" spans="1:30" ht="21" thickBot="1">
      <c r="A46" s="554"/>
      <c r="B46" s="562"/>
      <c r="C46" s="562"/>
      <c r="D46" s="562"/>
      <c r="E46" s="562"/>
      <c r="F46" s="562"/>
      <c r="G46" s="554"/>
      <c r="H46" s="562"/>
      <c r="I46" s="562"/>
      <c r="J46" s="562"/>
      <c r="K46" s="562"/>
      <c r="L46" s="562"/>
      <c r="M46" s="562"/>
      <c r="N46" s="562"/>
      <c r="O46" s="562"/>
      <c r="P46" s="562"/>
      <c r="Q46" s="562"/>
      <c r="R46" s="375"/>
      <c r="S46" s="662"/>
      <c r="T46" s="554"/>
      <c r="U46" s="651"/>
      <c r="V46" s="651"/>
      <c r="W46" s="651"/>
      <c r="X46" s="651"/>
      <c r="Y46" s="554"/>
      <c r="Z46" s="554"/>
      <c r="AA46" s="554"/>
      <c r="AB46" s="554"/>
      <c r="AC46" s="554"/>
      <c r="AD46" s="554"/>
    </row>
    <row r="47" spans="1:30" ht="21" thickBot="1">
      <c r="A47" s="554"/>
      <c r="B47" s="1220" t="s">
        <v>230</v>
      </c>
      <c r="C47" s="1221"/>
      <c r="D47" s="739" t="s">
        <v>211</v>
      </c>
      <c r="E47" s="740"/>
      <c r="F47" s="740"/>
      <c r="G47" s="740"/>
      <c r="H47" s="740"/>
      <c r="I47" s="740"/>
      <c r="J47" s="740"/>
      <c r="K47" s="740"/>
      <c r="L47" s="740"/>
      <c r="M47" s="740"/>
      <c r="N47" s="740"/>
      <c r="O47" s="740"/>
      <c r="P47" s="740"/>
      <c r="Q47" s="740"/>
      <c r="R47" s="741"/>
      <c r="S47" s="662"/>
      <c r="T47" s="554"/>
      <c r="U47" s="651"/>
      <c r="V47" s="651"/>
      <c r="W47" s="651"/>
      <c r="X47" s="651"/>
      <c r="Y47" s="554"/>
      <c r="Z47" s="554"/>
      <c r="AA47" s="554"/>
      <c r="AB47" s="554"/>
      <c r="AC47" s="554"/>
      <c r="AD47" s="554"/>
    </row>
    <row r="48" spans="1:30" ht="20.25">
      <c r="A48" s="554"/>
      <c r="B48" s="1200" t="s">
        <v>234</v>
      </c>
      <c r="C48" s="1201"/>
      <c r="D48" s="1208"/>
      <c r="E48" s="1208"/>
      <c r="F48" s="1208"/>
      <c r="G48" s="1208"/>
      <c r="H48" s="1208"/>
      <c r="I48" s="1208"/>
      <c r="J48" s="1208"/>
      <c r="K48" s="1208"/>
      <c r="L48" s="1208"/>
      <c r="M48" s="1208"/>
      <c r="N48" s="1208"/>
      <c r="O48" s="1208"/>
      <c r="P48" s="1208"/>
      <c r="Q48" s="1208"/>
      <c r="R48" s="1225"/>
      <c r="S48" s="662"/>
      <c r="T48" s="554"/>
      <c r="U48" s="651"/>
      <c r="V48" s="651"/>
      <c r="W48" s="651"/>
      <c r="X48" s="651"/>
      <c r="Y48" s="554"/>
      <c r="Z48" s="554"/>
      <c r="AA48" s="554"/>
      <c r="AB48" s="554"/>
      <c r="AC48" s="554"/>
      <c r="AD48" s="554"/>
    </row>
    <row r="49" spans="1:30" ht="20.25">
      <c r="A49" s="554"/>
      <c r="B49" s="562"/>
      <c r="C49" s="562"/>
      <c r="D49" s="562"/>
      <c r="E49" s="562"/>
      <c r="F49" s="562"/>
      <c r="G49" s="554"/>
      <c r="H49" s="562"/>
      <c r="I49" s="562"/>
      <c r="J49" s="562"/>
      <c r="K49" s="562"/>
      <c r="L49" s="562"/>
      <c r="M49" s="562"/>
      <c r="N49" s="562"/>
      <c r="O49" s="562"/>
      <c r="P49" s="562"/>
      <c r="Q49" s="562"/>
      <c r="R49" s="375"/>
      <c r="S49" s="662"/>
      <c r="T49" s="554"/>
      <c r="U49" s="651"/>
      <c r="V49" s="651"/>
      <c r="W49" s="651"/>
      <c r="X49" s="651"/>
      <c r="Y49" s="554"/>
      <c r="Z49" s="554"/>
      <c r="AA49" s="554"/>
      <c r="AB49" s="554"/>
      <c r="AC49" s="554"/>
      <c r="AD49" s="554"/>
    </row>
    <row r="50" spans="1:30" ht="21" thickBot="1">
      <c r="A50" s="554"/>
      <c r="B50" s="562"/>
      <c r="C50" s="562"/>
      <c r="D50" s="562"/>
      <c r="E50" s="562"/>
      <c r="F50" s="562"/>
      <c r="G50" s="554"/>
      <c r="H50" s="562"/>
      <c r="I50" s="562"/>
      <c r="J50" s="562"/>
      <c r="K50" s="562"/>
      <c r="L50" s="562"/>
      <c r="M50" s="562"/>
      <c r="N50" s="562"/>
      <c r="O50" s="562"/>
      <c r="P50" s="562"/>
      <c r="Q50" s="562"/>
      <c r="R50" s="375"/>
      <c r="S50" s="662"/>
      <c r="T50" s="554"/>
      <c r="U50" s="651"/>
      <c r="V50" s="651"/>
      <c r="W50" s="651"/>
      <c r="X50" s="651"/>
      <c r="Y50" s="554"/>
      <c r="Z50" s="554"/>
      <c r="AA50" s="554"/>
      <c r="AB50" s="554"/>
      <c r="AC50" s="554"/>
      <c r="AD50" s="554"/>
    </row>
    <row r="51" spans="1:30" ht="21" thickBot="1">
      <c r="A51" s="554"/>
      <c r="B51" s="1220" t="s">
        <v>229</v>
      </c>
      <c r="C51" s="1221"/>
      <c r="D51" s="1221"/>
      <c r="E51" s="733" t="s">
        <v>233</v>
      </c>
      <c r="F51" s="734"/>
      <c r="G51" s="734"/>
      <c r="H51" s="734"/>
      <c r="I51" s="734"/>
      <c r="J51" s="734"/>
      <c r="K51" s="734"/>
      <c r="L51" s="734"/>
      <c r="M51" s="734"/>
      <c r="N51" s="734"/>
      <c r="O51" s="734"/>
      <c r="P51" s="734"/>
      <c r="Q51" s="734"/>
      <c r="R51" s="735"/>
      <c r="S51" s="662"/>
      <c r="T51" s="554"/>
      <c r="U51" s="651"/>
      <c r="V51" s="651"/>
      <c r="W51" s="651"/>
      <c r="X51" s="651"/>
      <c r="Y51" s="554"/>
      <c r="Z51" s="554"/>
      <c r="AA51" s="554"/>
      <c r="AB51" s="554"/>
      <c r="AC51" s="554"/>
      <c r="AD51" s="554"/>
    </row>
    <row r="52" spans="1:30" ht="20.25">
      <c r="A52" s="554"/>
      <c r="B52" s="1200" t="s">
        <v>232</v>
      </c>
      <c r="C52" s="1201"/>
      <c r="D52" s="1201"/>
      <c r="E52" s="1208"/>
      <c r="F52" s="1208"/>
      <c r="G52" s="1208"/>
      <c r="H52" s="1208"/>
      <c r="I52" s="1208"/>
      <c r="J52" s="1208"/>
      <c r="K52" s="1208"/>
      <c r="L52" s="1208"/>
      <c r="M52" s="1208"/>
      <c r="N52" s="1208"/>
      <c r="O52" s="1208"/>
      <c r="P52" s="1208"/>
      <c r="Q52" s="1208"/>
      <c r="R52" s="1225"/>
      <c r="S52" s="662"/>
      <c r="T52" s="554"/>
      <c r="U52" s="651"/>
      <c r="V52" s="651"/>
      <c r="W52" s="651"/>
      <c r="X52" s="651"/>
      <c r="Y52" s="554"/>
      <c r="Z52" s="554"/>
      <c r="AA52" s="554"/>
      <c r="AB52" s="554"/>
      <c r="AC52" s="554"/>
      <c r="AD52" s="554"/>
    </row>
    <row r="53" spans="1:30" ht="20.25">
      <c r="A53" s="554"/>
      <c r="B53" s="562"/>
      <c r="C53" s="562"/>
      <c r="D53" s="562"/>
      <c r="E53" s="562"/>
      <c r="F53" s="562"/>
      <c r="G53" s="554"/>
      <c r="H53" s="562"/>
      <c r="I53" s="562"/>
      <c r="J53" s="562"/>
      <c r="K53" s="562"/>
      <c r="L53" s="562"/>
      <c r="M53" s="562"/>
      <c r="N53" s="562"/>
      <c r="O53" s="562"/>
      <c r="P53" s="562"/>
      <c r="Q53" s="562"/>
      <c r="R53" s="597"/>
      <c r="S53" s="662"/>
      <c r="T53" s="554"/>
      <c r="U53" s="651"/>
      <c r="V53" s="651"/>
      <c r="W53" s="651"/>
      <c r="X53" s="651"/>
      <c r="Y53" s="554"/>
      <c r="Z53" s="554"/>
      <c r="AA53" s="554"/>
      <c r="AB53" s="554"/>
      <c r="AC53" s="554"/>
      <c r="AD53" s="554"/>
    </row>
    <row r="54" spans="1:30" ht="20.25">
      <c r="A54" s="554"/>
      <c r="B54" s="562"/>
      <c r="C54" s="562"/>
      <c r="D54" s="562"/>
      <c r="E54" s="562"/>
      <c r="F54" s="562"/>
      <c r="G54" s="554"/>
      <c r="H54" s="562"/>
      <c r="I54" s="562"/>
      <c r="J54" s="562"/>
      <c r="K54" s="562"/>
      <c r="L54" s="562"/>
      <c r="M54" s="562"/>
      <c r="N54" s="659"/>
      <c r="O54" s="562"/>
      <c r="P54" s="562"/>
      <c r="Q54" s="562"/>
      <c r="R54" s="375"/>
      <c r="S54" s="662"/>
      <c r="T54" s="554"/>
      <c r="U54" s="651"/>
      <c r="V54" s="651"/>
      <c r="W54" s="651"/>
      <c r="X54" s="651"/>
      <c r="Y54" s="554"/>
      <c r="Z54" s="554"/>
      <c r="AA54" s="554"/>
      <c r="AB54" s="554"/>
      <c r="AC54" s="554"/>
      <c r="AD54" s="554"/>
    </row>
    <row r="55" spans="1:30" ht="20.25">
      <c r="A55" s="554"/>
      <c r="B55" s="1209" t="s">
        <v>221</v>
      </c>
      <c r="C55" s="1210"/>
      <c r="D55" s="1210"/>
      <c r="E55" s="1210"/>
      <c r="F55" s="1210"/>
      <c r="G55" s="1210"/>
      <c r="H55" s="1210"/>
      <c r="I55" s="1210"/>
      <c r="J55" s="1210"/>
      <c r="K55" s="1210"/>
      <c r="L55" s="1210"/>
      <c r="M55" s="1210"/>
      <c r="N55" s="1211"/>
      <c r="O55" s="1212" t="s">
        <v>298</v>
      </c>
      <c r="P55" s="1213"/>
      <c r="Q55" s="1214" t="s">
        <v>210</v>
      </c>
      <c r="R55" s="1216"/>
      <c r="S55" s="662"/>
      <c r="T55" s="554"/>
      <c r="U55" s="651"/>
      <c r="V55" s="651"/>
      <c r="W55" s="651"/>
      <c r="X55" s="651"/>
      <c r="Y55" s="554"/>
      <c r="Z55" s="554"/>
      <c r="AA55" s="554"/>
      <c r="AB55" s="554"/>
      <c r="AC55" s="554"/>
      <c r="AD55" s="554"/>
    </row>
    <row r="56" spans="1:30" ht="20.25">
      <c r="A56" s="554"/>
      <c r="B56" s="1200" t="s">
        <v>231</v>
      </c>
      <c r="C56" s="1201"/>
      <c r="D56" s="1201"/>
      <c r="E56" s="1201"/>
      <c r="F56" s="1201"/>
      <c r="G56" s="1201"/>
      <c r="H56" s="1201"/>
      <c r="I56" s="1201"/>
      <c r="J56" s="1201"/>
      <c r="K56" s="1201"/>
      <c r="L56" s="1201"/>
      <c r="M56" s="1201"/>
      <c r="N56" s="1201"/>
      <c r="O56" s="1201"/>
      <c r="P56" s="1201"/>
      <c r="Q56" s="1201"/>
      <c r="R56" s="1202"/>
      <c r="S56" s="662"/>
      <c r="T56" s="554"/>
      <c r="U56" s="651"/>
      <c r="V56" s="651"/>
      <c r="W56" s="651"/>
      <c r="X56" s="651"/>
      <c r="Y56" s="554"/>
      <c r="Z56" s="554"/>
      <c r="AA56" s="554"/>
      <c r="AB56" s="554"/>
      <c r="AC56" s="554"/>
      <c r="AD56" s="554"/>
    </row>
    <row r="57" spans="1:30" ht="20.25">
      <c r="A57" s="554"/>
      <c r="B57" s="562"/>
      <c r="C57" s="562"/>
      <c r="D57" s="562"/>
      <c r="E57" s="562"/>
      <c r="F57" s="562"/>
      <c r="G57" s="554"/>
      <c r="H57" s="562"/>
      <c r="I57" s="562"/>
      <c r="J57" s="562"/>
      <c r="K57" s="562"/>
      <c r="L57" s="562"/>
      <c r="M57" s="562"/>
      <c r="N57" s="659"/>
      <c r="O57" s="562"/>
      <c r="P57" s="562"/>
      <c r="Q57" s="562"/>
      <c r="R57" s="597"/>
      <c r="S57" s="662"/>
      <c r="T57" s="554"/>
      <c r="U57" s="651"/>
      <c r="V57" s="651"/>
      <c r="W57" s="651"/>
      <c r="X57" s="651"/>
      <c r="Y57" s="554"/>
      <c r="Z57" s="554"/>
      <c r="AA57" s="554"/>
      <c r="AB57" s="554"/>
      <c r="AC57" s="554"/>
      <c r="AD57" s="554"/>
    </row>
    <row r="58" spans="1:30" ht="21" thickBot="1">
      <c r="A58" s="554"/>
      <c r="B58" s="562"/>
      <c r="C58" s="562"/>
      <c r="D58" s="562"/>
      <c r="E58" s="562"/>
      <c r="F58" s="562"/>
      <c r="G58" s="554"/>
      <c r="H58" s="562"/>
      <c r="I58" s="562"/>
      <c r="J58" s="562"/>
      <c r="K58" s="562"/>
      <c r="L58" s="562"/>
      <c r="M58" s="562"/>
      <c r="N58" s="659"/>
      <c r="O58" s="562"/>
      <c r="P58" s="562"/>
      <c r="Q58" s="562"/>
      <c r="R58" s="375"/>
      <c r="S58" s="662"/>
      <c r="T58" s="554"/>
      <c r="U58" s="651"/>
      <c r="V58" s="651"/>
      <c r="W58" s="651"/>
      <c r="X58" s="651"/>
      <c r="Y58" s="554"/>
      <c r="Z58" s="554"/>
      <c r="AA58" s="554"/>
      <c r="AB58" s="554"/>
      <c r="AC58" s="554"/>
      <c r="AD58" s="554"/>
    </row>
    <row r="59" spans="1:30" ht="21" thickBot="1">
      <c r="A59" s="554"/>
      <c r="B59" s="1220" t="s">
        <v>228</v>
      </c>
      <c r="C59" s="1221"/>
      <c r="D59" s="1221"/>
      <c r="E59" s="1221"/>
      <c r="F59" s="1222" t="s">
        <v>223</v>
      </c>
      <c r="G59" s="1223"/>
      <c r="H59" s="1223"/>
      <c r="I59" s="1223"/>
      <c r="J59" s="1223"/>
      <c r="K59" s="1223"/>
      <c r="L59" s="1223"/>
      <c r="M59" s="1223"/>
      <c r="N59" s="1224"/>
      <c r="O59" s="668" t="s">
        <v>309</v>
      </c>
      <c r="P59" s="1214" t="s">
        <v>210</v>
      </c>
      <c r="Q59" s="1215"/>
      <c r="R59" s="1216"/>
      <c r="S59" s="662"/>
      <c r="T59" s="554"/>
      <c r="U59" s="651"/>
      <c r="V59" s="651"/>
      <c r="W59" s="651"/>
      <c r="X59" s="651"/>
      <c r="Y59" s="554"/>
      <c r="Z59" s="554"/>
      <c r="AA59" s="554"/>
      <c r="AB59" s="554"/>
      <c r="AC59" s="554"/>
      <c r="AD59" s="554"/>
    </row>
    <row r="60" spans="1:30" ht="20.25">
      <c r="A60" s="554"/>
      <c r="B60" s="1200" t="s">
        <v>213</v>
      </c>
      <c r="C60" s="1201"/>
      <c r="D60" s="1201"/>
      <c r="E60" s="1201"/>
      <c r="F60" s="1208"/>
      <c r="G60" s="1208"/>
      <c r="H60" s="1208"/>
      <c r="I60" s="1208"/>
      <c r="J60" s="1208"/>
      <c r="K60" s="1208"/>
      <c r="L60" s="1208"/>
      <c r="M60" s="1208"/>
      <c r="N60" s="1208"/>
      <c r="O60" s="1201"/>
      <c r="P60" s="1201"/>
      <c r="Q60" s="1201"/>
      <c r="R60" s="1202"/>
      <c r="S60" s="662"/>
      <c r="T60" s="554"/>
      <c r="U60" s="651"/>
      <c r="V60" s="651"/>
      <c r="W60" s="651"/>
      <c r="X60" s="651"/>
      <c r="Y60" s="554"/>
      <c r="Z60" s="554"/>
      <c r="AA60" s="554"/>
      <c r="AB60" s="554"/>
      <c r="AC60" s="554"/>
      <c r="AD60" s="554"/>
    </row>
    <row r="61" spans="1:30" ht="20.25">
      <c r="A61" s="554"/>
      <c r="B61" s="562"/>
      <c r="C61" s="562"/>
      <c r="D61" s="562"/>
      <c r="E61" s="562"/>
      <c r="F61" s="562"/>
      <c r="G61" s="554"/>
      <c r="H61" s="562"/>
      <c r="I61" s="562"/>
      <c r="J61" s="562"/>
      <c r="K61" s="562"/>
      <c r="L61" s="562"/>
      <c r="M61" s="562"/>
      <c r="N61" s="562"/>
      <c r="O61" s="562"/>
      <c r="P61" s="562"/>
      <c r="Q61" s="562"/>
      <c r="R61" s="597"/>
      <c r="S61" s="662"/>
      <c r="T61" s="554"/>
      <c r="U61" s="651"/>
      <c r="V61" s="651"/>
      <c r="W61" s="651"/>
      <c r="X61" s="651"/>
      <c r="Y61" s="554"/>
      <c r="Z61" s="554"/>
      <c r="AA61" s="554"/>
      <c r="AB61" s="554"/>
      <c r="AC61" s="554"/>
      <c r="AD61" s="554"/>
    </row>
    <row r="62" spans="1:30" ht="20.25">
      <c r="A62" s="554"/>
      <c r="B62" s="562"/>
      <c r="C62" s="562"/>
      <c r="D62" s="562"/>
      <c r="E62" s="562"/>
      <c r="F62" s="562"/>
      <c r="G62" s="554"/>
      <c r="H62" s="562"/>
      <c r="I62" s="562"/>
      <c r="J62" s="562"/>
      <c r="K62" s="562"/>
      <c r="L62" s="562"/>
      <c r="M62" s="562"/>
      <c r="N62" s="562"/>
      <c r="O62" s="562"/>
      <c r="P62" s="562"/>
      <c r="Q62" s="562"/>
      <c r="R62" s="375"/>
      <c r="S62" s="662"/>
      <c r="T62" s="554"/>
      <c r="U62" s="651"/>
      <c r="V62" s="651"/>
      <c r="W62" s="651"/>
      <c r="X62" s="651"/>
      <c r="Y62" s="554"/>
      <c r="Z62" s="554"/>
      <c r="AA62" s="554"/>
      <c r="AB62" s="554"/>
      <c r="AC62" s="554"/>
      <c r="AD62" s="554"/>
    </row>
    <row r="63" spans="1:30" ht="20.25">
      <c r="A63" s="554"/>
      <c r="B63" s="1209" t="s">
        <v>224</v>
      </c>
      <c r="C63" s="1210"/>
      <c r="D63" s="1210"/>
      <c r="E63" s="1210"/>
      <c r="F63" s="1210"/>
      <c r="G63" s="1210"/>
      <c r="H63" s="1210"/>
      <c r="I63" s="1210"/>
      <c r="J63" s="1211"/>
      <c r="K63" s="1212" t="s">
        <v>309</v>
      </c>
      <c r="L63" s="1213"/>
      <c r="M63" s="1214" t="s">
        <v>210</v>
      </c>
      <c r="N63" s="1215"/>
      <c r="O63" s="1215"/>
      <c r="P63" s="1215"/>
      <c r="Q63" s="1215"/>
      <c r="R63" s="1216"/>
      <c r="S63" s="662"/>
      <c r="T63" s="554"/>
      <c r="U63" s="651"/>
      <c r="V63" s="651"/>
      <c r="W63" s="651"/>
      <c r="X63" s="651"/>
      <c r="Y63" s="554"/>
      <c r="Z63" s="554"/>
      <c r="AA63" s="554"/>
      <c r="AB63" s="554"/>
      <c r="AC63" s="554"/>
      <c r="AD63" s="554"/>
    </row>
    <row r="64" spans="1:30" ht="20.25">
      <c r="A64" s="554"/>
      <c r="B64" s="1200" t="s">
        <v>235</v>
      </c>
      <c r="C64" s="1201"/>
      <c r="D64" s="1201"/>
      <c r="E64" s="1201"/>
      <c r="F64" s="1201"/>
      <c r="G64" s="1201"/>
      <c r="H64" s="1201"/>
      <c r="I64" s="1201"/>
      <c r="J64" s="1201"/>
      <c r="K64" s="1201"/>
      <c r="L64" s="1201"/>
      <c r="M64" s="1201"/>
      <c r="N64" s="1201"/>
      <c r="O64" s="1201"/>
      <c r="P64" s="1201"/>
      <c r="Q64" s="1201"/>
      <c r="R64" s="1202"/>
      <c r="S64" s="662"/>
      <c r="T64" s="554"/>
      <c r="U64" s="651"/>
      <c r="V64" s="651"/>
      <c r="W64" s="651"/>
      <c r="X64" s="651"/>
      <c r="Y64" s="554"/>
      <c r="Z64" s="554"/>
      <c r="AA64" s="554"/>
      <c r="AB64" s="554"/>
      <c r="AC64" s="554"/>
      <c r="AD64" s="554"/>
    </row>
    <row r="65" spans="1:30" ht="20.25">
      <c r="A65" s="554"/>
      <c r="B65" s="562"/>
      <c r="C65" s="562"/>
      <c r="D65" s="562"/>
      <c r="E65" s="562"/>
      <c r="F65" s="562"/>
      <c r="G65" s="554"/>
      <c r="H65" s="562"/>
      <c r="I65" s="562"/>
      <c r="J65" s="562"/>
      <c r="K65" s="562"/>
      <c r="L65" s="562"/>
      <c r="M65" s="562"/>
      <c r="N65" s="562"/>
      <c r="O65" s="562"/>
      <c r="P65" s="562"/>
      <c r="Q65" s="562"/>
      <c r="R65" s="597"/>
      <c r="S65" s="662"/>
      <c r="T65" s="554"/>
      <c r="U65" s="651"/>
      <c r="V65" s="651"/>
      <c r="W65" s="651"/>
      <c r="X65" s="651"/>
      <c r="Y65" s="554"/>
      <c r="Z65" s="554"/>
      <c r="AA65" s="554"/>
      <c r="AB65" s="554"/>
      <c r="AC65" s="554"/>
      <c r="AD65" s="554"/>
    </row>
    <row r="66" spans="1:30" ht="20.25">
      <c r="A66" s="554"/>
      <c r="B66" s="562"/>
      <c r="C66" s="562"/>
      <c r="D66" s="562"/>
      <c r="E66" s="562"/>
      <c r="F66" s="562"/>
      <c r="G66" s="554"/>
      <c r="H66" s="562"/>
      <c r="I66" s="562"/>
      <c r="J66" s="562"/>
      <c r="K66" s="562"/>
      <c r="L66" s="562"/>
      <c r="M66" s="562"/>
      <c r="N66" s="562"/>
      <c r="O66" s="562"/>
      <c r="P66" s="562"/>
      <c r="Q66" s="562"/>
      <c r="R66" s="375"/>
      <c r="S66" s="662"/>
      <c r="T66" s="554"/>
      <c r="U66" s="651"/>
      <c r="V66" s="651"/>
      <c r="W66" s="651"/>
      <c r="X66" s="651"/>
      <c r="Y66" s="554"/>
      <c r="Z66" s="554"/>
      <c r="AA66" s="554"/>
      <c r="AB66" s="554"/>
      <c r="AC66" s="554"/>
      <c r="AD66" s="554"/>
    </row>
    <row r="67" spans="1:30" ht="20.25">
      <c r="A67" s="554"/>
      <c r="B67" s="1217" t="s">
        <v>226</v>
      </c>
      <c r="C67" s="1218"/>
      <c r="D67" s="1218"/>
      <c r="E67" s="1218"/>
      <c r="F67" s="1218"/>
      <c r="G67" s="1219"/>
      <c r="H67" s="1212" t="s">
        <v>309</v>
      </c>
      <c r="I67" s="1213"/>
      <c r="J67" s="1214" t="s">
        <v>210</v>
      </c>
      <c r="K67" s="1215"/>
      <c r="L67" s="1215"/>
      <c r="M67" s="1215"/>
      <c r="N67" s="1215"/>
      <c r="O67" s="1215"/>
      <c r="P67" s="1215"/>
      <c r="Q67" s="1215"/>
      <c r="R67" s="1216"/>
      <c r="S67" s="662"/>
      <c r="T67" s="554"/>
      <c r="U67" s="651"/>
      <c r="V67" s="651"/>
      <c r="W67" s="651"/>
      <c r="X67" s="651"/>
      <c r="Y67" s="554"/>
      <c r="Z67" s="554"/>
      <c r="AA67" s="554"/>
      <c r="AB67" s="554"/>
      <c r="AC67" s="554"/>
      <c r="AD67" s="554"/>
    </row>
    <row r="68" spans="1:30" ht="20.25">
      <c r="A68" s="554"/>
      <c r="B68" s="1200" t="s">
        <v>222</v>
      </c>
      <c r="C68" s="1201"/>
      <c r="D68" s="1201"/>
      <c r="E68" s="1201"/>
      <c r="F68" s="1201"/>
      <c r="G68" s="1201"/>
      <c r="H68" s="1201"/>
      <c r="I68" s="1201"/>
      <c r="J68" s="1201"/>
      <c r="K68" s="1201"/>
      <c r="L68" s="1201"/>
      <c r="M68" s="1201"/>
      <c r="N68" s="1201"/>
      <c r="O68" s="1201"/>
      <c r="P68" s="1201"/>
      <c r="Q68" s="1201"/>
      <c r="R68" s="1202"/>
      <c r="S68" s="662"/>
      <c r="T68" s="554"/>
      <c r="U68" s="651"/>
      <c r="V68" s="651"/>
      <c r="W68" s="651"/>
      <c r="X68" s="651"/>
      <c r="Y68" s="554"/>
      <c r="Z68" s="554"/>
      <c r="AA68" s="554"/>
      <c r="AB68" s="554"/>
      <c r="AC68" s="554"/>
      <c r="AD68" s="554"/>
    </row>
    <row r="69" spans="1:30" ht="20.25">
      <c r="A69" s="554"/>
      <c r="B69" s="562"/>
      <c r="C69" s="562"/>
      <c r="D69" s="562"/>
      <c r="E69" s="562"/>
      <c r="F69" s="562"/>
      <c r="G69" s="554"/>
      <c r="H69" s="562"/>
      <c r="I69" s="562"/>
      <c r="J69" s="562"/>
      <c r="K69" s="562"/>
      <c r="L69" s="562"/>
      <c r="M69" s="562"/>
      <c r="N69" s="562"/>
      <c r="O69" s="562"/>
      <c r="P69" s="562"/>
      <c r="Q69" s="562"/>
      <c r="R69" s="662"/>
      <c r="S69" s="662"/>
      <c r="T69" s="554"/>
      <c r="U69" s="651"/>
      <c r="V69" s="651"/>
      <c r="W69" s="651"/>
      <c r="X69" s="651"/>
      <c r="Y69" s="554"/>
      <c r="Z69" s="554"/>
      <c r="AA69" s="554"/>
      <c r="AB69" s="554"/>
      <c r="AC69" s="554"/>
      <c r="AD69" s="554"/>
    </row>
    <row r="70" spans="1:30" ht="20.25">
      <c r="A70" s="554"/>
      <c r="B70" s="554"/>
      <c r="C70" s="554"/>
      <c r="D70" s="554"/>
      <c r="E70" s="554"/>
      <c r="F70" s="554"/>
      <c r="G70" s="554"/>
      <c r="H70" s="554"/>
      <c r="I70" s="554"/>
      <c r="J70" s="554"/>
      <c r="K70" s="554"/>
      <c r="L70" s="554"/>
      <c r="M70" s="554"/>
      <c r="N70" s="554"/>
      <c r="O70" s="554"/>
      <c r="P70" s="554"/>
      <c r="Q70" s="554"/>
      <c r="R70" s="662"/>
      <c r="S70" s="662"/>
      <c r="T70" s="554"/>
      <c r="U70" s="651"/>
      <c r="V70" s="651"/>
      <c r="W70" s="651"/>
      <c r="X70" s="651"/>
      <c r="Y70" s="554"/>
      <c r="Z70" s="554"/>
      <c r="AA70" s="554"/>
      <c r="AB70" s="554"/>
      <c r="AC70" s="554"/>
      <c r="AD70" s="554"/>
    </row>
    <row r="71" spans="1:30" ht="20.25">
      <c r="A71" s="554"/>
      <c r="B71" s="554"/>
      <c r="C71" s="554"/>
      <c r="D71" s="554"/>
      <c r="E71" s="554"/>
      <c r="F71" s="554"/>
      <c r="G71" s="554"/>
      <c r="H71" s="554"/>
      <c r="I71" s="554"/>
      <c r="J71" s="554"/>
      <c r="K71" s="554"/>
      <c r="L71" s="554"/>
      <c r="M71" s="554"/>
      <c r="N71" s="554"/>
      <c r="O71" s="554"/>
      <c r="P71" s="554"/>
      <c r="Q71" s="554"/>
      <c r="R71" s="662"/>
      <c r="S71" s="662"/>
      <c r="T71" s="554"/>
      <c r="U71" s="651"/>
      <c r="V71" s="651"/>
      <c r="W71" s="651"/>
      <c r="X71" s="651"/>
      <c r="Y71" s="554"/>
      <c r="Z71" s="554"/>
      <c r="AA71" s="554"/>
      <c r="AB71" s="554"/>
      <c r="AC71" s="554"/>
      <c r="AD71" s="554"/>
    </row>
    <row r="72" spans="1:30" ht="20.25">
      <c r="A72" s="554"/>
      <c r="B72" s="554"/>
      <c r="C72" s="554"/>
      <c r="D72" s="554"/>
      <c r="E72" s="554"/>
      <c r="F72" s="554"/>
      <c r="G72" s="554"/>
      <c r="H72" s="554"/>
      <c r="I72" s="554"/>
      <c r="J72" s="554"/>
      <c r="K72" s="554"/>
      <c r="L72" s="554"/>
      <c r="M72" s="554"/>
      <c r="N72" s="554"/>
      <c r="O72" s="554"/>
      <c r="P72" s="554"/>
      <c r="Q72" s="554"/>
      <c r="R72" s="662"/>
      <c r="S72" s="662"/>
      <c r="T72" s="554"/>
      <c r="U72" s="651"/>
      <c r="V72" s="651"/>
      <c r="W72" s="651"/>
      <c r="X72" s="651"/>
      <c r="Y72" s="554"/>
      <c r="Z72" s="554"/>
      <c r="AA72" s="554"/>
      <c r="AB72" s="554"/>
      <c r="AC72" s="554"/>
      <c r="AD72" s="554"/>
    </row>
    <row r="73" spans="1:30" ht="20.25">
      <c r="A73" s="554"/>
      <c r="B73" s="554"/>
      <c r="C73" s="554"/>
      <c r="D73" s="554"/>
      <c r="E73" s="554"/>
      <c r="F73" s="554"/>
      <c r="G73" s="554"/>
      <c r="H73" s="554"/>
      <c r="I73" s="554"/>
      <c r="J73" s="554"/>
      <c r="K73" s="554"/>
      <c r="L73" s="554"/>
      <c r="M73" s="554"/>
      <c r="N73" s="554"/>
      <c r="O73" s="554"/>
      <c r="P73" s="554"/>
      <c r="Q73" s="554"/>
      <c r="R73" s="662"/>
      <c r="S73" s="662"/>
      <c r="T73" s="554"/>
      <c r="U73" s="651"/>
      <c r="V73" s="651"/>
      <c r="W73" s="651"/>
      <c r="X73" s="651"/>
      <c r="Y73" s="554"/>
      <c r="Z73" s="554"/>
      <c r="AA73" s="554"/>
      <c r="AB73" s="554"/>
      <c r="AC73" s="554"/>
      <c r="AD73" s="554"/>
    </row>
    <row r="74" spans="1:30" ht="20.25">
      <c r="A74" s="554"/>
      <c r="B74" s="554"/>
      <c r="C74" s="554"/>
      <c r="D74" s="554"/>
      <c r="E74" s="554"/>
      <c r="F74" s="554"/>
      <c r="G74" s="554"/>
      <c r="H74" s="554"/>
      <c r="I74" s="554"/>
      <c r="J74" s="554"/>
      <c r="K74" s="554"/>
      <c r="L74" s="554"/>
      <c r="M74" s="554"/>
      <c r="N74" s="554"/>
      <c r="O74" s="554"/>
      <c r="P74" s="554"/>
      <c r="Q74" s="554"/>
      <c r="R74" s="662"/>
      <c r="S74" s="662"/>
      <c r="T74" s="554"/>
      <c r="U74" s="651"/>
      <c r="V74" s="651"/>
      <c r="W74" s="651"/>
      <c r="X74" s="651"/>
      <c r="Y74" s="554"/>
      <c r="Z74" s="554"/>
      <c r="AA74" s="554"/>
      <c r="AB74" s="554"/>
      <c r="AC74" s="554"/>
      <c r="AD74" s="554"/>
    </row>
    <row r="75" spans="1:30" ht="20.25">
      <c r="A75" s="554"/>
      <c r="B75" s="554"/>
      <c r="C75" s="554"/>
      <c r="D75" s="554"/>
      <c r="E75" s="554"/>
      <c r="F75" s="554"/>
      <c r="G75" s="554"/>
      <c r="H75" s="554"/>
      <c r="I75" s="554"/>
      <c r="J75" s="554"/>
      <c r="K75" s="554"/>
      <c r="L75" s="554"/>
      <c r="M75" s="554"/>
      <c r="N75" s="554"/>
      <c r="O75" s="554"/>
      <c r="P75" s="554"/>
      <c r="Q75" s="554"/>
      <c r="R75" s="662"/>
      <c r="S75" s="662"/>
      <c r="T75" s="554"/>
      <c r="U75" s="651"/>
      <c r="V75" s="651"/>
      <c r="W75" s="651"/>
      <c r="X75" s="651"/>
      <c r="Y75" s="554"/>
      <c r="Z75" s="554"/>
      <c r="AA75" s="554"/>
      <c r="AB75" s="554"/>
      <c r="AC75" s="554"/>
      <c r="AD75" s="554"/>
    </row>
    <row r="76" spans="1:30" ht="20.25">
      <c r="A76" s="554"/>
      <c r="B76" s="554"/>
      <c r="C76" s="554"/>
      <c r="D76" s="554"/>
      <c r="E76" s="554"/>
      <c r="F76" s="554"/>
      <c r="G76" s="554"/>
      <c r="H76" s="554"/>
      <c r="I76" s="554"/>
      <c r="J76" s="554"/>
      <c r="K76" s="554"/>
      <c r="L76" s="554"/>
      <c r="M76" s="554"/>
      <c r="N76" s="554"/>
      <c r="O76" s="554"/>
      <c r="P76" s="554"/>
      <c r="Q76" s="554"/>
      <c r="R76" s="662"/>
      <c r="S76" s="662"/>
      <c r="T76" s="554"/>
      <c r="U76" s="651"/>
      <c r="V76" s="651"/>
      <c r="W76" s="651"/>
      <c r="X76" s="651"/>
      <c r="Y76" s="554"/>
      <c r="Z76" s="554"/>
      <c r="AA76" s="554"/>
      <c r="AB76" s="554"/>
      <c r="AC76" s="554"/>
      <c r="AD76" s="554"/>
    </row>
    <row r="77" spans="1:30" ht="20.25">
      <c r="A77" s="554"/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554"/>
      <c r="Q77" s="554"/>
      <c r="R77" s="662"/>
      <c r="S77" s="662"/>
      <c r="T77" s="554"/>
      <c r="U77" s="651"/>
      <c r="V77" s="651"/>
      <c r="W77" s="651"/>
      <c r="X77" s="651"/>
      <c r="Y77" s="554"/>
      <c r="Z77" s="554"/>
      <c r="AA77" s="554"/>
      <c r="AB77" s="554"/>
      <c r="AC77" s="554"/>
      <c r="AD77" s="554"/>
    </row>
    <row r="78" spans="1:30" ht="20.25">
      <c r="A78" s="554"/>
      <c r="B78" s="554"/>
      <c r="C78" s="554"/>
      <c r="D78" s="554"/>
      <c r="E78" s="554"/>
      <c r="F78" s="554"/>
      <c r="G78" s="554"/>
      <c r="H78" s="554"/>
      <c r="I78" s="554"/>
      <c r="J78" s="554"/>
      <c r="K78" s="554"/>
      <c r="L78" s="554"/>
      <c r="M78" s="554"/>
      <c r="N78" s="554"/>
      <c r="O78" s="554"/>
      <c r="P78" s="554"/>
      <c r="Q78" s="554"/>
      <c r="R78" s="662"/>
      <c r="S78" s="662"/>
      <c r="T78" s="554"/>
      <c r="U78" s="651"/>
      <c r="V78" s="651"/>
      <c r="W78" s="651"/>
      <c r="X78" s="651"/>
      <c r="Y78" s="554"/>
      <c r="Z78" s="554"/>
      <c r="AA78" s="554"/>
      <c r="AB78" s="554"/>
      <c r="AC78" s="554"/>
      <c r="AD78" s="554"/>
    </row>
    <row r="79" spans="1:30" ht="20.25">
      <c r="A79" s="554"/>
      <c r="B79" s="554"/>
      <c r="C79" s="554"/>
      <c r="D79" s="554"/>
      <c r="E79" s="554"/>
      <c r="F79" s="554"/>
      <c r="G79" s="554"/>
      <c r="H79" s="554"/>
      <c r="I79" s="554"/>
      <c r="J79" s="554"/>
      <c r="K79" s="554"/>
      <c r="L79" s="554"/>
      <c r="M79" s="554"/>
      <c r="N79" s="554"/>
      <c r="O79" s="554"/>
      <c r="P79" s="554"/>
      <c r="Q79" s="554"/>
      <c r="R79" s="662"/>
      <c r="S79" s="662"/>
      <c r="T79" s="554"/>
      <c r="U79" s="651"/>
      <c r="V79" s="651"/>
      <c r="W79" s="651"/>
      <c r="X79" s="651"/>
      <c r="Y79" s="554"/>
      <c r="Z79" s="554"/>
      <c r="AA79" s="554"/>
      <c r="AB79" s="554"/>
      <c r="AC79" s="554"/>
      <c r="AD79" s="554"/>
    </row>
    <row r="80" spans="1:30" ht="20.25">
      <c r="A80" s="554"/>
      <c r="B80" s="554"/>
      <c r="C80" s="554"/>
      <c r="D80" s="554"/>
      <c r="E80" s="554"/>
      <c r="F80" s="554"/>
      <c r="G80" s="554"/>
      <c r="H80" s="554"/>
      <c r="I80" s="554"/>
      <c r="J80" s="554"/>
      <c r="K80" s="554"/>
      <c r="L80" s="554"/>
      <c r="M80" s="554"/>
      <c r="N80" s="554"/>
      <c r="O80" s="554"/>
      <c r="P80" s="554"/>
      <c r="Q80" s="554"/>
      <c r="R80" s="662"/>
      <c r="S80" s="662"/>
      <c r="T80" s="554"/>
      <c r="U80" s="651"/>
      <c r="V80" s="651"/>
      <c r="W80" s="651"/>
      <c r="X80" s="651"/>
      <c r="Y80" s="554"/>
      <c r="Z80" s="554"/>
      <c r="AA80" s="554"/>
      <c r="AB80" s="554"/>
      <c r="AC80" s="554"/>
      <c r="AD80" s="554"/>
    </row>
    <row r="81" spans="1:30" ht="20.25">
      <c r="A81" s="554"/>
      <c r="B81" s="554"/>
      <c r="C81" s="554"/>
      <c r="D81" s="554"/>
      <c r="E81" s="554"/>
      <c r="F81" s="554"/>
      <c r="G81" s="554"/>
      <c r="H81" s="554"/>
      <c r="I81" s="554"/>
      <c r="J81" s="554"/>
      <c r="K81" s="554"/>
      <c r="L81" s="554"/>
      <c r="M81" s="554"/>
      <c r="N81" s="554"/>
      <c r="O81" s="554"/>
      <c r="P81" s="554"/>
      <c r="Q81" s="554"/>
      <c r="R81" s="662"/>
      <c r="S81" s="662"/>
      <c r="T81" s="554"/>
      <c r="U81" s="651"/>
      <c r="V81" s="651"/>
      <c r="W81" s="651"/>
      <c r="X81" s="651"/>
      <c r="Y81" s="554"/>
      <c r="Z81" s="554"/>
      <c r="AA81" s="554"/>
      <c r="AB81" s="554"/>
      <c r="AC81" s="554"/>
      <c r="AD81" s="554"/>
    </row>
    <row r="82" spans="1:30" ht="20.25">
      <c r="A82" s="554"/>
      <c r="B82" s="554"/>
      <c r="C82" s="554"/>
      <c r="D82" s="554"/>
      <c r="E82" s="554"/>
      <c r="F82" s="554"/>
      <c r="G82" s="554"/>
      <c r="H82" s="554"/>
      <c r="I82" s="554"/>
      <c r="J82" s="554"/>
      <c r="K82" s="554"/>
      <c r="L82" s="554"/>
      <c r="M82" s="554"/>
      <c r="N82" s="554"/>
      <c r="O82" s="554"/>
      <c r="P82" s="554"/>
      <c r="Q82" s="554"/>
      <c r="R82" s="662"/>
      <c r="S82" s="662"/>
      <c r="T82" s="554"/>
      <c r="U82" s="651"/>
      <c r="V82" s="651"/>
      <c r="W82" s="651"/>
      <c r="X82" s="651"/>
      <c r="Y82" s="554"/>
      <c r="Z82" s="554"/>
      <c r="AA82" s="554"/>
      <c r="AB82" s="554"/>
      <c r="AC82" s="554"/>
      <c r="AD82" s="554"/>
    </row>
    <row r="83" spans="1:30" ht="20.25">
      <c r="A83" s="554"/>
      <c r="B83" s="554"/>
      <c r="C83" s="554"/>
      <c r="D83" s="554"/>
      <c r="E83" s="554"/>
      <c r="F83" s="554"/>
      <c r="G83" s="554"/>
      <c r="H83" s="554"/>
      <c r="I83" s="554"/>
      <c r="J83" s="554"/>
      <c r="K83" s="554"/>
      <c r="L83" s="554"/>
      <c r="M83" s="554"/>
      <c r="N83" s="554"/>
      <c r="O83" s="554"/>
      <c r="P83" s="554"/>
      <c r="Q83" s="554"/>
      <c r="R83" s="662"/>
      <c r="S83" s="662"/>
      <c r="T83" s="554"/>
      <c r="U83" s="651"/>
      <c r="V83" s="651"/>
      <c r="W83" s="651"/>
      <c r="X83" s="651"/>
      <c r="Y83" s="554"/>
      <c r="Z83" s="554"/>
      <c r="AA83" s="554"/>
      <c r="AB83" s="554"/>
      <c r="AC83" s="554"/>
      <c r="AD83" s="554"/>
    </row>
    <row r="84" spans="1:30" ht="20.25">
      <c r="A84" s="554"/>
      <c r="B84" s="554"/>
      <c r="C84" s="554"/>
      <c r="D84" s="554"/>
      <c r="E84" s="554"/>
      <c r="F84" s="554"/>
      <c r="G84" s="554"/>
      <c r="H84" s="554"/>
      <c r="I84" s="554"/>
      <c r="J84" s="554"/>
      <c r="K84" s="554"/>
      <c r="L84" s="554"/>
      <c r="M84" s="554"/>
      <c r="N84" s="554"/>
      <c r="O84" s="554"/>
      <c r="P84" s="554"/>
      <c r="Q84" s="554"/>
      <c r="R84" s="662"/>
      <c r="S84" s="662"/>
      <c r="T84" s="554"/>
      <c r="U84" s="651"/>
      <c r="V84" s="651"/>
      <c r="W84" s="651"/>
      <c r="X84" s="651"/>
      <c r="Y84" s="554"/>
      <c r="Z84" s="554"/>
      <c r="AA84" s="554"/>
      <c r="AB84" s="554"/>
      <c r="AC84" s="554"/>
      <c r="AD84" s="554"/>
    </row>
    <row r="85" spans="1:30" ht="20.25">
      <c r="A85" s="554"/>
      <c r="B85" s="554"/>
      <c r="C85" s="554"/>
      <c r="D85" s="554"/>
      <c r="E85" s="554"/>
      <c r="F85" s="554"/>
      <c r="G85" s="554"/>
      <c r="H85" s="554"/>
      <c r="I85" s="554"/>
      <c r="J85" s="554"/>
      <c r="K85" s="554"/>
      <c r="L85" s="554"/>
      <c r="M85" s="554"/>
      <c r="N85" s="554"/>
      <c r="O85" s="554"/>
      <c r="P85" s="554"/>
      <c r="Q85" s="554"/>
      <c r="R85" s="662"/>
      <c r="S85" s="662"/>
      <c r="T85" s="554"/>
      <c r="U85" s="651"/>
      <c r="V85" s="651"/>
      <c r="W85" s="651"/>
      <c r="X85" s="651"/>
      <c r="Y85" s="554"/>
      <c r="Z85" s="554"/>
      <c r="AA85" s="554"/>
      <c r="AB85" s="554"/>
      <c r="AC85" s="554"/>
      <c r="AD85" s="554"/>
    </row>
    <row r="86" spans="1:30" ht="20.25">
      <c r="A86" s="554"/>
      <c r="B86" s="554"/>
      <c r="C86" s="554"/>
      <c r="D86" s="554"/>
      <c r="E86" s="554"/>
      <c r="F86" s="554"/>
      <c r="G86" s="554"/>
      <c r="H86" s="554"/>
      <c r="I86" s="554"/>
      <c r="J86" s="554"/>
      <c r="K86" s="554"/>
      <c r="L86" s="554"/>
      <c r="M86" s="554"/>
      <c r="N86" s="554"/>
      <c r="O86" s="554"/>
      <c r="P86" s="554"/>
      <c r="Q86" s="554"/>
      <c r="R86" s="662"/>
      <c r="S86" s="662"/>
      <c r="T86" s="554"/>
      <c r="U86" s="651"/>
      <c r="V86" s="651"/>
      <c r="W86" s="651"/>
      <c r="X86" s="651"/>
      <c r="Y86" s="554"/>
      <c r="Z86" s="554"/>
      <c r="AA86" s="554"/>
      <c r="AB86" s="554"/>
      <c r="AC86" s="554"/>
      <c r="AD86" s="554"/>
    </row>
    <row r="87" spans="1:30" ht="20.25">
      <c r="A87" s="554"/>
      <c r="B87" s="554"/>
      <c r="C87" s="554"/>
      <c r="D87" s="554"/>
      <c r="E87" s="554"/>
      <c r="F87" s="554"/>
      <c r="G87" s="554"/>
      <c r="H87" s="554"/>
      <c r="I87" s="554"/>
      <c r="J87" s="554"/>
      <c r="K87" s="554"/>
      <c r="L87" s="554"/>
      <c r="M87" s="554"/>
      <c r="N87" s="554"/>
      <c r="O87" s="554"/>
      <c r="P87" s="554"/>
      <c r="Q87" s="554"/>
      <c r="R87" s="662"/>
      <c r="S87" s="662"/>
      <c r="T87" s="554"/>
      <c r="U87" s="651"/>
      <c r="V87" s="651"/>
      <c r="W87" s="651"/>
      <c r="X87" s="651"/>
      <c r="Y87" s="554"/>
      <c r="Z87" s="554"/>
      <c r="AA87" s="554"/>
      <c r="AB87" s="554"/>
      <c r="AC87" s="554"/>
      <c r="AD87" s="554"/>
    </row>
    <row r="88" spans="1:30" ht="20.25">
      <c r="A88" s="554"/>
      <c r="B88" s="554"/>
      <c r="C88" s="554"/>
      <c r="D88" s="554"/>
      <c r="E88" s="554"/>
      <c r="F88" s="554"/>
      <c r="G88" s="554"/>
      <c r="H88" s="554"/>
      <c r="I88" s="554"/>
      <c r="J88" s="554"/>
      <c r="K88" s="554"/>
      <c r="L88" s="554"/>
      <c r="M88" s="554"/>
      <c r="N88" s="554"/>
      <c r="O88" s="554"/>
      <c r="P88" s="554"/>
      <c r="Q88" s="554"/>
      <c r="R88" s="662"/>
      <c r="S88" s="662"/>
      <c r="T88" s="554"/>
      <c r="U88" s="651"/>
      <c r="V88" s="651"/>
      <c r="W88" s="651"/>
      <c r="X88" s="651"/>
      <c r="Y88" s="554"/>
      <c r="Z88" s="554"/>
      <c r="AA88" s="554"/>
      <c r="AB88" s="554"/>
      <c r="AC88" s="554"/>
      <c r="AD88" s="554"/>
    </row>
    <row r="89" spans="1:30" ht="20.25">
      <c r="A89" s="554"/>
      <c r="B89" s="554"/>
      <c r="C89" s="554"/>
      <c r="D89" s="554"/>
      <c r="E89" s="554"/>
      <c r="F89" s="554"/>
      <c r="G89" s="554"/>
      <c r="H89" s="554"/>
      <c r="I89" s="554"/>
      <c r="J89" s="554"/>
      <c r="K89" s="554"/>
      <c r="L89" s="554"/>
      <c r="M89" s="554"/>
      <c r="N89" s="554"/>
      <c r="O89" s="554"/>
      <c r="P89" s="554"/>
      <c r="Q89" s="554"/>
      <c r="R89" s="662"/>
      <c r="S89" s="662"/>
      <c r="T89" s="554"/>
      <c r="U89" s="651"/>
      <c r="V89" s="651"/>
      <c r="W89" s="651"/>
      <c r="X89" s="651"/>
      <c r="Y89" s="554"/>
      <c r="Z89" s="554"/>
      <c r="AA89" s="554"/>
      <c r="AB89" s="554"/>
      <c r="AC89" s="554"/>
      <c r="AD89" s="554"/>
    </row>
    <row r="90" spans="1:30" ht="20.25">
      <c r="A90" s="554"/>
      <c r="B90" s="554"/>
      <c r="C90" s="554"/>
      <c r="D90" s="554"/>
      <c r="E90" s="554"/>
      <c r="F90" s="554"/>
      <c r="G90" s="554"/>
      <c r="H90" s="554"/>
      <c r="I90" s="554"/>
      <c r="J90" s="554"/>
      <c r="K90" s="554"/>
      <c r="L90" s="554"/>
      <c r="M90" s="554"/>
      <c r="N90" s="554"/>
      <c r="O90" s="554"/>
      <c r="P90" s="554"/>
      <c r="Q90" s="554"/>
      <c r="R90" s="662"/>
      <c r="S90" s="662"/>
      <c r="T90" s="554"/>
      <c r="U90" s="651"/>
      <c r="V90" s="651"/>
      <c r="W90" s="651"/>
      <c r="X90" s="651"/>
      <c r="Y90" s="554"/>
      <c r="Z90" s="554"/>
      <c r="AA90" s="554"/>
      <c r="AB90" s="554"/>
      <c r="AC90" s="554"/>
      <c r="AD90" s="554"/>
    </row>
    <row r="91" spans="1:30" ht="20.25">
      <c r="A91" s="554"/>
      <c r="B91" s="554"/>
      <c r="C91" s="554"/>
      <c r="D91" s="554"/>
      <c r="E91" s="554"/>
      <c r="F91" s="554"/>
      <c r="G91" s="554"/>
      <c r="H91" s="554"/>
      <c r="I91" s="554"/>
      <c r="J91" s="554"/>
      <c r="K91" s="554"/>
      <c r="L91" s="554"/>
      <c r="M91" s="554"/>
      <c r="N91" s="554"/>
      <c r="O91" s="554"/>
      <c r="P91" s="554"/>
      <c r="Q91" s="554"/>
      <c r="R91" s="662"/>
      <c r="S91" s="662"/>
      <c r="T91" s="554"/>
      <c r="U91" s="651"/>
      <c r="V91" s="651"/>
      <c r="W91" s="651"/>
      <c r="X91" s="651"/>
      <c r="Y91" s="554"/>
      <c r="Z91" s="554"/>
      <c r="AA91" s="554"/>
      <c r="AB91" s="554"/>
      <c r="AC91" s="554"/>
      <c r="AD91" s="554"/>
    </row>
    <row r="92" spans="1:30" ht="20.25">
      <c r="A92" s="554"/>
      <c r="B92" s="554"/>
      <c r="C92" s="554"/>
      <c r="D92" s="554"/>
      <c r="E92" s="554"/>
      <c r="F92" s="554"/>
      <c r="G92" s="554"/>
      <c r="H92" s="554"/>
      <c r="I92" s="554"/>
      <c r="J92" s="554"/>
      <c r="K92" s="554"/>
      <c r="L92" s="554"/>
      <c r="M92" s="554"/>
      <c r="N92" s="554"/>
      <c r="O92" s="554"/>
      <c r="P92" s="554"/>
      <c r="Q92" s="554"/>
      <c r="R92" s="662"/>
      <c r="S92" s="662"/>
      <c r="T92" s="554"/>
      <c r="U92" s="651"/>
      <c r="V92" s="651"/>
      <c r="W92" s="651"/>
      <c r="X92" s="651"/>
      <c r="Y92" s="554"/>
      <c r="Z92" s="554"/>
      <c r="AA92" s="554"/>
      <c r="AB92" s="554"/>
      <c r="AC92" s="554"/>
      <c r="AD92" s="554"/>
    </row>
    <row r="93" spans="1:30" ht="20.25">
      <c r="A93" s="554"/>
      <c r="B93" s="554"/>
      <c r="C93" s="554"/>
      <c r="D93" s="554"/>
      <c r="E93" s="554"/>
      <c r="F93" s="554"/>
      <c r="G93" s="554"/>
      <c r="H93" s="554"/>
      <c r="I93" s="554"/>
      <c r="J93" s="554"/>
      <c r="K93" s="554"/>
      <c r="L93" s="554"/>
      <c r="M93" s="554"/>
      <c r="N93" s="554"/>
      <c r="O93" s="554"/>
      <c r="P93" s="554"/>
      <c r="Q93" s="554"/>
      <c r="R93" s="662"/>
      <c r="S93" s="662"/>
      <c r="T93" s="554"/>
      <c r="U93" s="651"/>
      <c r="V93" s="651"/>
      <c r="W93" s="651"/>
      <c r="X93" s="651"/>
      <c r="Y93" s="554"/>
      <c r="Z93" s="554"/>
      <c r="AA93" s="554"/>
      <c r="AB93" s="554"/>
      <c r="AC93" s="554"/>
      <c r="AD93" s="554"/>
    </row>
    <row r="94" spans="1:30" ht="20.25">
      <c r="A94" s="554"/>
      <c r="B94" s="554"/>
      <c r="C94" s="554"/>
      <c r="D94" s="554"/>
      <c r="E94" s="554"/>
      <c r="F94" s="554"/>
      <c r="G94" s="554"/>
      <c r="H94" s="554"/>
      <c r="I94" s="554"/>
      <c r="J94" s="554"/>
      <c r="K94" s="554"/>
      <c r="L94" s="554"/>
      <c r="M94" s="554"/>
      <c r="N94" s="554"/>
      <c r="O94" s="554"/>
      <c r="P94" s="554"/>
      <c r="Q94" s="554"/>
      <c r="R94" s="662"/>
      <c r="S94" s="662"/>
      <c r="T94" s="554"/>
      <c r="U94" s="651"/>
      <c r="V94" s="651"/>
      <c r="W94" s="651"/>
      <c r="X94" s="651"/>
      <c r="Y94" s="554"/>
      <c r="Z94" s="554"/>
      <c r="AA94" s="554"/>
      <c r="AB94" s="554"/>
      <c r="AC94" s="554"/>
      <c r="AD94" s="554"/>
    </row>
    <row r="95" spans="1:30" ht="20.25">
      <c r="A95" s="554"/>
      <c r="B95" s="554"/>
      <c r="C95" s="554"/>
      <c r="D95" s="554"/>
      <c r="E95" s="554"/>
      <c r="F95" s="554"/>
      <c r="G95" s="554"/>
      <c r="H95" s="554"/>
      <c r="I95" s="554"/>
      <c r="J95" s="554"/>
      <c r="K95" s="554"/>
      <c r="L95" s="554"/>
      <c r="M95" s="554"/>
      <c r="N95" s="554"/>
      <c r="O95" s="554"/>
      <c r="P95" s="554"/>
      <c r="Q95" s="554"/>
      <c r="R95" s="662"/>
      <c r="S95" s="662"/>
      <c r="T95" s="554"/>
      <c r="U95" s="651"/>
      <c r="V95" s="651"/>
      <c r="W95" s="651"/>
      <c r="X95" s="651"/>
      <c r="Y95" s="554"/>
      <c r="Z95" s="554"/>
      <c r="AA95" s="554"/>
      <c r="AB95" s="554"/>
      <c r="AC95" s="554"/>
      <c r="AD95" s="554"/>
    </row>
    <row r="96" spans="1:30" ht="20.25">
      <c r="A96" s="554"/>
      <c r="B96" s="554"/>
      <c r="C96" s="554"/>
      <c r="D96" s="554"/>
      <c r="E96" s="554"/>
      <c r="F96" s="554"/>
      <c r="G96" s="554"/>
      <c r="H96" s="554"/>
      <c r="I96" s="554"/>
      <c r="J96" s="554"/>
      <c r="K96" s="554"/>
      <c r="L96" s="554"/>
      <c r="M96" s="554"/>
      <c r="N96" s="554"/>
      <c r="O96" s="554"/>
      <c r="P96" s="554"/>
      <c r="Q96" s="554"/>
      <c r="R96" s="662"/>
      <c r="S96" s="662"/>
      <c r="T96" s="554"/>
      <c r="U96" s="651"/>
      <c r="V96" s="651"/>
      <c r="W96" s="651"/>
      <c r="X96" s="651"/>
      <c r="Y96" s="554"/>
      <c r="Z96" s="554"/>
      <c r="AA96" s="554"/>
      <c r="AB96" s="554"/>
      <c r="AC96" s="554"/>
      <c r="AD96" s="554"/>
    </row>
    <row r="97" spans="1:30" ht="20.25">
      <c r="A97" s="554"/>
      <c r="B97" s="554"/>
      <c r="C97" s="554"/>
      <c r="D97" s="554"/>
      <c r="E97" s="554"/>
      <c r="F97" s="554"/>
      <c r="G97" s="554"/>
      <c r="H97" s="554"/>
      <c r="I97" s="554"/>
      <c r="J97" s="554"/>
      <c r="K97" s="554"/>
      <c r="L97" s="554"/>
      <c r="M97" s="554"/>
      <c r="N97" s="554"/>
      <c r="O97" s="554"/>
      <c r="P97" s="554"/>
      <c r="Q97" s="554"/>
      <c r="R97" s="662"/>
      <c r="S97" s="662"/>
      <c r="T97" s="554"/>
      <c r="U97" s="651"/>
      <c r="V97" s="651"/>
      <c r="W97" s="651"/>
      <c r="X97" s="651"/>
      <c r="Y97" s="554"/>
      <c r="Z97" s="554"/>
      <c r="AA97" s="554"/>
      <c r="AB97" s="554"/>
      <c r="AC97" s="554"/>
      <c r="AD97" s="554"/>
    </row>
    <row r="98" spans="1:30" ht="20.25">
      <c r="A98" s="554"/>
      <c r="B98" s="554"/>
      <c r="C98" s="554"/>
      <c r="D98" s="554"/>
      <c r="E98" s="554"/>
      <c r="F98" s="554"/>
      <c r="G98" s="554"/>
      <c r="H98" s="554"/>
      <c r="I98" s="554"/>
      <c r="J98" s="554"/>
      <c r="K98" s="554"/>
      <c r="L98" s="554"/>
      <c r="M98" s="554"/>
      <c r="N98" s="554"/>
      <c r="O98" s="554"/>
      <c r="P98" s="554"/>
      <c r="Q98" s="554"/>
      <c r="R98" s="662"/>
      <c r="S98" s="662"/>
      <c r="T98" s="554"/>
      <c r="U98" s="651"/>
      <c r="V98" s="651"/>
      <c r="W98" s="651"/>
      <c r="X98" s="651"/>
      <c r="Y98" s="554"/>
      <c r="Z98" s="554"/>
      <c r="AA98" s="554"/>
      <c r="AB98" s="554"/>
      <c r="AC98" s="554"/>
      <c r="AD98" s="554"/>
    </row>
    <row r="99" spans="1:30" ht="20.25">
      <c r="A99" s="554"/>
      <c r="B99" s="554"/>
      <c r="C99" s="554"/>
      <c r="D99" s="554"/>
      <c r="E99" s="554"/>
      <c r="F99" s="554"/>
      <c r="G99" s="554"/>
      <c r="H99" s="554"/>
      <c r="I99" s="554"/>
      <c r="J99" s="554"/>
      <c r="K99" s="554"/>
      <c r="L99" s="554"/>
      <c r="M99" s="554"/>
      <c r="N99" s="554"/>
      <c r="O99" s="554"/>
      <c r="P99" s="554"/>
      <c r="Q99" s="554"/>
      <c r="R99" s="662"/>
      <c r="S99" s="662"/>
      <c r="T99" s="554"/>
      <c r="U99" s="651"/>
      <c r="V99" s="651"/>
      <c r="W99" s="651"/>
      <c r="X99" s="651"/>
      <c r="Y99" s="554"/>
      <c r="Z99" s="554"/>
      <c r="AA99" s="554"/>
      <c r="AB99" s="554"/>
      <c r="AC99" s="554"/>
      <c r="AD99" s="554"/>
    </row>
    <row r="100" spans="1:30" ht="20.25">
      <c r="A100" s="554"/>
      <c r="B100" s="554"/>
      <c r="C100" s="554"/>
      <c r="D100" s="554"/>
      <c r="E100" s="554"/>
      <c r="F100" s="554"/>
      <c r="G100" s="554"/>
      <c r="H100" s="554"/>
      <c r="I100" s="554"/>
      <c r="J100" s="554"/>
      <c r="K100" s="554"/>
      <c r="L100" s="554"/>
      <c r="M100" s="554"/>
      <c r="N100" s="554"/>
      <c r="O100" s="554"/>
      <c r="P100" s="554"/>
      <c r="Q100" s="554"/>
      <c r="R100" s="662"/>
      <c r="S100" s="662"/>
      <c r="T100" s="554"/>
      <c r="U100" s="651"/>
      <c r="V100" s="651"/>
      <c r="W100" s="651"/>
      <c r="X100" s="651"/>
      <c r="Y100" s="554"/>
      <c r="Z100" s="554"/>
      <c r="AA100" s="554"/>
      <c r="AB100" s="554"/>
      <c r="AC100" s="554"/>
      <c r="AD100" s="554"/>
    </row>
    <row r="101" spans="1:30" ht="20.25">
      <c r="A101" s="554"/>
      <c r="B101" s="554"/>
      <c r="C101" s="554"/>
      <c r="D101" s="554"/>
      <c r="E101" s="554"/>
      <c r="F101" s="554"/>
      <c r="G101" s="554"/>
      <c r="H101" s="554"/>
      <c r="I101" s="554"/>
      <c r="J101" s="554"/>
      <c r="K101" s="554"/>
      <c r="L101" s="554"/>
      <c r="M101" s="554"/>
      <c r="N101" s="554"/>
      <c r="O101" s="554"/>
      <c r="P101" s="554"/>
      <c r="Q101" s="554"/>
      <c r="R101" s="662"/>
      <c r="S101" s="662"/>
      <c r="T101" s="554"/>
      <c r="U101" s="651"/>
      <c r="V101" s="651"/>
      <c r="W101" s="651"/>
      <c r="X101" s="651"/>
      <c r="Y101" s="554"/>
      <c r="Z101" s="554"/>
      <c r="AA101" s="554"/>
      <c r="AB101" s="554"/>
      <c r="AC101" s="554"/>
      <c r="AD101" s="554"/>
    </row>
    <row r="102" spans="1:30" ht="20.25">
      <c r="A102" s="554"/>
      <c r="B102" s="554"/>
      <c r="C102" s="554"/>
      <c r="D102" s="554"/>
      <c r="E102" s="554"/>
      <c r="F102" s="554"/>
      <c r="G102" s="554"/>
      <c r="H102" s="554"/>
      <c r="I102" s="554"/>
      <c r="J102" s="554"/>
      <c r="K102" s="554"/>
      <c r="L102" s="554"/>
      <c r="M102" s="554"/>
      <c r="N102" s="554"/>
      <c r="O102" s="554"/>
      <c r="P102" s="554"/>
      <c r="Q102" s="554"/>
      <c r="R102" s="662"/>
      <c r="S102" s="662"/>
      <c r="T102" s="554"/>
      <c r="U102" s="651"/>
      <c r="V102" s="651"/>
      <c r="W102" s="651"/>
      <c r="X102" s="651"/>
      <c r="Y102" s="554"/>
      <c r="Z102" s="554"/>
      <c r="AA102" s="554"/>
      <c r="AB102" s="554"/>
      <c r="AC102" s="554"/>
      <c r="AD102" s="554"/>
    </row>
    <row r="103" spans="1:30" ht="20.25">
      <c r="A103" s="554"/>
      <c r="B103" s="554"/>
      <c r="C103" s="554"/>
      <c r="D103" s="554"/>
      <c r="E103" s="554"/>
      <c r="F103" s="554"/>
      <c r="G103" s="554"/>
      <c r="H103" s="554"/>
      <c r="I103" s="554"/>
      <c r="J103" s="554"/>
      <c r="K103" s="554"/>
      <c r="L103" s="554"/>
      <c r="M103" s="554"/>
      <c r="N103" s="554"/>
      <c r="O103" s="554"/>
      <c r="P103" s="554"/>
      <c r="Q103" s="554"/>
      <c r="R103" s="662"/>
      <c r="S103" s="662"/>
      <c r="T103" s="554"/>
      <c r="U103" s="651"/>
      <c r="V103" s="651"/>
      <c r="W103" s="651"/>
      <c r="X103" s="651"/>
      <c r="Y103" s="554"/>
      <c r="Z103" s="554"/>
      <c r="AA103" s="554"/>
      <c r="AB103" s="554"/>
      <c r="AC103" s="554"/>
      <c r="AD103" s="554"/>
    </row>
    <row r="104" spans="1:30" ht="20.25">
      <c r="A104" s="554"/>
      <c r="B104" s="554"/>
      <c r="C104" s="554"/>
      <c r="D104" s="554"/>
      <c r="E104" s="554"/>
      <c r="F104" s="554"/>
      <c r="G104" s="554"/>
      <c r="H104" s="554"/>
      <c r="I104" s="554"/>
      <c r="J104" s="554"/>
      <c r="K104" s="554"/>
      <c r="L104" s="554"/>
      <c r="M104" s="554"/>
      <c r="N104" s="554"/>
      <c r="O104" s="554"/>
      <c r="P104" s="554"/>
      <c r="Q104" s="554"/>
      <c r="R104" s="662"/>
      <c r="S104" s="662"/>
      <c r="T104" s="554"/>
      <c r="U104" s="651"/>
      <c r="V104" s="651"/>
      <c r="W104" s="651"/>
      <c r="X104" s="651"/>
      <c r="Y104" s="554"/>
      <c r="Z104" s="554"/>
      <c r="AA104" s="554"/>
      <c r="AB104" s="554"/>
      <c r="AC104" s="554"/>
      <c r="AD104" s="554"/>
    </row>
    <row r="105" spans="1:30" ht="20.25">
      <c r="A105" s="554"/>
      <c r="B105" s="554"/>
      <c r="C105" s="554"/>
      <c r="D105" s="554"/>
      <c r="E105" s="554"/>
      <c r="F105" s="554"/>
      <c r="G105" s="554"/>
      <c r="H105" s="554"/>
      <c r="I105" s="554"/>
      <c r="J105" s="554"/>
      <c r="K105" s="554"/>
      <c r="L105" s="554"/>
      <c r="M105" s="554"/>
      <c r="N105" s="554"/>
      <c r="O105" s="554"/>
      <c r="P105" s="554"/>
      <c r="Q105" s="554"/>
      <c r="R105" s="662"/>
      <c r="S105" s="662"/>
      <c r="T105" s="554"/>
      <c r="U105" s="651"/>
      <c r="V105" s="651"/>
      <c r="W105" s="651"/>
      <c r="X105" s="651"/>
      <c r="Y105" s="554"/>
      <c r="Z105" s="554"/>
      <c r="AA105" s="554"/>
      <c r="AB105" s="554"/>
      <c r="AC105" s="554"/>
      <c r="AD105" s="554"/>
    </row>
    <row r="106" spans="1:30" ht="20.25">
      <c r="U106" s="651"/>
      <c r="V106" s="651"/>
      <c r="W106" s="651"/>
      <c r="X106" s="651"/>
    </row>
    <row r="107" spans="1:30" ht="20.25">
      <c r="U107" s="651"/>
      <c r="V107" s="651"/>
      <c r="W107" s="651"/>
      <c r="X107" s="651"/>
    </row>
    <row r="108" spans="1:30" ht="20.25">
      <c r="U108" s="651"/>
      <c r="V108" s="651"/>
      <c r="W108" s="651"/>
      <c r="X108" s="651"/>
    </row>
    <row r="109" spans="1:30" ht="20.25">
      <c r="V109" s="651"/>
      <c r="W109" s="651"/>
      <c r="X109" s="651"/>
    </row>
    <row r="110" spans="1:30" ht="20.25">
      <c r="V110" s="651"/>
      <c r="W110" s="651"/>
      <c r="X110" s="651"/>
    </row>
  </sheetData>
  <mergeCells count="54">
    <mergeCell ref="B20:E20"/>
    <mergeCell ref="G20:Q20"/>
    <mergeCell ref="B7:R7"/>
    <mergeCell ref="B8:G8"/>
    <mergeCell ref="I8:R8"/>
    <mergeCell ref="B11:R11"/>
    <mergeCell ref="B12:J12"/>
    <mergeCell ref="L12:R12"/>
    <mergeCell ref="B15:R15"/>
    <mergeCell ref="B16:F16"/>
    <mergeCell ref="G16:M16"/>
    <mergeCell ref="N16:R16"/>
    <mergeCell ref="B19:R19"/>
    <mergeCell ref="B23:R23"/>
    <mergeCell ref="B24:C24"/>
    <mergeCell ref="B27:R27"/>
    <mergeCell ref="B28:C28"/>
    <mergeCell ref="D28:R28"/>
    <mergeCell ref="B31:R31"/>
    <mergeCell ref="B32:D32"/>
    <mergeCell ref="E32:R32"/>
    <mergeCell ref="B35:R35"/>
    <mergeCell ref="B36:D36"/>
    <mergeCell ref="E36:R36"/>
    <mergeCell ref="B39:R39"/>
    <mergeCell ref="B40:E40"/>
    <mergeCell ref="F40:R40"/>
    <mergeCell ref="B43:R43"/>
    <mergeCell ref="B44:F44"/>
    <mergeCell ref="G44:R44"/>
    <mergeCell ref="F59:N59"/>
    <mergeCell ref="P59:R59"/>
    <mergeCell ref="B47:C47"/>
    <mergeCell ref="D47:R47"/>
    <mergeCell ref="B48:R48"/>
    <mergeCell ref="B51:D51"/>
    <mergeCell ref="E51:R51"/>
    <mergeCell ref="B52:R52"/>
    <mergeCell ref="B68:R68"/>
    <mergeCell ref="V5:W5"/>
    <mergeCell ref="D24:R24"/>
    <mergeCell ref="B60:R60"/>
    <mergeCell ref="B63:J63"/>
    <mergeCell ref="K63:L63"/>
    <mergeCell ref="M63:R63"/>
    <mergeCell ref="B64:R64"/>
    <mergeCell ref="B67:G67"/>
    <mergeCell ref="H67:I67"/>
    <mergeCell ref="J67:R67"/>
    <mergeCell ref="B55:N55"/>
    <mergeCell ref="O55:P55"/>
    <mergeCell ref="Q55:R55"/>
    <mergeCell ref="B56:R56"/>
    <mergeCell ref="B59:E5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19F74E"/>
  </sheetPr>
  <dimension ref="A1:EC111"/>
  <sheetViews>
    <sheetView tabSelected="1" zoomScale="60" zoomScaleNormal="60" workbookViewId="0">
      <selection activeCell="F7" sqref="F7"/>
    </sheetView>
  </sheetViews>
  <sheetFormatPr baseColWidth="10" defaultRowHeight="21"/>
  <cols>
    <col min="3" max="3" width="13.42578125" customWidth="1"/>
    <col min="4" max="4" width="6.85546875" customWidth="1"/>
    <col min="5" max="20" width="8.7109375" customWidth="1"/>
    <col min="21" max="21" width="4.28515625" customWidth="1"/>
    <col min="22" max="22" width="16.85546875" customWidth="1"/>
    <col min="24" max="24" width="8.28515625" customWidth="1"/>
    <col min="25" max="25" width="32" customWidth="1"/>
    <col min="26" max="26" width="24.5703125" customWidth="1"/>
    <col min="27" max="27" width="16.7109375" customWidth="1"/>
    <col min="28" max="28" width="7.5703125" customWidth="1"/>
    <col min="31" max="31" width="9.42578125" customWidth="1"/>
    <col min="32" max="32" width="7.5703125" customWidth="1"/>
    <col min="33" max="33" width="27.28515625" customWidth="1"/>
    <col min="34" max="34" width="11.42578125" style="290"/>
    <col min="35" max="35" width="7.42578125" style="563" customWidth="1"/>
    <col min="36" max="36" width="7.85546875" style="290" customWidth="1"/>
    <col min="37" max="37" width="10.7109375" style="290" customWidth="1"/>
    <col min="38" max="38" width="10" style="290" customWidth="1"/>
    <col min="39" max="39" width="3.42578125" style="290" customWidth="1"/>
    <col min="40" max="40" width="29" style="476" customWidth="1"/>
    <col min="41" max="41" width="12.7109375" style="290" customWidth="1"/>
    <col min="42" max="42" width="7.42578125" style="554" customWidth="1"/>
    <col min="43" max="43" width="13.28515625" style="554" customWidth="1"/>
    <col min="44" max="44" width="11.28515625" style="554" customWidth="1"/>
    <col min="45" max="45" width="3.7109375" style="554" customWidth="1"/>
    <col min="46" max="46" width="25.5703125" style="554" customWidth="1"/>
    <col min="47" max="47" width="9.5703125" style="554" customWidth="1"/>
    <col min="48" max="48" width="7.7109375" style="554" customWidth="1"/>
    <col min="49" max="49" width="9.5703125" style="554" customWidth="1"/>
    <col min="50" max="50" width="4.140625" style="554" customWidth="1"/>
    <col min="51" max="51" width="29.42578125" style="554" customWidth="1"/>
    <col min="52" max="52" width="5.28515625" customWidth="1"/>
    <col min="53" max="53" width="8.28515625" style="290" customWidth="1"/>
    <col min="54" max="54" width="2.85546875" style="290" hidden="1" customWidth="1"/>
    <col min="55" max="55" width="11.85546875" style="290" hidden="1" customWidth="1"/>
    <col min="56" max="56" width="9" style="290" hidden="1" customWidth="1"/>
    <col min="57" max="57" width="12.140625" style="290" hidden="1" customWidth="1"/>
    <col min="58" max="58" width="9.42578125" style="290" hidden="1" customWidth="1"/>
    <col min="59" max="59" width="9" style="290" hidden="1" customWidth="1"/>
    <col min="60" max="60" width="11" style="290" hidden="1" customWidth="1"/>
    <col min="61" max="62" width="8.140625" style="290" hidden="1" customWidth="1"/>
    <col min="63" max="63" width="8.28515625" style="290" hidden="1" customWidth="1"/>
    <col min="64" max="64" width="11.28515625" style="290" hidden="1" customWidth="1"/>
    <col min="65" max="65" width="8.140625" style="290" hidden="1" customWidth="1"/>
    <col min="66" max="66" width="9.5703125" style="290" hidden="1" customWidth="1"/>
    <col min="67" max="67" width="8.28515625" style="290" hidden="1" customWidth="1"/>
    <col min="68" max="68" width="8.140625" style="290" hidden="1" customWidth="1"/>
    <col min="69" max="69" width="6.42578125" style="290" hidden="1" customWidth="1"/>
    <col min="70" max="70" width="8" style="290" hidden="1" customWidth="1"/>
    <col min="71" max="71" width="7.28515625" style="290" hidden="1" customWidth="1"/>
    <col min="72" max="72" width="9.5703125" style="290" customWidth="1"/>
    <col min="73" max="73" width="2.28515625" style="290" customWidth="1"/>
    <col min="74" max="74" width="9.5703125" style="547" customWidth="1"/>
    <col min="75" max="75" width="9.140625" style="290" customWidth="1"/>
    <col min="76" max="76" width="9.28515625" style="290" customWidth="1"/>
    <col min="77" max="77" width="10.5703125" style="290" customWidth="1"/>
    <col min="78" max="78" width="8.85546875" style="290" customWidth="1"/>
    <col min="79" max="79" width="21.85546875" style="547" hidden="1" customWidth="1"/>
    <col min="80" max="80" width="7.5703125" style="290" customWidth="1"/>
    <col min="81" max="81" width="9" style="290" customWidth="1"/>
    <col min="82" max="82" width="9.140625" style="290" customWidth="1"/>
    <col min="83" max="83" width="9.5703125" style="547" customWidth="1"/>
    <col min="84" max="84" width="10.7109375" style="290" customWidth="1"/>
    <col min="85" max="85" width="8.7109375" style="290" customWidth="1"/>
    <col min="86" max="86" width="9" style="644" customWidth="1"/>
    <col min="87" max="88" width="8.7109375" style="290" customWidth="1"/>
    <col min="89" max="89" width="8.85546875" style="547" customWidth="1"/>
    <col min="90" max="90" width="11.140625" style="290" customWidth="1"/>
    <col min="91" max="91" width="8.85546875" style="561" customWidth="1"/>
    <col min="92" max="92" width="7.85546875" style="560" customWidth="1"/>
    <col min="93" max="93" width="8.85546875" style="290" customWidth="1"/>
    <col min="94" max="94" width="8.5703125" style="560" customWidth="1"/>
    <col min="95" max="95" width="8.85546875" style="290" customWidth="1"/>
    <col min="96" max="96" width="10.42578125" style="290" customWidth="1"/>
    <col min="97" max="97" width="9.5703125" style="561" customWidth="1"/>
    <col min="98" max="98" width="8.85546875" style="290" customWidth="1"/>
    <col min="99" max="99" width="10.85546875" style="290" customWidth="1"/>
    <col min="100" max="101" width="9" style="290" customWidth="1"/>
    <col min="102" max="102" width="9.7109375" style="290" customWidth="1"/>
    <col min="103" max="103" width="9" style="561" customWidth="1"/>
    <col min="104" max="104" width="9.42578125" style="547" customWidth="1"/>
    <col min="105" max="105" width="4.85546875" style="290" customWidth="1"/>
    <col min="106" max="106" width="29.85546875" style="476" customWidth="1"/>
    <col min="107" max="108" width="8.85546875" customWidth="1"/>
    <col min="109" max="109" width="8.7109375" customWidth="1"/>
    <col min="110" max="110" width="8.7109375" style="3" customWidth="1"/>
    <col min="111" max="111" width="10.28515625" customWidth="1"/>
    <col min="112" max="112" width="6" customWidth="1"/>
    <col min="113" max="113" width="9" customWidth="1"/>
    <col min="114" max="115" width="8.85546875" customWidth="1"/>
    <col min="116" max="116" width="8.7109375" style="3" customWidth="1"/>
    <col min="117" max="117" width="9" customWidth="1"/>
    <col min="118" max="118" width="15.7109375" style="280" customWidth="1"/>
    <col min="119" max="119" width="10.85546875" customWidth="1"/>
    <col min="120" max="120" width="3" customWidth="1"/>
    <col min="121" max="121" width="40.42578125" customWidth="1"/>
    <col min="122" max="122" width="8.85546875" customWidth="1"/>
    <col min="123" max="123" width="22.7109375" customWidth="1"/>
    <col min="124" max="124" width="9" customWidth="1"/>
    <col min="125" max="125" width="16.42578125" style="280" customWidth="1"/>
    <col min="126" max="126" width="8.7109375" customWidth="1"/>
    <col min="127" max="127" width="22.7109375" customWidth="1"/>
    <col min="128" max="128" width="9" customWidth="1"/>
    <col min="129" max="129" width="14.85546875" style="280" customWidth="1"/>
    <col min="130" max="130" width="8.42578125" customWidth="1"/>
    <col min="131" max="131" width="22.7109375" customWidth="1"/>
    <col min="132" max="132" width="8.85546875" customWidth="1"/>
    <col min="133" max="133" width="13" style="280" customWidth="1"/>
    <col min="134" max="134" width="8.7109375" customWidth="1"/>
    <col min="135" max="135" width="22.5703125" customWidth="1"/>
    <col min="136" max="136" width="8.7109375" customWidth="1"/>
    <col min="137" max="137" width="13.42578125" customWidth="1"/>
    <col min="138" max="138" width="8.7109375" customWidth="1"/>
    <col min="139" max="139" width="2.42578125" customWidth="1"/>
    <col min="140" max="140" width="31.85546875" customWidth="1"/>
  </cols>
  <sheetData>
    <row r="1" spans="1:133" ht="35.25" customHeight="1" thickBot="1">
      <c r="A1" s="689" t="s">
        <v>276</v>
      </c>
      <c r="B1" s="690"/>
      <c r="C1" s="690"/>
      <c r="D1" s="690"/>
      <c r="E1" s="691"/>
      <c r="F1" s="686" t="s">
        <v>277</v>
      </c>
      <c r="G1" s="687"/>
      <c r="H1" s="687"/>
      <c r="I1" s="687"/>
      <c r="J1" s="687"/>
      <c r="K1" s="687"/>
      <c r="L1" s="688"/>
      <c r="M1" s="7"/>
      <c r="N1" s="7"/>
      <c r="O1" s="7"/>
      <c r="P1" s="7"/>
      <c r="Q1" s="248"/>
      <c r="Y1" s="448"/>
      <c r="AI1" s="561"/>
      <c r="AN1" s="290"/>
      <c r="BT1" s="476"/>
      <c r="CF1" s="554"/>
      <c r="CG1" s="547"/>
      <c r="CH1" s="560"/>
      <c r="CJ1" s="560"/>
      <c r="CK1" s="290"/>
      <c r="CN1" s="290"/>
      <c r="CP1" s="562"/>
      <c r="CT1" s="547"/>
      <c r="DA1" s="476"/>
      <c r="DB1" s="290"/>
      <c r="DC1" s="371"/>
      <c r="DE1" s="280"/>
      <c r="DF1"/>
      <c r="DL1"/>
      <c r="DN1"/>
      <c r="DU1"/>
      <c r="DY1"/>
      <c r="EC1"/>
    </row>
    <row r="2" spans="1:133" ht="3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369"/>
      <c r="AI2" s="561"/>
      <c r="AN2" s="290"/>
      <c r="BR2" s="476"/>
      <c r="BT2" s="547"/>
      <c r="BV2" s="290"/>
      <c r="BY2" s="547"/>
      <c r="CA2" s="290"/>
      <c r="CC2" s="476"/>
      <c r="CE2" s="290"/>
      <c r="CH2" s="290"/>
      <c r="CK2" s="561"/>
      <c r="CM2" s="290"/>
      <c r="CN2" s="290"/>
      <c r="CP2" s="290"/>
      <c r="CQ2" s="561"/>
      <c r="CS2" s="547"/>
      <c r="CW2" s="561"/>
      <c r="CY2" s="547"/>
      <c r="CZ2" s="476"/>
      <c r="DB2" s="290"/>
      <c r="DF2"/>
      <c r="DG2" s="3"/>
      <c r="DI2" s="280"/>
      <c r="DL2"/>
      <c r="DN2"/>
      <c r="DU2"/>
      <c r="DY2"/>
      <c r="EC2"/>
    </row>
    <row r="3" spans="1:133" s="438" customFormat="1" ht="37.5" customHeight="1" thickBot="1">
      <c r="A3" s="890" t="s">
        <v>17</v>
      </c>
      <c r="B3" s="891"/>
      <c r="C3" s="449">
        <f ca="1">TODAY()</f>
        <v>44217</v>
      </c>
      <c r="D3" s="753">
        <f ca="1">YEAR(NOW())</f>
        <v>2021</v>
      </c>
      <c r="E3" s="754"/>
      <c r="H3" s="885" t="s">
        <v>264</v>
      </c>
      <c r="I3" s="886"/>
      <c r="J3" s="887" t="s">
        <v>258</v>
      </c>
      <c r="K3" s="888"/>
      <c r="L3" s="889"/>
      <c r="M3" s="450"/>
      <c r="N3" s="450"/>
      <c r="O3" s="450"/>
      <c r="P3" s="451"/>
      <c r="Q3" s="20"/>
      <c r="R3" s="20"/>
      <c r="S3" s="20"/>
      <c r="U3"/>
      <c r="V3"/>
      <c r="W3"/>
      <c r="X3"/>
      <c r="Y3"/>
      <c r="Z3"/>
      <c r="AA3"/>
      <c r="AB3"/>
      <c r="AC3"/>
      <c r="AD3"/>
      <c r="AE3"/>
      <c r="AF3" s="290"/>
      <c r="AG3" s="290"/>
      <c r="AH3" s="290"/>
      <c r="AI3" s="561"/>
      <c r="AJ3" s="290"/>
      <c r="AK3" s="290"/>
      <c r="AL3" s="290"/>
      <c r="AM3" s="290"/>
      <c r="AN3" s="554"/>
      <c r="AO3" s="554"/>
      <c r="AP3" s="554"/>
      <c r="AQ3" s="554"/>
      <c r="AR3" s="554"/>
      <c r="AS3" s="554"/>
      <c r="AT3" s="554"/>
      <c r="AU3" s="554"/>
      <c r="AV3" s="554"/>
      <c r="AW3" s="554"/>
      <c r="AX3"/>
      <c r="AY3" s="290"/>
      <c r="AZ3" s="290"/>
      <c r="BA3" s="290"/>
      <c r="BB3" s="290"/>
      <c r="BC3" s="290"/>
      <c r="BD3" s="290"/>
      <c r="BE3" s="290"/>
      <c r="BF3" s="290"/>
      <c r="BG3" s="290"/>
      <c r="BH3" s="290"/>
      <c r="BI3" s="290"/>
      <c r="BJ3" s="290"/>
      <c r="BK3" s="290"/>
      <c r="BL3" s="290"/>
      <c r="BM3" s="290"/>
      <c r="BN3" s="290"/>
      <c r="BO3" s="290"/>
      <c r="BP3" s="290"/>
      <c r="BQ3" s="290"/>
      <c r="BR3" s="290"/>
      <c r="BS3" s="290"/>
      <c r="BT3" s="547"/>
      <c r="BU3" s="290"/>
      <c r="BV3" s="290"/>
      <c r="BW3" s="290"/>
      <c r="BX3" s="290"/>
      <c r="BY3" s="547"/>
      <c r="BZ3" s="290"/>
      <c r="CA3" s="290"/>
      <c r="CB3" s="290"/>
      <c r="CC3" s="290"/>
      <c r="CD3" s="290"/>
      <c r="CE3" s="290"/>
      <c r="CF3" s="290"/>
      <c r="CG3" s="290"/>
      <c r="CH3" s="290"/>
      <c r="CI3" s="290"/>
      <c r="CJ3" s="290"/>
      <c r="CK3" s="561"/>
      <c r="CL3" s="547"/>
      <c r="CM3" s="290"/>
      <c r="CN3" s="290"/>
      <c r="CO3" s="290"/>
      <c r="CP3" s="290"/>
      <c r="CQ3" s="563"/>
      <c r="CR3" s="564"/>
      <c r="CS3" s="290"/>
      <c r="CT3" s="290"/>
      <c r="CU3" s="290"/>
      <c r="CV3" s="290"/>
      <c r="CW3" s="561"/>
      <c r="CX3" s="547"/>
      <c r="CY3" s="290"/>
      <c r="CZ3" s="565"/>
      <c r="DA3" s="452"/>
      <c r="DG3" s="452"/>
      <c r="DI3" s="453"/>
    </row>
    <row r="4" spans="1:133" ht="39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AI4" s="561"/>
      <c r="AN4" s="290"/>
      <c r="AX4" s="747" t="s">
        <v>194</v>
      </c>
      <c r="AY4" s="747"/>
      <c r="AZ4" s="747"/>
      <c r="BA4" s="289" t="str">
        <f>+G11</f>
        <v>1</v>
      </c>
      <c r="BU4" s="781" t="s">
        <v>202</v>
      </c>
      <c r="BV4" s="782"/>
      <c r="BW4" s="782"/>
      <c r="BX4" s="652">
        <f>+R6</f>
        <v>8</v>
      </c>
      <c r="BY4" s="566">
        <f>COUNTIF(BV10:BX71,"OFFICE")</f>
        <v>8</v>
      </c>
      <c r="CE4" s="290"/>
      <c r="CH4" s="290"/>
      <c r="CK4" s="290"/>
      <c r="CN4" s="290"/>
      <c r="CO4" s="547"/>
      <c r="CP4" s="290"/>
      <c r="CU4" s="547"/>
      <c r="CZ4" s="290"/>
      <c r="DA4" s="547"/>
      <c r="DB4" s="290"/>
      <c r="DH4" s="280"/>
      <c r="DL4"/>
      <c r="DN4"/>
      <c r="DU4"/>
      <c r="DY4"/>
      <c r="EC4"/>
    </row>
    <row r="5" spans="1:133" ht="37.5" customHeight="1" thickBot="1">
      <c r="A5" s="427"/>
      <c r="B5" s="774" t="s">
        <v>260</v>
      </c>
      <c r="C5" s="775"/>
      <c r="D5" s="776" t="s">
        <v>262</v>
      </c>
      <c r="E5" s="777"/>
      <c r="F5" s="778"/>
      <c r="H5" s="779" t="s">
        <v>292</v>
      </c>
      <c r="I5" s="780"/>
      <c r="J5" s="755" t="s">
        <v>270</v>
      </c>
      <c r="K5" s="756"/>
      <c r="L5" s="757"/>
      <c r="M5" s="50"/>
      <c r="N5" s="50"/>
      <c r="O5" s="50"/>
      <c r="P5" s="50"/>
      <c r="Q5" s="50"/>
      <c r="R5" s="50"/>
      <c r="S5" s="50"/>
      <c r="T5" s="50"/>
      <c r="U5" s="50"/>
      <c r="V5" s="50"/>
      <c r="AH5"/>
      <c r="AI5" s="682"/>
      <c r="AJ5"/>
      <c r="AN5" s="290"/>
      <c r="AP5" s="290"/>
      <c r="AQ5" s="290"/>
      <c r="AR5" s="290"/>
      <c r="AZ5" s="554"/>
      <c r="BA5" s="554"/>
      <c r="BB5" s="554"/>
      <c r="BC5"/>
      <c r="BV5" s="567"/>
      <c r="BW5" s="567"/>
      <c r="BX5" s="567"/>
      <c r="BY5" s="568"/>
      <c r="BZ5" s="567"/>
      <c r="CA5" s="567"/>
      <c r="CD5" s="547"/>
      <c r="CE5" s="569"/>
      <c r="CG5" s="560"/>
      <c r="CH5" s="290"/>
      <c r="CK5" s="290"/>
      <c r="CM5" s="290"/>
      <c r="CN5" s="290"/>
      <c r="CP5" s="561"/>
      <c r="CQ5" s="372"/>
      <c r="CS5" s="290"/>
      <c r="CV5" s="561"/>
      <c r="CW5" s="547"/>
      <c r="CY5" s="290"/>
      <c r="CZ5" s="290"/>
      <c r="DB5" s="561"/>
      <c r="DC5" s="547"/>
      <c r="DD5" s="290"/>
      <c r="DE5" s="565"/>
      <c r="DF5"/>
      <c r="DH5" s="3"/>
      <c r="DJ5" s="280"/>
      <c r="DL5"/>
      <c r="DN5"/>
      <c r="DU5"/>
      <c r="DY5"/>
      <c r="EC5"/>
    </row>
    <row r="6" spans="1:133" ht="31.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72" t="s">
        <v>202</v>
      </c>
      <c r="P6" s="773"/>
      <c r="Q6" s="773"/>
      <c r="R6" s="436">
        <f>IF(D18=24,8,IF(D18=25,7,IF(D18=26,6,IF(D18=27,5,IF(D18=26,6,IF(D18=27,5,IF(D18=28,4,IF(D18=29,3,IF(D18=31,1,IF(D18=30,2,IF(D18=31,1,IF(D18=32,0,0))))))))))))</f>
        <v>8</v>
      </c>
      <c r="S6" s="7"/>
      <c r="T6" s="7"/>
      <c r="U6" s="7"/>
      <c r="V6" s="7"/>
      <c r="AI6" s="561"/>
      <c r="AJ6" s="476"/>
      <c r="AN6" s="290"/>
      <c r="BS6" s="570"/>
      <c r="BT6" s="570"/>
      <c r="BU6" s="570"/>
      <c r="BV6" s="570"/>
      <c r="BW6" s="570"/>
      <c r="BX6" s="570"/>
      <c r="CD6" s="560"/>
      <c r="CE6" s="290"/>
      <c r="CF6" s="560"/>
      <c r="CH6" s="290"/>
      <c r="CK6" s="290"/>
      <c r="CN6" s="290"/>
      <c r="CP6" s="547"/>
      <c r="CV6" s="547"/>
      <c r="CZ6" s="290"/>
      <c r="DB6" s="547"/>
      <c r="DF6"/>
      <c r="DL6"/>
      <c r="DN6"/>
      <c r="DU6"/>
      <c r="DY6"/>
      <c r="EC6"/>
    </row>
    <row r="7" spans="1:133" ht="37.5" customHeight="1" thickBot="1">
      <c r="A7" s="7"/>
      <c r="B7" s="7"/>
      <c r="C7" s="52"/>
      <c r="D7" s="30"/>
      <c r="E7" s="30"/>
      <c r="F7" s="30"/>
      <c r="G7" s="30"/>
      <c r="H7" s="53"/>
      <c r="I7" s="7"/>
      <c r="J7" s="7"/>
      <c r="K7" s="54" t="s">
        <v>203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2"/>
      <c r="X7" s="2"/>
      <c r="Y7" s="2"/>
      <c r="Z7" s="2"/>
      <c r="AA7" s="351" t="s">
        <v>69</v>
      </c>
      <c r="AB7" s="2"/>
      <c r="AC7" s="211"/>
      <c r="AD7" s="424"/>
      <c r="AE7" s="759" t="s">
        <v>55</v>
      </c>
      <c r="AF7" s="760"/>
      <c r="AG7" s="760"/>
      <c r="AH7" s="761"/>
      <c r="AK7" s="856" t="s">
        <v>56</v>
      </c>
      <c r="AL7" s="857"/>
      <c r="AM7" s="857"/>
      <c r="AN7" s="857"/>
      <c r="AO7" s="858"/>
      <c r="AQ7" s="853" t="s">
        <v>157</v>
      </c>
      <c r="AR7" s="854"/>
      <c r="AS7" s="854"/>
      <c r="AT7" s="854"/>
      <c r="AU7" s="855"/>
      <c r="AW7" s="508"/>
      <c r="AY7" s="317" t="s">
        <v>73</v>
      </c>
      <c r="BC7" s="571" t="s">
        <v>311</v>
      </c>
      <c r="BD7" s="571" t="s">
        <v>278</v>
      </c>
      <c r="BE7" s="571" t="s">
        <v>279</v>
      </c>
      <c r="BF7" s="571" t="s">
        <v>280</v>
      </c>
      <c r="BG7" s="571" t="s">
        <v>283</v>
      </c>
      <c r="BH7" s="571" t="s">
        <v>282</v>
      </c>
      <c r="BI7" s="571" t="s">
        <v>281</v>
      </c>
      <c r="BJ7" s="572">
        <v>425</v>
      </c>
      <c r="BK7" s="572">
        <v>415</v>
      </c>
      <c r="BL7" s="572">
        <v>405</v>
      </c>
      <c r="BM7" s="572">
        <v>395</v>
      </c>
      <c r="BN7" s="572">
        <v>385</v>
      </c>
      <c r="BO7" s="572">
        <v>375</v>
      </c>
      <c r="BP7" s="572">
        <v>365</v>
      </c>
      <c r="BQ7" s="572">
        <v>355</v>
      </c>
      <c r="BR7" s="572">
        <v>345</v>
      </c>
      <c r="BS7" s="573">
        <v>335</v>
      </c>
      <c r="BT7" s="807" t="s">
        <v>196</v>
      </c>
      <c r="BU7" s="808"/>
      <c r="BV7" s="808"/>
      <c r="BW7" s="808"/>
      <c r="BX7" s="808"/>
      <c r="BY7" s="809"/>
      <c r="CA7" s="574"/>
      <c r="CB7" s="804" t="s">
        <v>195</v>
      </c>
      <c r="CC7" s="805"/>
      <c r="CD7" s="805"/>
      <c r="CE7" s="805"/>
      <c r="CF7" s="806"/>
      <c r="CG7" s="565"/>
      <c r="CH7" s="828" t="s">
        <v>162</v>
      </c>
      <c r="CI7" s="829"/>
      <c r="CJ7" s="829"/>
      <c r="CK7" s="829"/>
      <c r="CL7" s="830"/>
      <c r="CN7" s="807" t="s">
        <v>163</v>
      </c>
      <c r="CO7" s="808"/>
      <c r="CP7" s="808"/>
      <c r="CQ7" s="808"/>
      <c r="CR7" s="809"/>
      <c r="CT7" s="807" t="s">
        <v>164</v>
      </c>
      <c r="CU7" s="808"/>
      <c r="CV7" s="808"/>
      <c r="CW7" s="808"/>
      <c r="CX7" s="809"/>
      <c r="CZ7" s="575" t="str">
        <f>+BA4</f>
        <v>1</v>
      </c>
      <c r="DB7" s="560"/>
      <c r="DC7" s="280"/>
      <c r="DF7"/>
      <c r="DL7"/>
      <c r="DN7"/>
      <c r="DU7"/>
      <c r="DY7"/>
      <c r="EC7"/>
    </row>
    <row r="8" spans="1:133" ht="29.25" customHeight="1" thickBot="1">
      <c r="A8" s="7"/>
      <c r="B8" s="30"/>
      <c r="C8" s="30"/>
      <c r="D8" s="30"/>
      <c r="E8" s="1"/>
      <c r="F8" s="1"/>
      <c r="G8" s="30"/>
      <c r="H8" s="53"/>
      <c r="I8" s="7"/>
      <c r="J8" s="51"/>
      <c r="K8" s="7"/>
      <c r="L8" s="7"/>
      <c r="M8" s="7"/>
      <c r="N8" s="55"/>
      <c r="O8" s="7"/>
      <c r="P8" s="758" t="s">
        <v>144</v>
      </c>
      <c r="Q8" s="758"/>
      <c r="R8" s="758"/>
      <c r="S8" s="758"/>
      <c r="T8" s="7"/>
      <c r="U8" s="7"/>
      <c r="V8" s="50"/>
      <c r="W8" s="352"/>
      <c r="X8" s="353" t="s">
        <v>65</v>
      </c>
      <c r="Y8" s="354" t="s">
        <v>70</v>
      </c>
      <c r="Z8" s="355" t="s">
        <v>71</v>
      </c>
      <c r="AA8" s="356" t="s">
        <v>140</v>
      </c>
      <c r="AB8" s="357"/>
      <c r="AC8" s="211"/>
      <c r="AD8" s="463" t="s">
        <v>117</v>
      </c>
      <c r="AE8" s="358" t="s">
        <v>1</v>
      </c>
      <c r="AF8" s="359"/>
      <c r="AG8" s="435" t="s">
        <v>70</v>
      </c>
      <c r="AH8" s="477" t="s">
        <v>160</v>
      </c>
      <c r="AJ8" s="478"/>
      <c r="AK8" s="479" t="s">
        <v>158</v>
      </c>
      <c r="AL8" s="479" t="s">
        <v>79</v>
      </c>
      <c r="AM8" s="479"/>
      <c r="AN8" s="480" t="s">
        <v>159</v>
      </c>
      <c r="AO8" s="480" t="s">
        <v>160</v>
      </c>
      <c r="AP8" s="555"/>
      <c r="AQ8" s="479" t="s">
        <v>158</v>
      </c>
      <c r="AR8" s="479" t="s">
        <v>79</v>
      </c>
      <c r="AS8" s="479"/>
      <c r="AT8" s="480" t="s">
        <v>159</v>
      </c>
      <c r="AU8" s="480" t="s">
        <v>160</v>
      </c>
      <c r="AV8" s="480"/>
      <c r="AW8" s="509"/>
      <c r="AX8" s="510"/>
      <c r="AY8" s="511"/>
      <c r="AZ8" s="288"/>
      <c r="BA8" s="576"/>
      <c r="BB8" s="576"/>
      <c r="BC8" s="576"/>
      <c r="BD8" s="576"/>
      <c r="BE8" s="576"/>
      <c r="BF8" s="576"/>
      <c r="BG8" s="576"/>
      <c r="BI8" s="576"/>
      <c r="BJ8" s="576"/>
      <c r="BK8" s="576"/>
      <c r="BL8" s="572"/>
      <c r="BM8" s="572"/>
      <c r="BN8" s="572"/>
      <c r="BT8" s="577" t="s">
        <v>161</v>
      </c>
      <c r="BU8" s="577"/>
      <c r="BV8" s="578"/>
      <c r="BW8" s="579" t="s">
        <v>159</v>
      </c>
      <c r="BX8" s="579"/>
      <c r="BY8" s="579" t="s">
        <v>160</v>
      </c>
      <c r="BZ8" s="579"/>
      <c r="CA8" s="578"/>
      <c r="CB8" s="577"/>
      <c r="CC8" s="577"/>
      <c r="CD8" s="577"/>
      <c r="CE8" s="577"/>
      <c r="CF8" s="577"/>
      <c r="CG8" s="565"/>
      <c r="CH8" s="577"/>
      <c r="CI8" s="577"/>
      <c r="CJ8" s="577"/>
      <c r="CK8" s="578"/>
      <c r="CL8" s="577"/>
      <c r="CN8" s="577"/>
      <c r="CO8" s="577"/>
      <c r="CP8" s="577"/>
      <c r="CQ8" s="578"/>
      <c r="CR8" s="577"/>
      <c r="CW8" s="547"/>
      <c r="CZ8" s="290"/>
      <c r="DB8" s="290"/>
      <c r="DF8"/>
      <c r="DL8"/>
      <c r="DN8"/>
      <c r="DU8"/>
      <c r="DY8"/>
      <c r="EC8"/>
    </row>
    <row r="9" spans="1:133" ht="21.95" customHeight="1" thickTop="1" thickBot="1">
      <c r="A9" s="7"/>
      <c r="B9" s="7"/>
      <c r="C9" s="7"/>
      <c r="D9" s="7"/>
      <c r="E9" s="1"/>
      <c r="F9" s="1"/>
      <c r="G9" s="7"/>
      <c r="H9" s="7"/>
      <c r="I9" s="7"/>
      <c r="J9" s="7"/>
      <c r="K9" s="7"/>
      <c r="L9" s="7"/>
      <c r="M9" s="7"/>
      <c r="N9" s="55"/>
      <c r="O9" s="7"/>
      <c r="P9" s="7"/>
      <c r="Q9" s="7"/>
      <c r="R9" s="7"/>
      <c r="S9" s="7"/>
      <c r="T9" s="7"/>
      <c r="U9" s="7"/>
      <c r="V9" s="7"/>
      <c r="W9" s="360">
        <v>1</v>
      </c>
      <c r="X9" s="361"/>
      <c r="Y9" s="361" t="s">
        <v>115</v>
      </c>
      <c r="Z9" s="362"/>
      <c r="AA9" s="363">
        <v>1</v>
      </c>
      <c r="AB9" s="54"/>
      <c r="AC9" s="364">
        <v>1</v>
      </c>
      <c r="AD9" s="706" t="s">
        <v>18</v>
      </c>
      <c r="AE9" s="710">
        <v>1</v>
      </c>
      <c r="AF9" s="303" t="s">
        <v>10</v>
      </c>
      <c r="AG9" s="304" t="str">
        <f t="shared" ref="AG9:AG35" si="0">IF(ISNA(MATCH(AC9,$AA$9:$AA$72,0)),"",INDEX($Y$9:$Y$70,MATCH(AC9,$AA$9:$AA$72,0)))</f>
        <v>A1</v>
      </c>
      <c r="AH9" s="481">
        <v>1</v>
      </c>
      <c r="AJ9" s="482"/>
      <c r="AK9" s="844">
        <v>1</v>
      </c>
      <c r="AL9" s="847">
        <v>4</v>
      </c>
      <c r="AM9" s="483"/>
      <c r="AN9" s="484" t="str">
        <f>IF(AH9=AH10,"résultat",IF(AH9&gt;AH10,AG9,AG10))</f>
        <v>A1</v>
      </c>
      <c r="AO9" s="481">
        <v>1</v>
      </c>
      <c r="AP9" s="556"/>
      <c r="AQ9" s="859">
        <v>1</v>
      </c>
      <c r="AR9" s="512"/>
      <c r="AS9" s="512"/>
      <c r="AT9" s="512"/>
      <c r="AU9" s="513"/>
      <c r="AW9" s="514">
        <v>1</v>
      </c>
      <c r="AX9" s="515"/>
      <c r="AY9" s="516" t="str">
        <f>IF($AI10+$AI11=43,IF($AO9=$AO10,"résultat",IF($AO9&gt;$AO10,$AN9,$AN10)),(IF($AI10+$AI11=42,IF($AO9=$AO10,"résultat",IF($AO9&gt;$AO10,$AN9,$AN10)),(IF($AI10+$AI11=32,IF($AO9=$AO10,"résultat",IF($AO9&gt;$AO10,$AN9,$AN10)))))))</f>
        <v>A1</v>
      </c>
      <c r="AZ9" s="3"/>
      <c r="BA9" s="547"/>
      <c r="BB9" s="547"/>
      <c r="BC9" s="547"/>
      <c r="BD9" s="547"/>
      <c r="BE9" s="547"/>
      <c r="BF9" s="547"/>
      <c r="BG9" s="547"/>
      <c r="BI9" s="547"/>
      <c r="BJ9" s="547"/>
      <c r="BK9" s="547"/>
      <c r="BL9" s="547"/>
      <c r="BM9" s="547"/>
      <c r="BN9" s="547"/>
      <c r="BO9" s="547"/>
      <c r="BP9" s="547"/>
      <c r="BQ9" s="547"/>
      <c r="BR9" s="547"/>
      <c r="BS9" s="564"/>
      <c r="BT9" s="578"/>
      <c r="BU9" s="578"/>
      <c r="BV9" s="578"/>
      <c r="BW9" s="580" t="s">
        <v>10</v>
      </c>
      <c r="BX9" s="375"/>
      <c r="BY9" s="579"/>
      <c r="BZ9" s="579"/>
      <c r="CA9" s="581"/>
      <c r="CB9" s="577" t="s">
        <v>161</v>
      </c>
      <c r="CC9" s="577"/>
      <c r="CD9" s="582" t="s">
        <v>10</v>
      </c>
      <c r="CE9" s="375"/>
      <c r="CF9" s="579" t="s">
        <v>160</v>
      </c>
      <c r="CG9" s="583"/>
      <c r="CH9" s="583"/>
      <c r="CI9" s="583"/>
      <c r="CJ9" s="583"/>
      <c r="CK9" s="584"/>
      <c r="CL9" s="565"/>
      <c r="CN9" s="577"/>
      <c r="CO9" s="577"/>
      <c r="CP9" s="577"/>
      <c r="CQ9" s="578"/>
      <c r="CR9" s="577"/>
      <c r="CW9" s="547"/>
      <c r="CZ9" s="290"/>
      <c r="DB9" s="290"/>
      <c r="DD9" s="280"/>
      <c r="DF9"/>
      <c r="DL9"/>
      <c r="DN9"/>
      <c r="DU9"/>
      <c r="DY9"/>
      <c r="EC9"/>
    </row>
    <row r="10" spans="1:133" ht="29.25" customHeight="1" thickTop="1" thickBot="1">
      <c r="A10" s="762" t="s">
        <v>16</v>
      </c>
      <c r="B10" s="762"/>
      <c r="C10" s="762"/>
      <c r="D10" s="762"/>
      <c r="E10" s="762"/>
      <c r="F10" s="762"/>
      <c r="G10" s="432" t="str">
        <f>LEFT(J10,2)</f>
        <v>33</v>
      </c>
      <c r="H10" s="7"/>
      <c r="I10" s="7"/>
      <c r="J10" s="763">
        <v>331</v>
      </c>
      <c r="K10" s="763"/>
      <c r="L10" s="7"/>
      <c r="M10" s="7"/>
      <c r="N10" s="7"/>
      <c r="O10" s="7"/>
      <c r="P10" s="764">
        <f>IF(D17=17,7,IF(D17=18,8,IF(D17=19,9,IF(D17=20,10,IF(D17=21,9,IF(D17=22,10,IF(D17=23,11,IF(D17=24,12,IF(D17=25,11,IF(D17=26,12,IF(D17=27,13,IF(D17=28,14,IF(D17=29,13,IF(D17=30,14,IF(D17=31,15,IF(D17=32,16,IF(D17=33,15,IF(D17=34,16,IF(D17=35,17,IF(D17=36,18,IF(D17=37,17,IF(D17=38,18,IF(D17=39,19,IF(D17=40,20,IF(D17=41,19,IF(D17=42,20,IF(D17=43,21,IF(D17=44,22,IF(D17=45,21,IF(D17=46,22,IF(D17=47,23,IF(D17=48,24,IF(D17=49,23,IF(D17=50,24,IF(D17=51,25,IF(D17=52,26,IF(D17=53,25,IF(D17=54,26,IF(D17=55,27,IF(D17=56,28,IF(D17=57,27,IF(D17=58,28,IF(D17=59,29,IF(D17=60,30,IF(D17=61,29,IF(D17=62,30,IF(D17=63,31,IF(D17=64,32,IF(OR(AND(D17&gt;64,D17&lt;90),AND(D17&gt;0,D17&lt;0)),"32","0")))))))))))))))))))))))))))))))))))))))))))))))))</f>
        <v>15</v>
      </c>
      <c r="Q10" s="765"/>
      <c r="R10" s="768" t="s">
        <v>79</v>
      </c>
      <c r="S10" s="769"/>
      <c r="T10" s="7"/>
      <c r="U10" s="7"/>
      <c r="V10" s="7"/>
      <c r="W10" s="365">
        <v>2</v>
      </c>
      <c r="X10" s="292"/>
      <c r="Y10" s="292" t="s">
        <v>204</v>
      </c>
      <c r="Z10" s="293"/>
      <c r="AA10" s="291">
        <v>2</v>
      </c>
      <c r="AB10" s="54"/>
      <c r="AC10" s="366">
        <v>2</v>
      </c>
      <c r="AD10" s="706"/>
      <c r="AE10" s="709"/>
      <c r="AF10" s="296" t="s">
        <v>11</v>
      </c>
      <c r="AG10" s="310" t="str">
        <f t="shared" si="0"/>
        <v>B1</v>
      </c>
      <c r="AH10" s="485">
        <v>0</v>
      </c>
      <c r="AI10" s="683" t="str">
        <f>CONCATENATE(E17,E18)</f>
        <v>43</v>
      </c>
      <c r="AJ10" s="486"/>
      <c r="AK10" s="845"/>
      <c r="AL10" s="825"/>
      <c r="AM10" s="487"/>
      <c r="AN10" s="488" t="str">
        <f>IF(AH11=AH12,"résultat",IF(AH11&gt;AH12,AG11,AG12))</f>
        <v>C1</v>
      </c>
      <c r="AO10" s="485">
        <v>0</v>
      </c>
      <c r="AP10" s="557"/>
      <c r="AQ10" s="860"/>
      <c r="AR10" s="824"/>
      <c r="AS10" s="517"/>
      <c r="AT10" s="518" t="str">
        <f>IF(AI10+AI11=43," ",IF(AI10+AI11=42,IF($AO$9=$AO$10,"résultat",IF($AO$9&lt;$AO$10,$AN$9,$AN$10)),IF(AI10+AI11=32,IF($AO$9=$AO$10,"résultat",IF($AO$9&lt;$AO$10,$AN$9,$AN$10)))))</f>
        <v xml:space="preserve"> </v>
      </c>
      <c r="AU10" s="481">
        <v>1</v>
      </c>
      <c r="AW10" s="519">
        <v>2</v>
      </c>
      <c r="AX10" s="508"/>
      <c r="AY10" s="520" t="str">
        <f>IF($AI10+$AI11=43,IF($AO9=$AO10,"résultat",IF($AO9&lt;$AO10,$AN9,$AN10)),(IF($AI10+$AI11=42,IF($AU10=$AU11,"résultat",IF($AU10&gt;$AU11,$AT10,$AT11)),(IF($AI10+$AI11=32,IF($AU10=$AU11,"résultat",IF($AU10&lt;$AU11,$AT10,$AT11)))))))</f>
        <v>C1</v>
      </c>
      <c r="AZ10" s="3"/>
      <c r="BA10" s="547"/>
      <c r="BB10" s="547"/>
      <c r="BC10" s="727" t="s">
        <v>294</v>
      </c>
      <c r="BD10" s="727"/>
      <c r="BE10" s="727"/>
      <c r="BF10" s="727"/>
      <c r="BG10" s="727"/>
      <c r="BH10" s="727"/>
      <c r="BI10" s="727"/>
      <c r="BJ10" s="727"/>
      <c r="BK10" s="727"/>
      <c r="BL10" s="727"/>
      <c r="BM10" s="727"/>
      <c r="BN10" s="727"/>
      <c r="BO10" s="727"/>
      <c r="BP10" s="727"/>
      <c r="BQ10" s="727"/>
      <c r="BR10" s="727"/>
      <c r="BS10" s="728"/>
      <c r="BT10" s="826">
        <v>1</v>
      </c>
      <c r="BU10" s="585"/>
      <c r="BV10" s="821" t="str">
        <f>+AY9</f>
        <v>A1</v>
      </c>
      <c r="BW10" s="822"/>
      <c r="BX10" s="823"/>
      <c r="BY10" s="586">
        <v>2</v>
      </c>
      <c r="BZ10" s="526"/>
      <c r="CA10" s="526" t="s">
        <v>240</v>
      </c>
      <c r="CB10" s="712">
        <v>1</v>
      </c>
      <c r="CC10" s="871" t="str">
        <f>IF(OR(BY10=BY11),"Gagnant 1/16 A",IF(AND(BY10&gt;BY11),BV10,BV11))</f>
        <v>A1</v>
      </c>
      <c r="CD10" s="872"/>
      <c r="CE10" s="873"/>
      <c r="CF10" s="586">
        <v>1</v>
      </c>
      <c r="CG10" s="587" t="str">
        <f>IF(CF10=CF11,"&amp;",IF(CF10&gt;CF11,CC10,CC11))</f>
        <v>A1</v>
      </c>
      <c r="CH10" s="583"/>
      <c r="CI10" s="583"/>
      <c r="CJ10" s="583"/>
      <c r="CK10" s="584"/>
      <c r="CL10" s="583"/>
      <c r="CN10" s="577"/>
      <c r="CO10" s="577"/>
      <c r="CP10" s="577"/>
      <c r="CQ10" s="578"/>
      <c r="CR10" s="577"/>
      <c r="CW10" s="547"/>
      <c r="CZ10" s="290"/>
      <c r="DB10" s="290"/>
      <c r="DF10"/>
      <c r="DL10"/>
      <c r="DN10"/>
      <c r="DO10" s="246"/>
      <c r="DU10"/>
      <c r="DY10"/>
      <c r="EC10"/>
    </row>
    <row r="11" spans="1:133" ht="28.5" customHeight="1" thickBot="1">
      <c r="A11" s="762" t="s">
        <v>72</v>
      </c>
      <c r="B11" s="762"/>
      <c r="C11" s="762"/>
      <c r="D11" s="762"/>
      <c r="E11" s="762"/>
      <c r="F11" s="762"/>
      <c r="G11" s="433" t="str">
        <f>RIGHT(J10,1)</f>
        <v>1</v>
      </c>
      <c r="H11" s="30"/>
      <c r="I11" s="7"/>
      <c r="J11" s="763"/>
      <c r="K11" s="763"/>
      <c r="L11" s="7"/>
      <c r="M11" s="7"/>
      <c r="N11" s="7"/>
      <c r="O11" s="7"/>
      <c r="P11" s="766"/>
      <c r="Q11" s="767"/>
      <c r="R11" s="770"/>
      <c r="S11" s="771"/>
      <c r="T11" s="7"/>
      <c r="U11" s="7"/>
      <c r="V11" s="7"/>
      <c r="W11" s="365">
        <v>3</v>
      </c>
      <c r="X11" s="292"/>
      <c r="Y11" s="292" t="s">
        <v>116</v>
      </c>
      <c r="Z11" s="293"/>
      <c r="AA11" s="291">
        <v>3</v>
      </c>
      <c r="AB11" s="54"/>
      <c r="AC11" s="366">
        <v>3</v>
      </c>
      <c r="AD11" s="706"/>
      <c r="AE11" s="710">
        <v>2</v>
      </c>
      <c r="AF11" s="303" t="s">
        <v>57</v>
      </c>
      <c r="AG11" s="304" t="str">
        <f t="shared" si="0"/>
        <v>C1</v>
      </c>
      <c r="AH11" s="489">
        <v>1</v>
      </c>
      <c r="AJ11" s="486"/>
      <c r="AK11" s="845"/>
      <c r="AL11" s="824">
        <v>5</v>
      </c>
      <c r="AM11" s="490"/>
      <c r="AN11" s="491" t="str">
        <f>IF(AH9=AH10,"résultat",IF(AH9&lt;AH10,AG9,AG10))</f>
        <v>B1</v>
      </c>
      <c r="AO11" s="489">
        <v>1</v>
      </c>
      <c r="AP11" s="557"/>
      <c r="AQ11" s="860"/>
      <c r="AR11" s="825"/>
      <c r="AS11" s="521"/>
      <c r="AT11" s="522" t="str">
        <f>IF(AI10+AI11=43," ",IF(AI10+AI11=42,IF(AO11=AO12,"résultat",IF(AO11&gt;AO12,AN11,AN12)),(IF(AI10+AI11=32,IF(AO11=AO12,"résultat",IF(AO11&gt;AO12,AN11,AN12))))))</f>
        <v xml:space="preserve"> </v>
      </c>
      <c r="AU11" s="485">
        <v>0</v>
      </c>
      <c r="AW11" s="523">
        <v>3</v>
      </c>
      <c r="AX11" s="508"/>
      <c r="AY11" s="524" t="str">
        <f>IF($AI10+$AI11=0," ",IF($AI10+$AI11=43,IF($AO11=$AO12,"résultat",IF($AO11&gt;$AO12,$AN11,$AN12)),(IF($AI10+$AI11=42," ",(IF($AI10+$AI11=32," "))))))</f>
        <v>B1</v>
      </c>
      <c r="AZ11" s="3"/>
      <c r="BA11" s="547"/>
      <c r="BB11" s="547"/>
      <c r="BC11" s="722" t="s">
        <v>295</v>
      </c>
      <c r="BD11" s="722"/>
      <c r="BE11" s="722"/>
      <c r="BF11" s="722"/>
      <c r="BG11" s="722"/>
      <c r="BH11" s="722"/>
      <c r="BI11" s="650" t="s">
        <v>296</v>
      </c>
      <c r="BJ11" s="704" t="s">
        <v>210</v>
      </c>
      <c r="BK11" s="704"/>
      <c r="BL11" s="704"/>
      <c r="BM11" s="704"/>
      <c r="BN11" s="704"/>
      <c r="BO11" s="704"/>
      <c r="BP11" s="704"/>
      <c r="BQ11" s="704"/>
      <c r="BR11" s="704"/>
      <c r="BS11" s="705"/>
      <c r="BT11" s="827"/>
      <c r="BU11" s="588"/>
      <c r="BV11" s="850" t="str">
        <f>IF(OR(D18&lt;32),"OFFICE",IF(AND(J10&gt;400,J10&lt;450),AY47,IF(AND(J10&gt;450,J10&lt;650),AY54)))</f>
        <v>OFFICE</v>
      </c>
      <c r="BW11" s="851"/>
      <c r="BX11" s="852"/>
      <c r="BY11" s="589">
        <v>0</v>
      </c>
      <c r="BZ11" s="526"/>
      <c r="CA11" s="526" t="s">
        <v>246</v>
      </c>
      <c r="CB11" s="713"/>
      <c r="CC11" s="801" t="str">
        <f>IF(OR(BY42=BY43),"Gagnant 1/16 B",IF(AND(BY42&gt;BY43),BV42,BV43))</f>
        <v>A9</v>
      </c>
      <c r="CD11" s="802"/>
      <c r="CE11" s="803"/>
      <c r="CF11" s="589">
        <v>0</v>
      </c>
      <c r="CG11" s="587" t="str">
        <f>IF(CF10=CF11,"&amp;",IF(CF10&lt;CF11,CC10,CC11))</f>
        <v>A9</v>
      </c>
      <c r="CH11" s="577" t="s">
        <v>161</v>
      </c>
      <c r="CI11" s="577"/>
      <c r="CJ11" s="590" t="s">
        <v>10</v>
      </c>
      <c r="CK11" s="375"/>
      <c r="CL11" s="579" t="s">
        <v>160</v>
      </c>
      <c r="CN11" s="577"/>
      <c r="CO11" s="577"/>
      <c r="CP11" s="577"/>
      <c r="CQ11" s="578"/>
      <c r="CR11" s="577"/>
      <c r="CZ11" s="290"/>
      <c r="DB11" s="290"/>
      <c r="DF11"/>
      <c r="DL11"/>
      <c r="DN11"/>
      <c r="DU11"/>
      <c r="DY11"/>
      <c r="EC11"/>
    </row>
    <row r="12" spans="1:133" ht="21.95" customHeight="1" thickBot="1">
      <c r="A12" s="7"/>
      <c r="B12" s="30"/>
      <c r="C12" s="7"/>
      <c r="D12" s="30"/>
      <c r="E12" s="30"/>
      <c r="F12" s="30"/>
      <c r="G12" s="30"/>
      <c r="H12" s="30"/>
      <c r="I12" s="30"/>
      <c r="J12" s="30"/>
      <c r="M12" s="7"/>
      <c r="N12" s="7"/>
      <c r="O12" s="7"/>
      <c r="P12" s="7"/>
      <c r="Q12" s="7"/>
      <c r="R12" s="7"/>
      <c r="S12" s="7"/>
      <c r="T12" s="7"/>
      <c r="U12" s="7"/>
      <c r="V12" s="7"/>
      <c r="W12" s="291">
        <v>4</v>
      </c>
      <c r="X12" s="292"/>
      <c r="Y12" s="292" t="s">
        <v>205</v>
      </c>
      <c r="Z12" s="293"/>
      <c r="AA12" s="291">
        <v>4</v>
      </c>
      <c r="AB12" s="294"/>
      <c r="AC12" s="367">
        <v>4</v>
      </c>
      <c r="AD12" s="707"/>
      <c r="AE12" s="709"/>
      <c r="AF12" s="296" t="s">
        <v>48</v>
      </c>
      <c r="AG12" s="310" t="str">
        <f t="shared" si="0"/>
        <v>D1</v>
      </c>
      <c r="AH12" s="492">
        <v>0</v>
      </c>
      <c r="AJ12" s="493"/>
      <c r="AK12" s="846"/>
      <c r="AL12" s="849"/>
      <c r="AM12" s="494"/>
      <c r="AN12" s="495" t="str">
        <f>IF(AH11=AH12,"résultat",IF(AH11&lt;AH12,AG11,AG12))</f>
        <v>D1</v>
      </c>
      <c r="AO12" s="492">
        <v>0</v>
      </c>
      <c r="AP12" s="558"/>
      <c r="AQ12" s="861"/>
      <c r="AR12" s="479"/>
      <c r="AS12" s="479"/>
      <c r="AT12" s="525"/>
      <c r="AU12" s="525"/>
      <c r="AV12" s="525"/>
      <c r="AW12" s="479"/>
      <c r="AX12" s="479"/>
      <c r="AY12" s="526"/>
      <c r="AZ12" s="426"/>
      <c r="BA12" s="591"/>
      <c r="BB12" s="591"/>
      <c r="BC12" s="591"/>
      <c r="BD12" s="591"/>
      <c r="BE12" s="591"/>
      <c r="BF12" s="591"/>
      <c r="BG12" s="591"/>
      <c r="BI12" s="591"/>
      <c r="BJ12" s="591"/>
      <c r="BK12" s="591"/>
      <c r="BL12" s="591"/>
      <c r="BM12" s="591"/>
      <c r="BN12" s="591"/>
      <c r="BO12" s="591"/>
      <c r="BP12" s="591"/>
      <c r="BQ12" s="591"/>
      <c r="BR12" s="591"/>
      <c r="BS12" s="564"/>
      <c r="BT12" s="592"/>
      <c r="BU12" s="593"/>
      <c r="BV12" s="593"/>
      <c r="BW12" s="594"/>
      <c r="BX12" s="594"/>
      <c r="BY12" s="592"/>
      <c r="BZ12" s="592"/>
      <c r="CA12" s="593"/>
      <c r="CB12" s="583"/>
      <c r="CC12" s="584"/>
      <c r="CD12" s="595"/>
      <c r="CE12" s="595"/>
      <c r="CF12" s="583"/>
      <c r="CG12" s="587"/>
      <c r="CH12" s="712">
        <v>1</v>
      </c>
      <c r="CI12" s="783" t="str">
        <f>IF(OR(CF10=CF11),"Gagnant 1/8 A",IF(AND(CF10&gt;CF11),CC10,CC11))</f>
        <v>A1</v>
      </c>
      <c r="CJ12" s="784"/>
      <c r="CK12" s="785"/>
      <c r="CL12" s="586">
        <v>1</v>
      </c>
      <c r="CM12" s="596" t="str">
        <f>IF(CL12=CL13,"résultat",IF(CL12&gt;CL13,CI12,CI13))</f>
        <v>A1</v>
      </c>
      <c r="CN12" s="577"/>
      <c r="CO12" s="577"/>
      <c r="CP12" s="577"/>
      <c r="CQ12" s="578"/>
      <c r="CR12" s="565"/>
      <c r="CY12" s="290"/>
      <c r="CZ12" s="290"/>
      <c r="DB12" s="290"/>
      <c r="DF12"/>
      <c r="DL12"/>
      <c r="DN12"/>
      <c r="DU12"/>
      <c r="DY12"/>
      <c r="EC12"/>
    </row>
    <row r="13" spans="1:133" ht="21.95" customHeight="1" thickTop="1" thickBot="1">
      <c r="A13" s="7"/>
      <c r="B13" s="7"/>
      <c r="C13" s="7"/>
      <c r="D13" s="30"/>
      <c r="E13" s="30"/>
      <c r="F13" s="30"/>
      <c r="G13" s="30"/>
      <c r="H13" s="30"/>
      <c r="I13" s="30"/>
      <c r="J13" s="30"/>
      <c r="M13" s="7"/>
      <c r="N13" s="7"/>
      <c r="O13" s="7"/>
      <c r="P13" s="7"/>
      <c r="Q13" s="7"/>
      <c r="R13" s="7"/>
      <c r="S13" s="7"/>
      <c r="T13" s="7"/>
      <c r="U13" s="7"/>
      <c r="V13" s="7"/>
      <c r="W13" s="291">
        <v>5</v>
      </c>
      <c r="X13" s="292"/>
      <c r="Y13" s="292" t="s">
        <v>80</v>
      </c>
      <c r="Z13" s="293"/>
      <c r="AA13" s="291">
        <v>5</v>
      </c>
      <c r="AB13" s="294"/>
      <c r="AC13" s="466">
        <v>5</v>
      </c>
      <c r="AD13" s="706" t="s">
        <v>19</v>
      </c>
      <c r="AE13" s="708">
        <v>3</v>
      </c>
      <c r="AF13" s="303" t="s">
        <v>10</v>
      </c>
      <c r="AG13" s="304" t="str">
        <f t="shared" si="0"/>
        <v>A2</v>
      </c>
      <c r="AH13" s="481">
        <v>1</v>
      </c>
      <c r="AJ13" s="486"/>
      <c r="AK13" s="844">
        <v>2</v>
      </c>
      <c r="AL13" s="847">
        <v>6</v>
      </c>
      <c r="AM13" s="483"/>
      <c r="AN13" s="484" t="str">
        <f>IF(AH13=AH14,"résultat",IF(AH13&gt;AH14,AG13,AG14))</f>
        <v>A2</v>
      </c>
      <c r="AO13" s="496">
        <v>1</v>
      </c>
      <c r="AP13" s="557"/>
      <c r="AQ13" s="860">
        <v>2</v>
      </c>
      <c r="AR13" s="527"/>
      <c r="AS13" s="527"/>
      <c r="AT13" s="528"/>
      <c r="AU13" s="528"/>
      <c r="AV13" s="528"/>
      <c r="AW13" s="529">
        <v>1</v>
      </c>
      <c r="AX13" s="508"/>
      <c r="AY13" s="516" t="str">
        <f>IF($AI14+$AI15=43,IF($AO13=$AO14,"résultat",IF($AO13&gt;$AO14,$AN13,$AN14)),(IF($AI14+$AI15=42,IF($AO13=$AO14,"résultat",IF($AO13&gt;$AO14,$AN13,$AN14)),(IF($AI14+$AI15=32,IF($AO13=$AO14,"résultat",IF($AO13&gt;$AO14,$AN13,$AN14)))))))</f>
        <v>A2</v>
      </c>
      <c r="AZ13" s="3"/>
      <c r="BA13" s="375"/>
      <c r="BB13" s="375"/>
      <c r="BC13" s="375"/>
      <c r="BD13" s="375"/>
      <c r="BE13" s="375"/>
      <c r="BF13" s="375"/>
      <c r="BG13" s="375"/>
      <c r="BI13" s="375"/>
      <c r="BJ13" s="375"/>
      <c r="BK13" s="375"/>
      <c r="BL13" s="375"/>
      <c r="BM13" s="375"/>
      <c r="BN13" s="375"/>
      <c r="BO13" s="375"/>
      <c r="BP13" s="375"/>
      <c r="BQ13" s="375"/>
      <c r="BR13" s="375"/>
      <c r="BS13" s="597"/>
      <c r="BT13" s="579"/>
      <c r="BU13" s="578"/>
      <c r="BV13" s="578"/>
      <c r="BW13" s="580" t="s">
        <v>11</v>
      </c>
      <c r="BX13" s="375"/>
      <c r="BY13" s="547"/>
      <c r="BZ13" s="547"/>
      <c r="CA13" s="593"/>
      <c r="CB13" s="583"/>
      <c r="CC13" s="584"/>
      <c r="CD13" s="598" t="s">
        <v>11</v>
      </c>
      <c r="CE13" s="290"/>
      <c r="CG13" s="599"/>
      <c r="CH13" s="713"/>
      <c r="CI13" s="714" t="str">
        <f>IF(OR(CF14=CF15),"Gagnant 1/8 B",IF(AND($AJ$4&gt;8,CF14&gt;CF15),CC14,CC15))</f>
        <v>C1</v>
      </c>
      <c r="CJ13" s="715"/>
      <c r="CK13" s="716"/>
      <c r="CL13" s="589">
        <v>0</v>
      </c>
      <c r="CM13" s="596" t="str">
        <f>IF(CL12=CL13,"résultat",IF(CL12&lt;CL13,CI12,CI13))</f>
        <v>C1</v>
      </c>
      <c r="CN13" s="577"/>
      <c r="CO13" s="577"/>
      <c r="CP13" s="577"/>
      <c r="CQ13" s="578"/>
      <c r="CR13" s="565"/>
      <c r="CY13" s="290"/>
      <c r="CZ13" s="290"/>
      <c r="DB13" s="290"/>
      <c r="DF13"/>
      <c r="DL13"/>
      <c r="DN13"/>
      <c r="DU13"/>
      <c r="DY13"/>
      <c r="EC13"/>
    </row>
    <row r="14" spans="1:133" ht="21.95" customHeight="1" thickTop="1" thickBo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7"/>
      <c r="W14" s="291">
        <v>6</v>
      </c>
      <c r="X14" s="292"/>
      <c r="Y14" s="292" t="s">
        <v>206</v>
      </c>
      <c r="Z14" s="293"/>
      <c r="AA14" s="291">
        <v>6</v>
      </c>
      <c r="AB14" s="294"/>
      <c r="AC14" s="467">
        <v>6</v>
      </c>
      <c r="AD14" s="706"/>
      <c r="AE14" s="709"/>
      <c r="AF14" s="296" t="s">
        <v>11</v>
      </c>
      <c r="AG14" s="310" t="str">
        <f t="shared" si="0"/>
        <v>B2</v>
      </c>
      <c r="AH14" s="485">
        <v>0</v>
      </c>
      <c r="AI14" s="684" t="str">
        <f>CONCATENATE(F17,F18)</f>
        <v>43</v>
      </c>
      <c r="AJ14" s="486"/>
      <c r="AK14" s="845"/>
      <c r="AL14" s="825"/>
      <c r="AM14" s="487"/>
      <c r="AN14" s="488" t="str">
        <f>IF(AH15=AH16,"résultat",IF(AH15&gt;AH16,AG15,AG16))</f>
        <v>C2</v>
      </c>
      <c r="AO14" s="485">
        <v>0</v>
      </c>
      <c r="AP14" s="557"/>
      <c r="AQ14" s="860"/>
      <c r="AR14" s="824"/>
      <c r="AS14" s="517"/>
      <c r="AT14" s="530" t="str">
        <f>IF(AI14+AI15=43," ",IF(AI14+AI15=42,IF(AO13=AO14,"résultat",IF(AO13&lt;AO14,AN13,AN14)),IF(AI14+AI15=32,IF(AO13=AO14,"résultat",IF(AO13&lt;AO14,AN13,AN14)))))</f>
        <v xml:space="preserve"> </v>
      </c>
      <c r="AU14" s="481">
        <v>1</v>
      </c>
      <c r="AW14" s="519">
        <v>2</v>
      </c>
      <c r="AX14" s="508"/>
      <c r="AY14" s="520" t="str">
        <f>IF($AI14+$AI15=43,IF($AO13=$AO14,"résultat",IF($AO13&lt;$AO14,$AN13,$AN14)),(IF($AI14+$AI15=42,IF($AU14=$AU15,"résultat",IF($AU14&gt;$AU15,$AT14,$AT15)),(IF($AI14+$AI15=32,IF($AU14=$AU15,"résultat",IF($AU14&gt;$AU15,$AT14,$AT15)))))))</f>
        <v>C2</v>
      </c>
      <c r="AZ14" s="3"/>
      <c r="BA14" s="526"/>
      <c r="BB14" s="526"/>
      <c r="BC14" s="723" t="s">
        <v>212</v>
      </c>
      <c r="BD14" s="723"/>
      <c r="BE14" s="723"/>
      <c r="BF14" s="723"/>
      <c r="BG14" s="723"/>
      <c r="BH14" s="723"/>
      <c r="BI14" s="723"/>
      <c r="BJ14" s="723"/>
      <c r="BK14" s="723"/>
      <c r="BL14" s="723"/>
      <c r="BM14" s="723"/>
      <c r="BN14" s="723"/>
      <c r="BO14" s="723"/>
      <c r="BP14" s="723"/>
      <c r="BQ14" s="723"/>
      <c r="BR14" s="723"/>
      <c r="BS14" s="724"/>
      <c r="BT14" s="826">
        <v>2</v>
      </c>
      <c r="BU14" s="600"/>
      <c r="BV14" s="822" t="str">
        <f>+AY13</f>
        <v>A2</v>
      </c>
      <c r="BW14" s="822"/>
      <c r="BX14" s="823"/>
      <c r="BY14" s="586">
        <v>2</v>
      </c>
      <c r="BZ14" s="526"/>
      <c r="CA14" s="526" t="s">
        <v>242</v>
      </c>
      <c r="CB14" s="712">
        <v>2</v>
      </c>
      <c r="CC14" s="871" t="str">
        <f>IF(OR(BY14=BY15),"Gagnant 1/16 A",IF(AND(BY14&gt;BY15),BV14,BV15))</f>
        <v>A2</v>
      </c>
      <c r="CD14" s="872"/>
      <c r="CE14" s="873"/>
      <c r="CF14" s="586">
        <v>1</v>
      </c>
      <c r="CG14" s="587" t="str">
        <f>IF(CF14=CF15,"&amp;",IF(CF14&gt;CF15,CC14,CC15))</f>
        <v>A2</v>
      </c>
      <c r="CH14" s="601"/>
      <c r="CI14" s="601"/>
      <c r="CJ14" s="511"/>
      <c r="CK14" s="571"/>
      <c r="CL14" s="536"/>
      <c r="CN14" s="577"/>
      <c r="CO14" s="577"/>
      <c r="CP14" s="577"/>
      <c r="CQ14" s="578"/>
      <c r="CR14" s="577"/>
      <c r="CY14" s="290"/>
      <c r="CZ14" s="290"/>
      <c r="DB14" s="290"/>
      <c r="DF14"/>
      <c r="DL14"/>
      <c r="DN14"/>
      <c r="DU14"/>
      <c r="DY14"/>
      <c r="EC14"/>
    </row>
    <row r="15" spans="1:133" ht="21.95" customHeight="1" thickBot="1">
      <c r="A15" s="428"/>
      <c r="B15" s="428"/>
      <c r="C15" s="750" t="s">
        <v>117</v>
      </c>
      <c r="D15" s="751"/>
      <c r="E15" s="298" t="s">
        <v>32</v>
      </c>
      <c r="F15" s="299" t="s">
        <v>33</v>
      </c>
      <c r="G15" s="298" t="s">
        <v>34</v>
      </c>
      <c r="H15" s="300" t="s">
        <v>35</v>
      </c>
      <c r="I15" s="301" t="s">
        <v>36</v>
      </c>
      <c r="J15" s="302" t="s">
        <v>37</v>
      </c>
      <c r="K15" s="301" t="s">
        <v>38</v>
      </c>
      <c r="L15" s="302" t="s">
        <v>39</v>
      </c>
      <c r="M15" s="301" t="s">
        <v>40</v>
      </c>
      <c r="N15" s="302" t="s">
        <v>41</v>
      </c>
      <c r="O15" s="301" t="s">
        <v>42</v>
      </c>
      <c r="P15" s="302" t="s">
        <v>43</v>
      </c>
      <c r="Q15" s="301" t="s">
        <v>44</v>
      </c>
      <c r="R15" s="302" t="s">
        <v>45</v>
      </c>
      <c r="S15" s="301" t="s">
        <v>46</v>
      </c>
      <c r="T15" s="302" t="s">
        <v>47</v>
      </c>
      <c r="U15" s="428"/>
      <c r="V15" s="7"/>
      <c r="W15" s="291">
        <v>7</v>
      </c>
      <c r="X15" s="292"/>
      <c r="Y15" s="292" t="s">
        <v>85</v>
      </c>
      <c r="Z15" s="293"/>
      <c r="AA15" s="291">
        <v>7</v>
      </c>
      <c r="AB15" s="294"/>
      <c r="AC15" s="467">
        <v>7</v>
      </c>
      <c r="AD15" s="706"/>
      <c r="AE15" s="710">
        <v>4</v>
      </c>
      <c r="AF15" s="303" t="s">
        <v>57</v>
      </c>
      <c r="AG15" s="304" t="str">
        <f t="shared" si="0"/>
        <v>C2</v>
      </c>
      <c r="AH15" s="489">
        <v>1</v>
      </c>
      <c r="AJ15" s="486"/>
      <c r="AK15" s="845"/>
      <c r="AL15" s="824">
        <v>7</v>
      </c>
      <c r="AM15" s="490"/>
      <c r="AN15" s="491" t="str">
        <f>IF(AH13=AH14,"résultat",IF(AH13&lt;AH14,AG13,AG14))</f>
        <v>B2</v>
      </c>
      <c r="AO15" s="489">
        <v>1</v>
      </c>
      <c r="AP15" s="557"/>
      <c r="AQ15" s="860"/>
      <c r="AR15" s="825"/>
      <c r="AS15" s="521"/>
      <c r="AT15" s="531" t="str">
        <f>IF(AI14+AI15=43," ",IF(AI14+AI15=42,IF(AO15=AO16,"résultat",IF(AO15&gt;AO16,AN15,AN16)),(IF(AI14+AI15=32,IF(AO15=AO16,"résultat",IF(AO15&gt;AO16,AN15,AN16))))))</f>
        <v xml:space="preserve"> </v>
      </c>
      <c r="AU15" s="485">
        <v>0</v>
      </c>
      <c r="AW15" s="523">
        <v>3</v>
      </c>
      <c r="AX15" s="508"/>
      <c r="AY15" s="524" t="str">
        <f>IF($AI14+$AI15=0," ",IF($AI14+$AI15=43,IF($AO15=$AO16,"résultat",IF($AO15&gt;$AO16,$AN15,$AN16)),(IF($AI14+$AI15=42," ",(IF($AI14+$AI15=32," "))))))</f>
        <v>B2</v>
      </c>
      <c r="AZ15" s="3"/>
      <c r="BA15" s="526"/>
      <c r="BB15" s="526"/>
      <c r="BC15" s="862" t="s">
        <v>225</v>
      </c>
      <c r="BD15" s="862"/>
      <c r="BE15" s="862"/>
      <c r="BF15" s="862"/>
      <c r="BG15" s="862"/>
      <c r="BH15" s="862"/>
      <c r="BI15" s="862"/>
      <c r="BJ15" s="862"/>
      <c r="BK15" s="862"/>
      <c r="BL15" s="649" t="s">
        <v>296</v>
      </c>
      <c r="BM15" s="702" t="s">
        <v>210</v>
      </c>
      <c r="BN15" s="702"/>
      <c r="BO15" s="702"/>
      <c r="BP15" s="702"/>
      <c r="BQ15" s="702"/>
      <c r="BR15" s="702"/>
      <c r="BS15" s="703"/>
      <c r="BT15" s="827"/>
      <c r="BU15" s="602"/>
      <c r="BV15" s="865" t="str">
        <f>IF(OR(D18&lt;30),"OFFICE",IF(AND(J10&gt;400,J10&lt;410),AY47,IF(AND(J10&gt;410,J10&lt;650),AY50,IF(AND(J10&gt;0,J10&lt;0),0))))</f>
        <v>OFFICE</v>
      </c>
      <c r="BW15" s="866"/>
      <c r="BX15" s="867"/>
      <c r="BY15" s="589">
        <v>1</v>
      </c>
      <c r="BZ15" s="526"/>
      <c r="CA15" s="526" t="s">
        <v>247</v>
      </c>
      <c r="CB15" s="713"/>
      <c r="CC15" s="801" t="str">
        <f>IF(OR(BY46=BY47),"Gagnant 1/16 B",IF(AND(BY46&gt;BY47),BV46,BV47))</f>
        <v>C1</v>
      </c>
      <c r="CD15" s="802"/>
      <c r="CE15" s="803"/>
      <c r="CF15" s="589">
        <v>0</v>
      </c>
      <c r="CG15" s="587" t="str">
        <f>IF(CF14=CF15,"&amp;",IF(CF14&lt;CF15,CC14,CC15))</f>
        <v>C1</v>
      </c>
      <c r="CH15" s="601"/>
      <c r="CI15" s="601"/>
      <c r="CJ15" s="511"/>
      <c r="CK15" s="571"/>
      <c r="CL15" s="536"/>
      <c r="CN15" s="577" t="s">
        <v>161</v>
      </c>
      <c r="CO15" s="577"/>
      <c r="CP15" s="580" t="s">
        <v>10</v>
      </c>
      <c r="CQ15" s="579"/>
      <c r="CR15" s="579" t="s">
        <v>160</v>
      </c>
      <c r="CT15" s="834" t="s">
        <v>8</v>
      </c>
      <c r="CU15" s="834"/>
      <c r="CV15" s="834"/>
      <c r="CW15" s="834"/>
      <c r="CX15" s="834"/>
      <c r="CY15" s="290"/>
      <c r="CZ15" s="892" t="s">
        <v>193</v>
      </c>
      <c r="DA15" s="893"/>
      <c r="DB15" s="893"/>
      <c r="DF15"/>
      <c r="DL15"/>
      <c r="DN15"/>
      <c r="DU15"/>
      <c r="DY15"/>
      <c r="EC15"/>
    </row>
    <row r="16" spans="1:133" ht="21.95" customHeight="1" thickBot="1">
      <c r="A16" s="54"/>
      <c r="B16" s="54"/>
      <c r="C16" s="54"/>
      <c r="D16" s="54"/>
      <c r="E16" s="305"/>
      <c r="F16" s="306"/>
      <c r="G16" s="306"/>
      <c r="H16" s="307"/>
      <c r="I16" s="308"/>
      <c r="J16" s="308"/>
      <c r="K16" s="308"/>
      <c r="L16" s="308"/>
      <c r="M16" s="308"/>
      <c r="N16" s="308">
        <v>4</v>
      </c>
      <c r="O16" s="308"/>
      <c r="P16" s="308"/>
      <c r="Q16" s="308"/>
      <c r="R16" s="308"/>
      <c r="S16" s="54"/>
      <c r="T16" s="308"/>
      <c r="U16" s="54"/>
      <c r="V16" s="7"/>
      <c r="W16" s="291">
        <v>8</v>
      </c>
      <c r="X16" s="292"/>
      <c r="Y16" s="292" t="s">
        <v>207</v>
      </c>
      <c r="Z16" s="293"/>
      <c r="AA16" s="291">
        <v>8</v>
      </c>
      <c r="AB16" s="294"/>
      <c r="AC16" s="468">
        <v>8</v>
      </c>
      <c r="AD16" s="707"/>
      <c r="AE16" s="709"/>
      <c r="AF16" s="296" t="s">
        <v>48</v>
      </c>
      <c r="AG16" s="310" t="str">
        <f t="shared" si="0"/>
        <v>D2</v>
      </c>
      <c r="AH16" s="492">
        <v>0</v>
      </c>
      <c r="AJ16" s="493"/>
      <c r="AK16" s="846"/>
      <c r="AL16" s="849"/>
      <c r="AM16" s="494"/>
      <c r="AN16" s="495" t="str">
        <f>IF(AH15=AH16,"résultat",IF(AH15&lt;AH16,AG15,AG16))</f>
        <v>D2</v>
      </c>
      <c r="AO16" s="492">
        <v>0</v>
      </c>
      <c r="AP16" s="558"/>
      <c r="AQ16" s="861"/>
      <c r="AR16" s="479"/>
      <c r="AS16" s="479"/>
      <c r="AT16" s="525"/>
      <c r="AU16" s="525"/>
      <c r="AV16" s="479"/>
      <c r="AW16" s="479"/>
      <c r="AX16" s="479"/>
      <c r="AY16" s="479"/>
      <c r="AZ16" s="186"/>
      <c r="BA16" s="594"/>
      <c r="BB16" s="594"/>
      <c r="BC16" s="594"/>
      <c r="BD16" s="594"/>
      <c r="BE16" s="594"/>
      <c r="BF16" s="594"/>
      <c r="BG16" s="594"/>
      <c r="BI16" s="594"/>
      <c r="BJ16" s="594"/>
      <c r="BK16" s="594"/>
      <c r="BL16" s="594"/>
      <c r="BM16" s="594"/>
      <c r="BN16" s="594"/>
      <c r="BO16" s="594"/>
      <c r="BP16" s="594"/>
      <c r="BQ16" s="594"/>
      <c r="BR16" s="594"/>
      <c r="BS16" s="603"/>
      <c r="BT16" s="592"/>
      <c r="BU16" s="592"/>
      <c r="BV16" s="592"/>
      <c r="BW16" s="593"/>
      <c r="BX16" s="593"/>
      <c r="BY16" s="594"/>
      <c r="BZ16" s="594"/>
      <c r="CA16" s="604"/>
      <c r="CB16" s="605"/>
      <c r="CC16" s="601"/>
      <c r="CD16" s="601"/>
      <c r="CE16" s="511"/>
      <c r="CF16" s="571"/>
      <c r="CG16" s="606"/>
      <c r="CH16" s="536"/>
      <c r="CI16" s="536"/>
      <c r="CJ16" s="536"/>
      <c r="CK16" s="536"/>
      <c r="CL16" s="536"/>
      <c r="CN16" s="712">
        <v>1</v>
      </c>
      <c r="CO16" s="783" t="str">
        <f>IF(OR(CL12=CL13),"Gagnant 1/4 A",IF(AND(CL12&gt;CL13),CI12,CI13))</f>
        <v>A1</v>
      </c>
      <c r="CP16" s="815"/>
      <c r="CQ16" s="816"/>
      <c r="CR16" s="586">
        <v>1</v>
      </c>
      <c r="CS16" s="596" t="str">
        <f>IF(CR16=CR17,"résultat",IF(CR16&gt;CR17,CO16,CO17))</f>
        <v>A1</v>
      </c>
      <c r="CZ16" s="54"/>
      <c r="DA16" s="54"/>
      <c r="DB16" s="54"/>
      <c r="DF16"/>
      <c r="DL16"/>
      <c r="DN16"/>
      <c r="DU16"/>
      <c r="DY16"/>
      <c r="EC16"/>
    </row>
    <row r="17" spans="1:133" ht="21.95" customHeight="1" thickTop="1" thickBot="1">
      <c r="A17" s="750" t="s">
        <v>77</v>
      </c>
      <c r="B17" s="752"/>
      <c r="C17" s="751"/>
      <c r="D17" s="311">
        <f>SUM(E17+F17+G17+H17+I17+J17+K17+L17+M17+N17+O17+P17+Q17+R17+S17+T17)</f>
        <v>33</v>
      </c>
      <c r="E17" s="312" t="str">
        <f>IF(OR(J10=32,AND(J10&gt;479,J10&lt;480)),"3",IF(OR(J10=40,AND(J10&gt;79,J10&lt;90),AND(J10&gt;99,J10&lt;106),AND(J10&gt;105,J10&lt;130),AND(J10&gt;129,J10&lt;160),AND(J10&gt;152,J10&lt;650),J10=32,J10=160),"4",IF(OR(J10&gt;200,J10&lt;810),5,IF(OR(J10&gt;94,J10&lt;96,J10=95,J10=102,J10=0,J10=200),"5",IF(J10=20,"2",IF(J10=12,"1","0"))))))</f>
        <v>4</v>
      </c>
      <c r="F17" s="313" t="str">
        <f>IF(OR($J$7=62,$J$7=63,J10=64,J10=65,J10=66,J10=67,J10=68,J10=69,AND(J10&gt;89,J10&lt;95),AND(J10&gt;95,J10&lt;100),AND(J10&gt;99,J10&lt;106),AND(J10&gt;105,J10&lt;105),AND(J10&gt;105,J10&lt;110),AND(J10&gt;129,J10&lt;140),AND(J10&gt;469,J10&lt;470)),"3",IF(OR(AND(J10&gt;68,J10&lt;105),AND(J10&gt;105,J10&lt;130),J10=11,AND(J10&gt;131,J10&lt;370),AND(J10&gt;369,J10&lt;599),AND(J10&gt;500,J10&lt;660)),"4",IF(OR(AND(J10&gt;81,J10&lt;105),AND(J10&gt;104,J10&lt;106),AND(J10&gt;181,J10&lt;219),AND(J10&gt;219,J10&lt;811)),"5","0")))</f>
        <v>4</v>
      </c>
      <c r="G17" s="314" t="str">
        <f>IF(OR(AND(J10&gt;89,J10&lt;95),AND(J10&gt;95,J10&lt;120),AND(J10&gt;129,J10&lt;150),AND(J10&gt;169,J10&lt;180),AND(J10&gt;219,J10&lt;220),AND(J10&gt;459,J10&lt;460)),"3",IF(OR(J10=11,AND(J10&gt;95,J10&lt;370),AND(J10&gt;369,J10&lt;600),AND(J10&gt;599,J10&lt;670)),"4",IF(OR(AND(J10&gt;171,J10&lt;219),AND(J10&gt;219,J10&lt;810)),"5",0)))</f>
        <v>4</v>
      </c>
      <c r="H17" s="429" t="str">
        <f>IF(OR(J10=0,AND(J10&gt;129,J10&lt;160),AND(J10&gt;169,J10&lt;190),AND(J10&gt;209,J10&lt;220),AND(J10&gt;409,J10&lt;409),AND(J10&gt;501,J10&lt;499)),"3",IF(OR(AND(J10&gt;130,J10&lt;200),AND(J10&gt;199,J10&lt;370),J10=35,AND(J10&gt;361,J10&lt;500),AND(J10&gt;499,J10&lt;680)),"4",IF(OR(AND(J10&gt;181,J10&lt;219),AND(J10&gt;219,J10&lt;810)),"5","0")))</f>
        <v>4</v>
      </c>
      <c r="I17" s="314" t="str">
        <f>IF(OR(AND(J10&gt;249,J10&lt;260),AND(J10&gt;169,J10&lt;190),AND(J10&gt;189,J10&lt;200),AND(J10&gt;209,J10&lt;230),AND(J10&gt;0,J10&lt;0)),"3",IF(OR(AND(J10&gt;199,J10&lt;370),AND(J10&gt;369,J10&lt;500),AND(J10&gt;499,J10&lt;690)),"4",IF(OR(AND(J10&gt;649,J10&lt;810)),5,"0")))</f>
        <v>4</v>
      </c>
      <c r="J17" s="429" t="str">
        <f>IF(OR(AND(J10&gt;209,J10&lt;240),AND(J10&gt;249,J10&lt;270),AND(J10&gt;289,J10&lt;300)),"3",IF(OR(AND(J10&gt;211,J10&lt;259),AND(J10&gt;261,J10&lt;500),AND(J10&gt;499,J10&lt;700)),"4",IF(OR(AND(J10&gt;649,J10&lt;810)),5,"0")))</f>
        <v>4</v>
      </c>
      <c r="K17" s="315" t="str">
        <f>IF(OR(AND(J10&gt;249,J10&lt;269),AND(J10&gt;261,J10&lt;280),AND(J10&gt;289,J10&lt;310),AND(J10&gt;331,J10&lt;329),AND(J10&gt;329,J10&lt;340)),"3",IF(OR(AND(J10&gt;251,J10&lt;649),AND(J10&gt;499,J10&lt;710)),"4",IF(OR(AND(J10&gt;649,J10&lt;810)),5,"0")))</f>
        <v>3</v>
      </c>
      <c r="L17" s="316" t="str">
        <f>IF(OR(AND(J10&gt;291,J10&lt;309),AND(J10&gt;289,J10&lt;320),AND(J10&gt;329,J10&lt;350),AND(J10&gt;369,J10&lt;380),J10=24),"3",IF(OR(AND(J10&gt;291,J10&lt;370),AND(J10&gt;369,J10&lt;500),AND(J10&gt;499,J10&lt;720)),"4",IF(OR(AND(J10&gt;649,J10&lt;810)),5,"0")))</f>
        <v>3</v>
      </c>
      <c r="M17" s="314" t="str">
        <f>IF(OR(AND(J10&gt;329,J10&lt;360),AND(J10&gt;369,J10&lt;390),AND(J10&gt;409,J10&lt;420)),"3",IF(OR(AND(J10&gt;329,J10&lt;649),AND(J10&gt;499,J10&lt;730)),"4",IF(OR(AND(J10&gt;649,J10&lt;810)),5,"0")))</f>
        <v>3</v>
      </c>
      <c r="N17" s="316" t="str">
        <f>IF(OR(AND(J10&gt;369,J10&lt;400),AND(J10&gt;409,J10&lt;430),AND(J10&gt;449,J10&lt;460)),"3",IF(OR(AND(J10&gt;369,J10&lt;500),AND(J10&gt;499,J10&lt;740)),"4",IF(OR(AND(J10&gt;649,J10&lt;810)),5,"0")))</f>
        <v>0</v>
      </c>
      <c r="O17" s="317" t="str">
        <f>IF(OR(AND(J10&gt;409,J10&lt;440),AND(J10&gt;449,J10&lt;470),AND(J10&gt;489,J10&lt;500)),"3",IF(OR(AND(J10&gt;409,J10&lt;450),AND(J10&gt;449,J10&lt;750)),"4",IF(OR(AND(J10&gt;650,J10&lt;810)),5,"0")))</f>
        <v>0</v>
      </c>
      <c r="P17" s="429" t="str">
        <f>IF(OR(AND(J10&gt;449,J10&lt;480),AND(J10&gt;489,J10&lt;510),AND(J10&gt;529,J10&lt;540)),"3",IF(OR(AND(J10&gt;449,J10&lt;760)),"4",IF(OR(AND(J10&gt;650,J10&lt;810)),5,"0")))</f>
        <v>0</v>
      </c>
      <c r="Q17" s="314" t="str">
        <f>IF(OR(AND(J10&gt;489,J10&lt;520),AND(J10&gt;529,J10&lt;550),AND(J10&gt;569,J10&lt;580)),"3",IF(OR(AND(J10&gt;489,J10&lt;520),AND(J10&gt;519,J10&lt;770)),"4",IF(OR(AND(J10&gt;650,J10&lt;810)),5,"0")))</f>
        <v>0</v>
      </c>
      <c r="R17" s="429" t="str">
        <f>IF(OR(AND(J10&gt;529,J10&lt;560),AND(J10&gt;569,J10&lt;590),AND(J10&gt;609,J10&lt;620)),"3",IF(OR(AND(J10&gt;529,J10&lt;780)),"4",IF(OR(AND(J10&gt;650,J10&lt;810)),5,"0")))</f>
        <v>0</v>
      </c>
      <c r="S17" s="314" t="str">
        <f>IF(OR(AND(J10&gt;569,J10&lt;600),AND(J10&gt;609,J10&lt;630)),"3",IF(OR(AND(J10&gt;569,J10&lt;790)),"4",IF(OR(AND(J10&gt;650,J10&lt;810)),5,"0")))</f>
        <v>0</v>
      </c>
      <c r="T17" s="318" t="str">
        <f>IF(OR(AND(J10&gt;609,J10&lt;640)),"3",IF(OR(AND(J10&gt;609,J10&lt;800)),"4",IF(OR(AND(J10&gt;650,J10&lt;810)),5,"0")))</f>
        <v>0</v>
      </c>
      <c r="U17" s="319"/>
      <c r="V17" s="54"/>
      <c r="W17" s="291">
        <v>9</v>
      </c>
      <c r="X17" s="292"/>
      <c r="Y17" s="292" t="s">
        <v>81</v>
      </c>
      <c r="Z17" s="293"/>
      <c r="AA17" s="291">
        <v>9</v>
      </c>
      <c r="AB17" s="294"/>
      <c r="AC17" s="368">
        <v>9</v>
      </c>
      <c r="AD17" s="711" t="s">
        <v>12</v>
      </c>
      <c r="AE17" s="710">
        <v>5</v>
      </c>
      <c r="AF17" s="303" t="s">
        <v>10</v>
      </c>
      <c r="AG17" s="304" t="str">
        <f t="shared" si="0"/>
        <v>A3</v>
      </c>
      <c r="AH17" s="481">
        <v>1</v>
      </c>
      <c r="AJ17" s="486"/>
      <c r="AK17" s="844">
        <v>3</v>
      </c>
      <c r="AL17" s="847">
        <v>8</v>
      </c>
      <c r="AM17" s="483"/>
      <c r="AN17" s="484" t="str">
        <f>IF(AH17=AH18,"résultat",IF(AH17&gt;AH18,AG17,AG18))</f>
        <v>A3</v>
      </c>
      <c r="AO17" s="496">
        <v>1</v>
      </c>
      <c r="AP17" s="557"/>
      <c r="AQ17" s="859">
        <v>3</v>
      </c>
      <c r="AR17" s="512"/>
      <c r="AS17" s="512"/>
      <c r="AT17" s="532"/>
      <c r="AU17" s="528"/>
      <c r="AV17" s="512"/>
      <c r="AW17" s="514">
        <v>1</v>
      </c>
      <c r="AX17" s="515"/>
      <c r="AY17" s="516" t="str">
        <f>IF($AI18+$AI19=43,IF($AO17=$AO18,"résultat",IF($AO17&gt;$AO18,$AN17,$AN18)),(IF($AI18+$AI19=42,IF($AO17=$AO18,"résultat",IF($AO17&gt;$AO18,$AN17,$AN18)),(IF($AI18+$AI19=32,IF($AO17=$AO18,"résultat",IF($AO17&gt;$AO18,$AN17,$AN18)))))))</f>
        <v>A3</v>
      </c>
      <c r="AZ17" s="185"/>
      <c r="BA17" s="527"/>
      <c r="BB17" s="527"/>
      <c r="BC17" s="527"/>
      <c r="BD17" s="527"/>
      <c r="BE17" s="527"/>
      <c r="BF17" s="527"/>
      <c r="BG17" s="527"/>
      <c r="BI17" s="527"/>
      <c r="BJ17" s="527"/>
      <c r="BK17" s="527"/>
      <c r="BL17" s="527"/>
      <c r="BM17" s="527"/>
      <c r="BN17" s="527"/>
      <c r="BO17" s="527"/>
      <c r="BP17" s="527"/>
      <c r="BQ17" s="527"/>
      <c r="BR17" s="527"/>
      <c r="BS17" s="564"/>
      <c r="BT17" s="593"/>
      <c r="BU17" s="593"/>
      <c r="BV17" s="593"/>
      <c r="BW17" s="580" t="s">
        <v>57</v>
      </c>
      <c r="BX17" s="375"/>
      <c r="BY17" s="579"/>
      <c r="BZ17" s="579"/>
      <c r="CA17" s="593"/>
      <c r="CB17" s="583"/>
      <c r="CC17" s="584"/>
      <c r="CD17" s="598" t="s">
        <v>57</v>
      </c>
      <c r="CE17" s="375"/>
      <c r="CF17" s="583"/>
      <c r="CG17" s="607"/>
      <c r="CH17" s="583"/>
      <c r="CI17" s="583"/>
      <c r="CJ17" s="583"/>
      <c r="CK17" s="584"/>
      <c r="CL17" s="583"/>
      <c r="CN17" s="713"/>
      <c r="CO17" s="817" t="str">
        <f>IF(OR(CL20=CL21),"Gagnant 1/4 B",IF(AND(CL20&gt;CL21),CI20,CI21))</f>
        <v>A3</v>
      </c>
      <c r="CP17" s="818"/>
      <c r="CQ17" s="819"/>
      <c r="CR17" s="589">
        <v>0</v>
      </c>
      <c r="CS17" s="596" t="str">
        <f>IF(CR16=CR17,"résultat",IF(CR16&lt;CR17,CO16,CO17))</f>
        <v>A3</v>
      </c>
      <c r="CZ17" s="608">
        <v>1</v>
      </c>
      <c r="DA17" s="609"/>
      <c r="DB17" s="610" t="str">
        <f>IF(OR(AND(CZ7+CZ8&gt;0,CZ7+CZ8&lt;9)),CY20,0)</f>
        <v>A1</v>
      </c>
      <c r="DF17"/>
      <c r="DL17"/>
      <c r="DN17"/>
      <c r="DU17"/>
      <c r="DY17"/>
      <c r="EC17"/>
    </row>
    <row r="18" spans="1:133" ht="21.95" customHeight="1" thickTop="1" thickBot="1">
      <c r="A18" s="750" t="s">
        <v>139</v>
      </c>
      <c r="B18" s="752"/>
      <c r="C18" s="751"/>
      <c r="D18" s="321">
        <f>SUM(E18+F18+G18+H18+I18+J18+K18+L18+M18+N18+O18+P18+Q18+R18+S18+T18)</f>
        <v>24</v>
      </c>
      <c r="E18" s="322">
        <f>IF(OR(AND(J10&gt;610,J10&lt;620),AND(J10&gt;620,J10&lt;630),AND(J10&gt;630,J10&lt;640),AND(J10&gt;640,J10&lt;649)),"2",IF(OR(AND(J10&gt;330,J10&lt;610),AND(J10&gt;0,J10&lt;0)),3,"0"))</f>
        <v>3</v>
      </c>
      <c r="F18" s="323">
        <f>IF(OR(AND(J10&gt;610,J10&lt;650)),2,IF(OR(AND(J10&gt;330,J10&lt;610)),3,"0"))</f>
        <v>3</v>
      </c>
      <c r="G18" s="322" t="str">
        <f>IF(OR(AND(J10&gt;570,J10&lt;580),AND(J10&gt;580,J10&lt;590),AND(J10&gt;590,J10&lt;600),AND(J10&gt;600,J10&lt;610),AND(J10&gt;610,J10&lt;620),AND(J10&gt;620,J10&lt;630),AND(J10&gt;630,J10&lt;640),AND(J10&gt;640,J10&lt;649)),2,IF(OR(AND(J10&gt;330,J10&lt;570),AND(J10&gt;0,J10&lt;0)),"3","0"))</f>
        <v>3</v>
      </c>
      <c r="H18" s="324" t="str">
        <f>IF(OR(AND(J10&gt;570,J10&lt;580),AND(J10&gt;580,J10&lt;590),AND(J10&gt;590,J10&lt;600),AND(J10&gt;600,J10&lt;610),AND(J10&gt;610,J10&lt;620),AND(J10&gt;620,J10&lt;630),AND(J10&gt;630,J10&lt;640),AND(J10&gt;640,J10&lt;650)),"2",IF(OR(AND(J10&gt;330,J10&lt;570),AND(J10&gt;0,J10&lt;0)),"3","0"))</f>
        <v>3</v>
      </c>
      <c r="I18" s="322">
        <f>IF(OR(AND(J10&gt;530,J10&lt;539),AND(J10&gt;540,J10&lt;549),AND(J10&gt;550,J10&lt;559),AND(J10&gt;560,J10&lt;569),AND(J10&gt;570,J10&lt;579),AND(J10&gt;580,J10&lt;589),AND(J10&gt;590,J10&lt;600),AND(J10&gt;600,J10&lt;610),AND(J10&gt;610,J10&lt;620),AND(J10&gt;620,J10&lt;630),AND(J10&gt;630,J10&lt;640),AND(J10&gt;640,J10&lt;650)),2,IF(OR(AND(J10&gt;330,J10&lt;530)),3,"0"))</f>
        <v>3</v>
      </c>
      <c r="J18" s="325">
        <f>IF(OR(AND(J10&gt;530,J10&lt;539),AND(J10&gt;540,J10&lt;549),AND(J10&gt;550,J10&lt;560),AND(J10&gt;560,J10&lt;570),AND(J10&gt;570,J10&lt;580),AND(J10&gt;580,J10&lt;590),AND(J10&gt;590,J10&lt;600),AND(J10&gt;600,J10&lt;610),AND(J10&gt;610,J10&lt;620),AND(J10&gt;620,J10&lt;630),AND(J10&gt;630,J10&lt;640),AND(J10&gt;640,J10&lt;650),AND(J10&gt;0,J10&lt;0),AND(J10&gt;0,J10&lt;0)),"2",IF(OR(AND(J10&gt;330,J10&lt;530)),3,"0"))</f>
        <v>3</v>
      </c>
      <c r="K18" s="326" t="str">
        <f>IF(OR(AND(J10&gt;330,J10&lt;340),AND(J10&gt;490,J10&lt;499),AND(J10&gt;500,J10&lt;509),AND(J10&gt;510,J10&lt;519),AND(J10&gt;520,J10&lt;529),AND(J10&gt;530,J10&lt;539),AND(J10&gt;540,J10&lt;549),AND(J10&gt;550,J10&lt;560),AND(J10&gt;560,J10&lt;570),AND(J10&gt;570,J10&lt;580),AND(J10&gt;580,J10&lt;590),AND(J10&gt;590,J10&lt;600),AND(J10&gt;600,J10&lt;610),AND(J10&gt;610,J10&lt;620),AND(J10&gt;620,J10&lt;630),AND(J10&gt;630,J10&lt;640),AND(J10&gt;640,J10&lt;649),AND(J10&gt;650)),"2",IF(OR(AND(J10&gt;340,J10&lt;490)),3,"0"))</f>
        <v>2</v>
      </c>
      <c r="L18" s="324" t="str">
        <f>IF(OR(AND(J10&gt;330,J10&lt;339),AND(J10&gt;340,J10&lt;349),AND(J10&gt;370,J10&lt;379),AND(J10&gt;490,J10&lt;499),AND(J10&gt;500,J10&lt;509),AND(J10&gt;510,J10&lt;519),AND(J10&gt;520,J10&lt;529),AND(J10&gt;530,J10&lt;539),AND(J10&gt;540,J10&lt;549),AND(J10&gt;550,J10&lt;559),AND(J10&gt;560,J10&lt;569),AND(J10&gt;570,J10&lt;579),AND(J10&gt;0,J10&lt;0),AND(J10&gt;580,J10&lt;589),AND(J10&gt;590,J10&lt;600),AND(J10&gt;600,J10&lt;610),AND(J10&gt;610,J10&lt;620),AND(J10&gt;620,J10&lt;630),AND(J10&gt;630,J10&lt;640),AND(J10&gt;640,J10&lt;650),AND(J10&gt;649),AND(J10&gt;0,J10&lt;0),AND(J10&gt;0,J10&lt;0)),"2",IF(OR(AND(J10&gt;350,J10&lt;370),AND(J10&gt;380,J10&lt;490)),3,"0"))</f>
        <v>2</v>
      </c>
      <c r="M18" s="322" t="str">
        <f>IF(OR(AND(J10&gt;329,J10&lt;330),AND(J10&gt;330,J10&lt;339),AND(J10&gt;340,J10&lt;349),AND(J10&gt;350,J10&lt;359),AND(J10&gt;370,J10&lt;379),AND(J10&gt;380,J10&lt;389),AND(J10&gt;410,J10&lt;419),AND(J10&gt;450,J10&lt;459),AND(J10&gt;460,J10&lt;469),AND(J10&gt;470,J10&lt;479),AND(J10&gt;480,J10&lt;489),AND(J10&gt;490,J10&lt;499),AND(J10&gt;500,J10&lt;509),AND(J10&gt;510,J10&lt;519),AND(J10&gt;520,J10&lt;529),AND(J10&gt;530,J10&lt;539),AND(J10&gt;540,J10&lt;549),AND(J10&gt;550,J10&lt;560),AND(J10&gt;560,J10&lt;570),AND(J10&gt;570,J10&lt;580),AND(J10&gt;580,J10&lt;590),AND(J10&gt;590,J10&lt;600),AND(J10&gt;600,J10&lt;610),AND(J10&gt;610,J10&lt;620),AND(J10&gt;620,J10&lt;630),AND(J10&gt;630,J10&lt;640),AND(J10&gt;640,J10&lt;650),AND(J10&gt;649)),"2",IF(OR(AND(J10&gt;360,J10&lt;370),AND(J10&gt;390,J10&lt;400),AND(J10&gt;400,J10&lt;410),AND(J10&gt;420,J10&lt;450)),3,"0"))</f>
        <v>2</v>
      </c>
      <c r="N18" s="324" t="str">
        <f>IF(OR(AND(J10&gt;369,J10&lt;370),AND(J10&gt;370,J10&lt;379),AND(J10&gt;380,J10&lt;389),AND(J10&gt;390,J10&lt;399),AND(J10&gt;410,J10&lt;419),AND(J10&gt;420,J10&lt;429),AND(J10&gt;450,J10&lt;459),AND(J10&gt;460,J10&lt;469),AND(J10&gt;470,J10&lt;479),AND(J10&gt;480,J10&lt;489),AND(J10&gt;490,J10&lt;499),AND(J10&gt;500,J10&lt;509),AND(J10&gt;510,J10&lt;519),AND(J10&gt;520,J10&lt;529),AND(J10&gt;530,J10&lt;539),AND(J10&gt;540,J10&lt;549),AND(J10&gt;550,J10&lt;559),AND(J10&gt;560,J10&lt;569),AND(J10&gt;570,J10&lt;580),AND(J10&gt;580,J10&lt;590),AND(J10&gt;590,J10&lt;600),AND(J10&gt;600,J10&lt;610),AND(J10&gt;610,J10&lt;620),AND(J10&gt;620,J10&lt;630),AND(J10&gt;630,J10&lt;640),AND(J10&gt;640,J10&lt;649)),2,IF(OR(AND(J10&gt;400,J10&lt;410),AND(J10&gt;430,J10&lt;450)),3,"0"))</f>
        <v>0</v>
      </c>
      <c r="O18" s="322" t="str">
        <f>IF(OR(AND(J10&gt;409,J10&lt;410),AND(J10&gt;410,J10&lt;419),AND(J10&gt;420,J10&lt;429),AND(J10&gt;430,J10&lt;439),AND(J10&gt;440,J10&lt;449),AND(J10&gt;450,J10&lt;459),AND(J10&gt;460,J10&lt;469),AND(J10&gt;470,J10&lt;479),AND(J10&gt;480,J10&lt;489),AND(J10&gt;490,J10&lt;499),AND(J10&gt;500,J10&lt;509),AND(J10&gt;510,J10&lt;519),AND(J10&gt;520,J10&lt;529),AND(J10&gt;530,J10&lt;539),AND(J10&gt;540,J10&lt;549),AND(J10&gt;550,J10&lt;560),AND(J10&gt;560,J10&lt;570),AND(J10&gt;570,J10&lt;580),AND(J10&gt;580,J10&lt;590),AND(J10&gt;590,J10&lt;600),AND(J10&gt;600,J10&lt;610),AND(J10&gt;610,J10&lt;620),AND(J10&gt;620,J10&lt;630),AND(J10&gt;630,J10&lt;640),AND(J10&gt;640,J10&lt;649)),"2","0")</f>
        <v>0</v>
      </c>
      <c r="P18" s="325" t="str">
        <f>IF(OR(AND(J10&gt;450,J10&lt;459),AND(J10&gt;460,J10&lt;469),AND(J10&gt;470,J10&lt;479),AND(J10&gt;480,J10&lt;489),AND(J10&gt;490,J10&lt;499),AND(J10&gt;500,J10&lt;509),AND(J10&gt;510,J10&lt;519),AND(J10&gt;520,J10&lt;529),AND(J10&gt;530,J10&lt;539),AND(J10&gt;540,J10&lt;549),AND(J10&gt;550,J10&lt;560),AND(J10&gt;560,J10&lt;570),AND(J10&gt;570,J10&lt;580),AND(J10&gt;580,J10&lt;590),AND(J10&gt;590,J10&lt;600),AND(J10&gt;600,J10&lt;610),AND(J10&gt;610,J10&lt;620),AND(J10&gt;620,J10&lt;630),AND(J10&gt;630,J10&lt;640),AND(J10&gt;640,J10&lt;650)),"2","0")</f>
        <v>0</v>
      </c>
      <c r="Q18" s="326" t="str">
        <f>IF(OR(AND(J10&gt;489,J10&lt;490),AND(J10&gt;490,J10&lt;499),AND(J10&gt;500,J10&lt;509),AND(J10&gt;510,J10&lt;519),AND(J10&gt;520,J10&lt;529),AND(J10&gt;530,J10&lt;539),AND(J10&gt;540,J10&lt;549),AND(J10&gt;550,J10&lt;560),AND(J10&gt;560,J10&lt;570),AND(J10&gt;570,J10&lt;580),AND(J10&gt;580,J10&lt;590),AND(J10&gt;590,J10&lt;600),AND(J10&gt;600,J10&lt;610),AND(J10&gt;610,J10&lt;620),AND(J10&gt;620,J10&lt;630),AND(J10&gt;630,J10&lt;640),AND(J10&gt;640,J10&lt;649)),"2","0")</f>
        <v>0</v>
      </c>
      <c r="R18" s="325" t="str">
        <f>IF(OR(AND(J10&gt;530,J10&lt;539),AND(J10&gt;540,J10&lt;549),AND(J10&gt;550,J10&lt;559),AND(J10&gt;560,J10&lt;570),AND(J10&gt;570,J10&lt;579),AND(J10&gt;580,J10&lt;589),AND(J10&gt;590,J10&lt;599),AND(J10&gt;600,J10&lt;609),AND(J10&gt;610,J10&lt;619),AND(J10&gt;620,J10&lt;630),AND(J10&gt;630,J10&lt;640),AND(J10&gt;640,J10&lt;649),AND(J10&gt;0,J10&lt;0),AND(J10&gt;0,J10&lt;0)),"2","0")</f>
        <v>0</v>
      </c>
      <c r="S18" s="322" t="str">
        <f>IF(OR(AND(J10&gt;570,J10&lt;590),AND(J10&gt;590,J10&lt;600),AND(J10&gt;600,J10&lt;610),AND(J10&gt;610,J10&lt;620),AND(J10&gt;620,J10&lt;630),AND(J10&gt;630,J10&lt;640),AND(J10&gt;640,J10&lt;649)),"2","0")</f>
        <v>0</v>
      </c>
      <c r="T18" s="327" t="str">
        <f>IF(OR(AND(J10&gt;610,J10&lt;620),AND(J10&gt;620,J10&lt;630),AND(J10&gt;630,J10&lt;640),AND(J10&gt;640,J10&lt;649)),"2","0")</f>
        <v>0</v>
      </c>
      <c r="U18" s="319"/>
      <c r="V18" s="428"/>
      <c r="W18" s="291">
        <v>10</v>
      </c>
      <c r="X18" s="292"/>
      <c r="Y18" s="292" t="s">
        <v>200</v>
      </c>
      <c r="Z18" s="293"/>
      <c r="AA18" s="291">
        <v>10</v>
      </c>
      <c r="AB18" s="294"/>
      <c r="AC18" s="295">
        <v>10</v>
      </c>
      <c r="AD18" s="706"/>
      <c r="AE18" s="709"/>
      <c r="AF18" s="296" t="s">
        <v>11</v>
      </c>
      <c r="AG18" s="310" t="str">
        <f t="shared" si="0"/>
        <v>B3</v>
      </c>
      <c r="AH18" s="485">
        <v>0</v>
      </c>
      <c r="AI18" s="684" t="str">
        <f>CONCATENATE(G17,G18)</f>
        <v>43</v>
      </c>
      <c r="AJ18" s="486"/>
      <c r="AK18" s="845"/>
      <c r="AL18" s="825"/>
      <c r="AM18" s="487"/>
      <c r="AN18" s="488" t="str">
        <f>IF(AH19=AH20,"résultat",IF(AH19&gt;AH20,AG19,AG20))</f>
        <v>C3</v>
      </c>
      <c r="AO18" s="485">
        <v>0</v>
      </c>
      <c r="AP18" s="557"/>
      <c r="AQ18" s="860"/>
      <c r="AR18" s="824"/>
      <c r="AS18" s="517"/>
      <c r="AT18" s="533" t="str">
        <f>IF(AI18+AI19=43," ",IF(AI18+AI19=43,IF(0&lt;0,0,0),(IF(AI18+AI19=42,IF(AO17=AO18,"résultat",IF(AO17&lt;AO18,AN17,AN18)),IF(AI18+AI19=32,IF(AO17=AO18,"résultat",IF(AO17&lt;AO18,AN17,AN18)))))))</f>
        <v xml:space="preserve"> </v>
      </c>
      <c r="AU18" s="481">
        <v>1</v>
      </c>
      <c r="AW18" s="519">
        <v>2</v>
      </c>
      <c r="AX18" s="508"/>
      <c r="AY18" s="520" t="str">
        <f>IF($AI18+$AI19=43,IF($AO17=$AO18,"résultat",IF($AO17&lt;$AO18,$AN17,$AN18)),(IF($AI18+$AI19=42,IF($AU18=$AU19,"résultat",IF($AU18&gt;$AU19,$AT18,$AT19)),(IF($AI18+$AI19=32,IF($AU18=$AU19,"résultat",IF($AU18&gt;$AU19,$AT18,$AT19)))))))</f>
        <v>C3</v>
      </c>
      <c r="AZ18" s="3"/>
      <c r="BA18" s="547"/>
      <c r="BB18" s="547"/>
      <c r="BC18" s="727" t="s">
        <v>214</v>
      </c>
      <c r="BD18" s="727"/>
      <c r="BE18" s="727"/>
      <c r="BF18" s="727"/>
      <c r="BG18" s="727"/>
      <c r="BH18" s="727"/>
      <c r="BI18" s="727"/>
      <c r="BJ18" s="727"/>
      <c r="BK18" s="727"/>
      <c r="BL18" s="727"/>
      <c r="BM18" s="727"/>
      <c r="BN18" s="727"/>
      <c r="BO18" s="727"/>
      <c r="BP18" s="727"/>
      <c r="BQ18" s="727"/>
      <c r="BR18" s="727"/>
      <c r="BS18" s="728"/>
      <c r="BT18" s="826">
        <v>3</v>
      </c>
      <c r="BU18" s="611"/>
      <c r="BV18" s="821" t="str">
        <f>+AY17</f>
        <v>A3</v>
      </c>
      <c r="BW18" s="822"/>
      <c r="BX18" s="823"/>
      <c r="BY18" s="586">
        <v>2</v>
      </c>
      <c r="BZ18" s="526"/>
      <c r="CA18" s="526" t="s">
        <v>241</v>
      </c>
      <c r="CB18" s="712">
        <v>3</v>
      </c>
      <c r="CC18" s="871" t="str">
        <f>IF(OR(BY18=BY19),"Gagnant 1/16 A",IF(AND(BY18&gt;BY19),BV18,BV19))</f>
        <v>A3</v>
      </c>
      <c r="CD18" s="872"/>
      <c r="CE18" s="873"/>
      <c r="CF18" s="586">
        <v>1</v>
      </c>
      <c r="CG18" s="587" t="str">
        <f>IF(CF18=CF19,"&amp;",IF(CF18&gt;CF19,CC18,CC19))</f>
        <v>A3</v>
      </c>
      <c r="CH18" s="583"/>
      <c r="CI18" s="583"/>
      <c r="CJ18" s="583"/>
      <c r="CK18" s="584"/>
      <c r="CL18" s="583"/>
      <c r="CN18" s="601"/>
      <c r="CO18" s="511"/>
      <c r="CP18" s="511"/>
      <c r="CQ18" s="511"/>
      <c r="CR18" s="536"/>
      <c r="CS18" s="612"/>
      <c r="CW18" s="547"/>
      <c r="CZ18" s="613">
        <v>2</v>
      </c>
      <c r="DA18" s="609"/>
      <c r="DB18" s="614">
        <f>IF(OR(AND(CZ7+CZ8&gt;1,CZ7+CZ8&lt;9)),CY21,0)</f>
        <v>0</v>
      </c>
      <c r="DF18"/>
      <c r="DL18"/>
      <c r="DN18"/>
      <c r="DU18"/>
      <c r="DY18"/>
      <c r="EC18"/>
    </row>
    <row r="19" spans="1:133" ht="21.95" customHeight="1" thickBot="1">
      <c r="A19" s="329"/>
      <c r="B19" s="329"/>
      <c r="C19" s="330"/>
      <c r="D19" s="331"/>
      <c r="E19" s="332"/>
      <c r="F19" s="333"/>
      <c r="G19" s="333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3"/>
      <c r="S19" s="54"/>
      <c r="T19" s="54"/>
      <c r="U19" s="54"/>
      <c r="V19" s="54"/>
      <c r="W19" s="291">
        <v>11</v>
      </c>
      <c r="X19" s="292"/>
      <c r="Y19" s="292" t="s">
        <v>86</v>
      </c>
      <c r="Z19" s="293"/>
      <c r="AA19" s="291">
        <v>11</v>
      </c>
      <c r="AB19" s="294"/>
      <c r="AC19" s="295">
        <v>11</v>
      </c>
      <c r="AD19" s="706"/>
      <c r="AE19" s="748">
        <v>6</v>
      </c>
      <c r="AF19" s="303" t="s">
        <v>57</v>
      </c>
      <c r="AG19" s="304" t="str">
        <f t="shared" si="0"/>
        <v>C3</v>
      </c>
      <c r="AH19" s="489">
        <v>1</v>
      </c>
      <c r="AJ19" s="486"/>
      <c r="AK19" s="845"/>
      <c r="AL19" s="824">
        <v>9</v>
      </c>
      <c r="AM19" s="497"/>
      <c r="AN19" s="491" t="str">
        <f>IF(AH17=AH18,"résultat",IF(AH17&lt;AH18,AG17,AG18))</f>
        <v>B3</v>
      </c>
      <c r="AO19" s="489">
        <v>1</v>
      </c>
      <c r="AP19" s="557"/>
      <c r="AQ19" s="860"/>
      <c r="AR19" s="825"/>
      <c r="AS19" s="521"/>
      <c r="AT19" s="534" t="str">
        <f>IF(AI18+AI19=43," ",IF(AI18+AI19=43,IF(0&gt;0,0,0),(IF(AI18+AI19=42,IF(AO19=AO20,"résultat",IF(AO19&gt;AO20,AN19,AN20)),(IF(AI18+AI19=32,IF(AO19=AO20,"résultat",IF(AO19&gt;AO20,AN19,AN20))))))))</f>
        <v xml:space="preserve"> </v>
      </c>
      <c r="AU19" s="485">
        <v>0</v>
      </c>
      <c r="AW19" s="523">
        <v>3</v>
      </c>
      <c r="AX19" s="508"/>
      <c r="AY19" s="524" t="str">
        <f>IF($AI18+$AI19=0," ",IF($AI18+$AI19=43,IF($AO19=$AO20,"résultat",IF($AO19&gt;$AO20,$AN19,$AN20)),(IF($AI18+$AI19=42," ",(IF($AI18+$AI19=32," "))))))</f>
        <v>B3</v>
      </c>
      <c r="AZ19" s="3"/>
      <c r="BA19" s="547"/>
      <c r="BB19" s="547"/>
      <c r="BC19" s="722" t="s">
        <v>297</v>
      </c>
      <c r="BD19" s="722"/>
      <c r="BE19" s="722"/>
      <c r="BF19" s="722"/>
      <c r="BG19" s="722"/>
      <c r="BH19" s="731" t="s">
        <v>298</v>
      </c>
      <c r="BI19" s="731"/>
      <c r="BJ19" s="731"/>
      <c r="BK19" s="731"/>
      <c r="BL19" s="731"/>
      <c r="BM19" s="731"/>
      <c r="BN19" s="731"/>
      <c r="BO19" s="704" t="s">
        <v>210</v>
      </c>
      <c r="BP19" s="704"/>
      <c r="BQ19" s="704"/>
      <c r="BR19" s="704"/>
      <c r="BS19" s="705"/>
      <c r="BT19" s="827"/>
      <c r="BU19" s="615"/>
      <c r="BV19" s="850" t="str">
        <f>IF(OR(D18&lt;28),"OFFICE",IF(AND(J10&gt;380,J10&lt;490),AY39,IF(AND(J10&gt;490,J10&lt;650),AY58)))</f>
        <v>OFFICE</v>
      </c>
      <c r="BW19" s="851"/>
      <c r="BX19" s="852"/>
      <c r="BY19" s="589">
        <v>1</v>
      </c>
      <c r="BZ19" s="526"/>
      <c r="CA19" s="526" t="s">
        <v>250</v>
      </c>
      <c r="CB19" s="713"/>
      <c r="CC19" s="801" t="str">
        <f>IF(OR(BY50=BY51),"Gagnant 1/16 B",IF(AND(BY50&gt;BY51),BV50,BV51))</f>
        <v>C2</v>
      </c>
      <c r="CD19" s="802"/>
      <c r="CE19" s="803"/>
      <c r="CF19" s="589">
        <v>0</v>
      </c>
      <c r="CG19" s="587" t="str">
        <f>IF(CF18=CF19,"&amp;",IF(CF18&lt;CF19,CC18,CC19))</f>
        <v>C2</v>
      </c>
      <c r="CH19" s="583"/>
      <c r="CI19" s="583"/>
      <c r="CJ19" s="590" t="s">
        <v>11</v>
      </c>
      <c r="CK19" s="375"/>
      <c r="CL19" s="583"/>
      <c r="CN19" s="601"/>
      <c r="CO19" s="511"/>
      <c r="CP19" s="511"/>
      <c r="CQ19" s="511"/>
      <c r="CR19" s="536"/>
      <c r="CS19" s="612"/>
      <c r="CT19" s="577" t="s">
        <v>161</v>
      </c>
      <c r="CU19" s="577"/>
      <c r="CV19" s="579" t="s">
        <v>159</v>
      </c>
      <c r="CW19" s="579"/>
      <c r="CX19" s="579" t="s">
        <v>160</v>
      </c>
      <c r="CZ19" s="616">
        <v>3</v>
      </c>
      <c r="DA19" s="609"/>
      <c r="DB19" s="614">
        <f>IF(OR(AND(CZ7+CZ8&gt;2,CZ7+CZ8&lt;9)),CY36,0)</f>
        <v>0</v>
      </c>
      <c r="DF19"/>
      <c r="DL19"/>
      <c r="DN19"/>
      <c r="DU19"/>
      <c r="DY19"/>
      <c r="EC19"/>
    </row>
    <row r="20" spans="1:133" ht="21.95" customHeight="1" thickBot="1">
      <c r="A20" s="54"/>
      <c r="B20" s="701" t="s">
        <v>143</v>
      </c>
      <c r="C20" s="701"/>
      <c r="D20" s="701"/>
      <c r="E20" s="701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319"/>
      <c r="W20" s="291">
        <v>12</v>
      </c>
      <c r="X20" s="292"/>
      <c r="Y20" s="292" t="s">
        <v>208</v>
      </c>
      <c r="Z20" s="54"/>
      <c r="AA20" s="291">
        <v>12</v>
      </c>
      <c r="AB20" s="294"/>
      <c r="AC20" s="309">
        <v>12</v>
      </c>
      <c r="AD20" s="707"/>
      <c r="AE20" s="709"/>
      <c r="AF20" s="423" t="str">
        <f>IF(AG19="Office"," ","D")</f>
        <v>D</v>
      </c>
      <c r="AG20" s="310" t="str">
        <f t="shared" si="0"/>
        <v>D3</v>
      </c>
      <c r="AH20" s="492">
        <v>0</v>
      </c>
      <c r="AJ20" s="493"/>
      <c r="AK20" s="846"/>
      <c r="AL20" s="849"/>
      <c r="AM20" s="498"/>
      <c r="AN20" s="495" t="str">
        <f>IF(AH19=AH20,"résultat",IF(AH19&lt;AH20,AG19,AG20))</f>
        <v>D3</v>
      </c>
      <c r="AO20" s="492">
        <v>0</v>
      </c>
      <c r="AP20" s="558"/>
      <c r="AQ20" s="861"/>
      <c r="AR20" s="479"/>
      <c r="AS20" s="479"/>
      <c r="AT20" s="525"/>
      <c r="AU20" s="525"/>
      <c r="AV20" s="479"/>
      <c r="AW20" s="479"/>
      <c r="AX20" s="479"/>
      <c r="AY20" s="526"/>
      <c r="AZ20" s="186"/>
      <c r="BA20" s="526"/>
      <c r="BB20" s="526"/>
      <c r="BC20" s="526"/>
      <c r="BD20" s="526"/>
      <c r="BE20" s="526"/>
      <c r="BF20" s="526"/>
      <c r="BG20" s="526"/>
      <c r="BI20" s="526"/>
      <c r="BJ20" s="526"/>
      <c r="BK20" s="526"/>
      <c r="BL20" s="526"/>
      <c r="BM20" s="526"/>
      <c r="BN20" s="526"/>
      <c r="BO20" s="526"/>
      <c r="BP20" s="526"/>
      <c r="BQ20" s="526"/>
      <c r="BR20" s="526"/>
      <c r="BS20" s="564"/>
      <c r="BT20" s="593"/>
      <c r="BU20" s="593"/>
      <c r="BV20" s="593"/>
      <c r="BW20" s="594"/>
      <c r="BX20" s="594"/>
      <c r="BY20" s="592"/>
      <c r="BZ20" s="592"/>
      <c r="CA20" s="526"/>
      <c r="CB20" s="601"/>
      <c r="CC20" s="617"/>
      <c r="CD20" s="571"/>
      <c r="CE20" s="571"/>
      <c r="CF20" s="536"/>
      <c r="CG20" s="587"/>
      <c r="CH20" s="712">
        <v>2</v>
      </c>
      <c r="CI20" s="783" t="str">
        <f>IF(OR(CF18=CF19),"Gagnant 1/8 C",IF(AND(CF18&gt;CF19),CC18,CC19))</f>
        <v>A3</v>
      </c>
      <c r="CJ20" s="784"/>
      <c r="CK20" s="785"/>
      <c r="CL20" s="586">
        <v>1</v>
      </c>
      <c r="CM20" s="596" t="str">
        <f>IF(CL20=CL21,"résultat",IF(CL20&gt;CL21,CI20,CI21))</f>
        <v>A3</v>
      </c>
      <c r="CN20" s="601"/>
      <c r="CO20" s="511"/>
      <c r="CP20" s="511"/>
      <c r="CQ20" s="511"/>
      <c r="CR20" s="536"/>
      <c r="CS20" s="612"/>
      <c r="CT20" s="712">
        <v>1</v>
      </c>
      <c r="CU20" s="786" t="str">
        <f>IF(OR(CR16=CR17),"Gagnant 1/2 A",IF(AND(CR16&gt;CR17),CO16,CO17))</f>
        <v>A1</v>
      </c>
      <c r="CV20" s="787"/>
      <c r="CW20" s="788"/>
      <c r="CX20" s="586">
        <v>1</v>
      </c>
      <c r="CY20" s="612" t="str">
        <f>IF(CX20=CX21,"résultat",IF(CX20&gt;CX21,CU20,CU21))</f>
        <v>A1</v>
      </c>
      <c r="CZ20" s="616">
        <v>4</v>
      </c>
      <c r="DA20" s="609"/>
      <c r="DB20" s="614">
        <f>IF(OR(AND(CZ7+CZ8&gt;3,CZ7+CZ8&lt;9)),CY37,0)</f>
        <v>0</v>
      </c>
      <c r="DF20"/>
      <c r="DL20"/>
      <c r="DN20"/>
      <c r="DU20"/>
      <c r="DY20"/>
      <c r="EC20"/>
    </row>
    <row r="21" spans="1:133" ht="21.95" customHeight="1" thickTop="1" thickBot="1">
      <c r="A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319"/>
      <c r="W21" s="291">
        <v>13</v>
      </c>
      <c r="X21" s="292"/>
      <c r="Y21" s="292" t="s">
        <v>82</v>
      </c>
      <c r="Z21" s="293"/>
      <c r="AA21" s="291">
        <v>13</v>
      </c>
      <c r="AB21" s="294"/>
      <c r="AC21" s="466">
        <v>13</v>
      </c>
      <c r="AD21" s="711" t="s">
        <v>13</v>
      </c>
      <c r="AE21" s="748">
        <v>7</v>
      </c>
      <c r="AF21" s="303" t="s">
        <v>10</v>
      </c>
      <c r="AG21" s="304" t="str">
        <f t="shared" si="0"/>
        <v>A4</v>
      </c>
      <c r="AH21" s="481">
        <v>1</v>
      </c>
      <c r="AJ21" s="486"/>
      <c r="AK21" s="844">
        <v>4</v>
      </c>
      <c r="AL21" s="847">
        <v>10</v>
      </c>
      <c r="AM21" s="483"/>
      <c r="AN21" s="484" t="str">
        <f>IF(AH21=AH22,"résultat",IF(AH21&gt;AH22,AG21,AG22))</f>
        <v>A4</v>
      </c>
      <c r="AO21" s="496">
        <v>1</v>
      </c>
      <c r="AP21" s="557"/>
      <c r="AQ21" s="859">
        <v>4</v>
      </c>
      <c r="AR21" s="512"/>
      <c r="AS21" s="512"/>
      <c r="AT21" s="532"/>
      <c r="AU21" s="528"/>
      <c r="AV21" s="512"/>
      <c r="AW21" s="514">
        <v>1</v>
      </c>
      <c r="AX21" s="508"/>
      <c r="AY21" s="516" t="str">
        <f>IF($AI22+$AI23=43,IF($AO21=$AO22,"résultat",IF($AO21&gt;$AO22,$AN21,$AN22)),(IF($AI22+$AI23=42,IF($AO21=$AO22,"résultat",IF($AO21&gt;$AO22,$AN21,$AN22)),(IF($AI22+$AI23=32,IF($AO21=$AO22,"résultat",IF($AO21&gt;$AO22,$AN21,$AN22)))))))</f>
        <v>A4</v>
      </c>
      <c r="AZ21" s="185"/>
      <c r="BA21" s="579"/>
      <c r="BB21" s="579"/>
      <c r="BC21" s="579"/>
      <c r="BD21" s="579"/>
      <c r="BE21" s="579"/>
      <c r="BF21" s="579"/>
      <c r="BG21" s="579"/>
      <c r="BI21" s="579"/>
      <c r="BJ21" s="579"/>
      <c r="BK21" s="579"/>
      <c r="BL21" s="579"/>
      <c r="BM21" s="579"/>
      <c r="BN21" s="579"/>
      <c r="BO21" s="579"/>
      <c r="BP21" s="579"/>
      <c r="BQ21" s="579"/>
      <c r="BR21" s="579"/>
      <c r="BS21" s="578"/>
      <c r="BT21" s="578"/>
      <c r="BU21" s="593"/>
      <c r="BV21" s="578"/>
      <c r="BW21" s="580" t="s">
        <v>48</v>
      </c>
      <c r="BX21" s="375"/>
      <c r="BY21" s="592"/>
      <c r="BZ21" s="592"/>
      <c r="CA21" s="593"/>
      <c r="CB21" s="583"/>
      <c r="CC21" s="584"/>
      <c r="CD21" s="598" t="s">
        <v>48</v>
      </c>
      <c r="CE21" s="375"/>
      <c r="CF21" s="583"/>
      <c r="CG21" s="599"/>
      <c r="CH21" s="713"/>
      <c r="CI21" s="714" t="str">
        <f>IF(OR(CF22=CF23),"Gagnant 1/8 D",IF(AND($AJ$4&gt;8,CF22&gt;CF23),CC22,CC23))</f>
        <v>C4</v>
      </c>
      <c r="CJ21" s="715"/>
      <c r="CK21" s="716"/>
      <c r="CL21" s="589">
        <v>0</v>
      </c>
      <c r="CM21" s="596" t="str">
        <f>IF(CL20=CL21,"résultat",IF(CL20&lt;CL21,CI20,CI21))</f>
        <v>C4</v>
      </c>
      <c r="CN21" s="583"/>
      <c r="CO21" s="583"/>
      <c r="CP21" s="583"/>
      <c r="CQ21" s="584"/>
      <c r="CR21" s="583"/>
      <c r="CS21" s="612"/>
      <c r="CT21" s="713"/>
      <c r="CU21" s="786" t="str">
        <f>IF(OR(CR24=CR25),"Perdant 1/2 A",IF(AND(CR24&gt;CR25),CO24,CO25))</f>
        <v>A5</v>
      </c>
      <c r="CV21" s="787"/>
      <c r="CW21" s="788"/>
      <c r="CX21" s="589">
        <v>0</v>
      </c>
      <c r="CY21" s="612" t="str">
        <f>IF(CX20=CX21,"résultat",IF(CX20&lt;CX21,CU20,CU21))</f>
        <v>A5</v>
      </c>
      <c r="CZ21" s="616">
        <v>5</v>
      </c>
      <c r="DA21" s="609"/>
      <c r="DB21" s="614">
        <f>IF(OR(AND(CZ7+CZ8&gt;4,CZ7+CZ8&lt;9)),CY46,IF(OR(AND(CZ7+CZ8&gt;3,CZ7+CZ8&lt;5)),0,0))</f>
        <v>0</v>
      </c>
      <c r="DF21"/>
      <c r="DL21"/>
      <c r="DN21"/>
      <c r="DU21"/>
      <c r="DY21"/>
      <c r="EC21"/>
    </row>
    <row r="22" spans="1:133" ht="21.95" customHeight="1" thickTop="1" thickBot="1">
      <c r="A22" s="213" t="s">
        <v>171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291">
        <v>14</v>
      </c>
      <c r="X22" s="292"/>
      <c r="Y22" s="292" t="s">
        <v>201</v>
      </c>
      <c r="Z22" s="422"/>
      <c r="AA22" s="291">
        <v>14</v>
      </c>
      <c r="AB22" s="294"/>
      <c r="AC22" s="469">
        <v>14</v>
      </c>
      <c r="AD22" s="706"/>
      <c r="AE22" s="709"/>
      <c r="AF22" s="296" t="s">
        <v>11</v>
      </c>
      <c r="AG22" s="310" t="str">
        <f t="shared" si="0"/>
        <v>B4</v>
      </c>
      <c r="AH22" s="485">
        <v>0</v>
      </c>
      <c r="AI22" s="563" t="str">
        <f>CONCATENATE(H17,H18)</f>
        <v>43</v>
      </c>
      <c r="AJ22" s="486"/>
      <c r="AK22" s="845"/>
      <c r="AL22" s="825"/>
      <c r="AM22" s="487"/>
      <c r="AN22" s="488" t="str">
        <f>IF(AH23=AH24,"résultat",IF(AH23&gt;AH24,AG23,AG24))</f>
        <v>C4</v>
      </c>
      <c r="AO22" s="485">
        <v>0</v>
      </c>
      <c r="AP22" s="557"/>
      <c r="AQ22" s="860"/>
      <c r="AR22" s="824"/>
      <c r="AS22" s="517"/>
      <c r="AT22" s="535" t="str">
        <f>IF(AI22+AI23=43," ",(IF(AI22+AI23=42,IF(AO21=AO22,"résultat",IF(AO21&lt;AO22,AN21,AN22)),IF(AI22+AI23=32,IF(AO21=AO22,"résultat",IF(AO21&lt;AO22,AN21,AN22)),IF(AI22+AI23=31,IF(AO21=AO22,"résultat",IF(AO21&gt;AO22,AN21,AN22)))))))</f>
        <v xml:space="preserve"> </v>
      </c>
      <c r="AU22" s="481">
        <v>1</v>
      </c>
      <c r="AV22" s="536"/>
      <c r="AW22" s="519">
        <v>2</v>
      </c>
      <c r="AX22" s="508"/>
      <c r="AY22" s="520" t="str">
        <f>IF($AI22+$AI23=43,IF($AO21=$AO22,"résultat",IF($AO21&lt;$AO22,$AN21,$AN22)),(IF($AI22+$AI23=42,IF($AU22=$AU23,"résultat",IF($AU22&gt;$AU23,$AT22,$AT23)),(IF($AI22+$AI23=32,IF($AU22=$AU23,"résultat",IF($AU22&gt;$AU23,$AT22,$AT23)))))))</f>
        <v>C4</v>
      </c>
      <c r="AZ22" s="3"/>
      <c r="BA22" s="526"/>
      <c r="BB22" s="526"/>
      <c r="BC22" s="723" t="s">
        <v>215</v>
      </c>
      <c r="BD22" s="723"/>
      <c r="BE22" s="723"/>
      <c r="BF22" s="723"/>
      <c r="BG22" s="723"/>
      <c r="BH22" s="723"/>
      <c r="BI22" s="723"/>
      <c r="BJ22" s="723"/>
      <c r="BK22" s="723"/>
      <c r="BL22" s="723"/>
      <c r="BM22" s="723"/>
      <c r="BN22" s="723"/>
      <c r="BO22" s="723"/>
      <c r="BP22" s="723"/>
      <c r="BQ22" s="723"/>
      <c r="BR22" s="723"/>
      <c r="BS22" s="724"/>
      <c r="BT22" s="826">
        <v>4</v>
      </c>
      <c r="BU22" s="618"/>
      <c r="BV22" s="821" t="str">
        <f>+AY21</f>
        <v>A4</v>
      </c>
      <c r="BW22" s="822"/>
      <c r="BX22" s="823"/>
      <c r="BY22" s="586">
        <v>2</v>
      </c>
      <c r="BZ22" s="526"/>
      <c r="CA22" s="526" t="s">
        <v>243</v>
      </c>
      <c r="CB22" s="712">
        <v>4</v>
      </c>
      <c r="CC22" s="871" t="str">
        <f>IF(OR(BY22=BY23),"Gagnant 1/16 A",IF(AND(BY22&gt;BY23),BV22,BV23))</f>
        <v>A4</v>
      </c>
      <c r="CD22" s="872"/>
      <c r="CE22" s="873"/>
      <c r="CF22" s="586">
        <v>0</v>
      </c>
      <c r="CG22" s="587" t="str">
        <f>IF(CF22=CF23,"&amp;",IF(CF22&gt;CF23,CC22,CC23))</f>
        <v>C4</v>
      </c>
      <c r="CH22" s="583"/>
      <c r="CI22" s="583"/>
      <c r="CJ22" s="583"/>
      <c r="CK22" s="584"/>
      <c r="CL22" s="583"/>
      <c r="CN22" s="583"/>
      <c r="CO22" s="583"/>
      <c r="CP22" s="583"/>
      <c r="CQ22" s="584"/>
      <c r="CR22" s="583"/>
      <c r="CS22" s="596" t="str">
        <f>IF(CR24=CR25,"résultat",IF(CR24&gt;CR25,CO24,CO25))</f>
        <v>A5</v>
      </c>
      <c r="CT22" s="601"/>
      <c r="CX22" s="536"/>
      <c r="CY22" s="612"/>
      <c r="CZ22" s="616">
        <v>6</v>
      </c>
      <c r="DA22" s="609"/>
      <c r="DB22" s="614">
        <f>IF(OR(AND(CZ7+CZ8&gt;3,CZ7+CZ8&lt;5)),0,IF(OR(AND(CZ7+CZ8&gt;5,CZ7+CZ8&lt;9)),CY47,0))</f>
        <v>0</v>
      </c>
      <c r="DF22"/>
      <c r="DL22"/>
      <c r="DN22"/>
      <c r="DU22"/>
      <c r="DY22"/>
      <c r="EC22"/>
    </row>
    <row r="23" spans="1:133" ht="21.95" customHeight="1" thickBot="1">
      <c r="A23" s="54" t="s">
        <v>236</v>
      </c>
      <c r="B23" s="54"/>
      <c r="C23" s="54"/>
      <c r="D23" s="54"/>
      <c r="E23" s="54"/>
      <c r="F23" s="54"/>
      <c r="G23" s="54"/>
      <c r="H23" s="54"/>
      <c r="I23" s="54"/>
      <c r="J23" s="54"/>
      <c r="K23" s="340"/>
      <c r="L23" s="333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291">
        <v>15</v>
      </c>
      <c r="X23" s="292"/>
      <c r="Y23" s="335" t="s">
        <v>87</v>
      </c>
      <c r="Z23" s="54"/>
      <c r="AA23" s="291">
        <v>15</v>
      </c>
      <c r="AB23" s="294"/>
      <c r="AC23" s="469">
        <v>15</v>
      </c>
      <c r="AD23" s="706"/>
      <c r="AE23" s="748">
        <f>IF(OR(AND($J$7&gt;170,$J$7&lt;190))," ",IF(OR(AND($J$7&gt;190,$J$7&lt;210)),8,IF(OR(IF($J$7&gt;210,$J$7&lt;220))," ",IF(OR(AND(J10&gt;220,J10&lt;240)),8,IF(OR(AND(J10&gt;240,J10&lt;650)),8,0)))))</f>
        <v>8</v>
      </c>
      <c r="AF23" s="303" t="s">
        <v>57</v>
      </c>
      <c r="AG23" s="304" t="str">
        <f t="shared" si="0"/>
        <v>C4</v>
      </c>
      <c r="AH23" s="489">
        <v>1</v>
      </c>
      <c r="AJ23" s="486"/>
      <c r="AK23" s="845"/>
      <c r="AL23" s="824">
        <v>11</v>
      </c>
      <c r="AM23" s="497"/>
      <c r="AN23" s="491" t="str">
        <f>IF(AH21=AH22,"résultat",IF(AH21&lt;AH22,AG21,AG22))</f>
        <v>B4</v>
      </c>
      <c r="AO23" s="489">
        <v>1</v>
      </c>
      <c r="AP23" s="557"/>
      <c r="AQ23" s="860"/>
      <c r="AR23" s="825"/>
      <c r="AS23" s="521"/>
      <c r="AT23" s="537" t="str">
        <f>IF(AI22+AI23=43," ",(IF(AI22+AI23=42,IF(AO23=AO24,"résultat",IF(AO23&gt;AO24,AN23,AN24)),(IF(AI22+AI23=32,IF(AO23=AO24,"résultat",IF(AO23&gt;AO24,AN23,AN24)),(IF(AI22+AI23=31,IF(AO23=AO24,"résultat",IF(AO23&gt;AO24,AN23,AN24)))))))))</f>
        <v xml:space="preserve"> </v>
      </c>
      <c r="AU23" s="485">
        <v>0</v>
      </c>
      <c r="AV23" s="536"/>
      <c r="AW23" s="523">
        <v>3</v>
      </c>
      <c r="AX23" s="508"/>
      <c r="AY23" s="524" t="str">
        <f>IF($AI22+$AI23=0," ",IF($AI22+$AI23=43,IF($AO23=$AO24,"résultat",IF($AO23&gt;$AO24,$AN23,$AN24)),(IF($AI22+$AI23=42," ",(IF($AI22+$AI23=32," "))))))</f>
        <v>B4</v>
      </c>
      <c r="AZ23" s="3"/>
      <c r="BA23" s="619"/>
      <c r="BB23" s="619"/>
      <c r="BC23" s="863" t="s">
        <v>299</v>
      </c>
      <c r="BD23" s="863"/>
      <c r="BE23" s="863"/>
      <c r="BF23" s="863"/>
      <c r="BG23" s="620" t="s">
        <v>300</v>
      </c>
      <c r="BH23" s="864" t="s">
        <v>301</v>
      </c>
      <c r="BI23" s="864"/>
      <c r="BJ23" s="864"/>
      <c r="BK23" s="864"/>
      <c r="BL23" s="864"/>
      <c r="BM23" s="864"/>
      <c r="BN23" s="864"/>
      <c r="BO23" s="864"/>
      <c r="BP23" s="864"/>
      <c r="BQ23" s="864"/>
      <c r="BR23" s="864"/>
      <c r="BS23" s="621" t="s">
        <v>210</v>
      </c>
      <c r="BT23" s="827"/>
      <c r="BU23" s="622"/>
      <c r="BV23" s="850" t="str">
        <f>IF(OR(AND(D18&lt;25)),"OFFICE",IF(OR(AND(J10&gt;340,J10&lt;490)),AY35,IF(OR(AND(J10&gt;490,J10&lt;530)),AY31,IF(OR(AND($J$10&gt;530,$J$10&lt;650)),AY62,0))))</f>
        <v>OFFICE</v>
      </c>
      <c r="BW23" s="851"/>
      <c r="BX23" s="852"/>
      <c r="BY23" s="589">
        <v>1</v>
      </c>
      <c r="BZ23" s="526"/>
      <c r="CA23" s="526" t="s">
        <v>251</v>
      </c>
      <c r="CB23" s="713"/>
      <c r="CC23" s="801" t="str">
        <f>IF(OR(BY54=BY55),"Gagnant 1/16 B",IF(AND(BY54&gt;BY55),BV54,BV55))</f>
        <v>C4</v>
      </c>
      <c r="CD23" s="802"/>
      <c r="CE23" s="803"/>
      <c r="CF23" s="589">
        <v>1</v>
      </c>
      <c r="CG23" s="587" t="str">
        <f>IF(CF22=CF23,"&amp;",IF(CF22&lt;CF23,CC22,CC23))</f>
        <v>A4</v>
      </c>
      <c r="CH23" s="583"/>
      <c r="CI23" s="583"/>
      <c r="CJ23" s="583"/>
      <c r="CK23" s="584"/>
      <c r="CL23" s="583"/>
      <c r="CN23" s="583"/>
      <c r="CO23" s="583"/>
      <c r="CP23" s="580" t="s">
        <v>11</v>
      </c>
      <c r="CQ23" s="584"/>
      <c r="CR23" s="583"/>
      <c r="CS23" s="596" t="str">
        <f>IF(CR24=CR25,"résultat",IF(CR24&lt;CR25,CO24,CO25))</f>
        <v>C8</v>
      </c>
      <c r="CT23" s="601"/>
      <c r="CX23" s="536"/>
      <c r="CY23" s="612"/>
      <c r="CZ23" s="616">
        <v>7</v>
      </c>
      <c r="DA23" s="609"/>
      <c r="DB23" s="614">
        <f>IF(OR(AND(CZ7+CZ8&gt;3,CZ7+CZ8&lt;5)),0,IF(OR(AND(CZ7+CZ8&gt;6,CZ7+CZ8&lt;9)),CY52,0))</f>
        <v>0</v>
      </c>
      <c r="DF23"/>
      <c r="DL23"/>
      <c r="DN23"/>
      <c r="DU23"/>
      <c r="DY23"/>
      <c r="EC23"/>
    </row>
    <row r="24" spans="1:133" ht="21.95" customHeight="1" thickBot="1">
      <c r="A24" s="54"/>
      <c r="B24" s="54" t="s">
        <v>237</v>
      </c>
      <c r="C24" s="54"/>
      <c r="D24" s="54"/>
      <c r="E24" s="54"/>
      <c r="F24" s="54"/>
      <c r="G24" s="54"/>
      <c r="H24" s="54"/>
      <c r="I24" s="428"/>
      <c r="J24" s="332"/>
      <c r="K24" s="341"/>
      <c r="L24" s="333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291">
        <v>16</v>
      </c>
      <c r="X24" s="292"/>
      <c r="Y24" s="335" t="s">
        <v>209</v>
      </c>
      <c r="Z24" s="54"/>
      <c r="AA24" s="291">
        <v>16</v>
      </c>
      <c r="AB24" s="294"/>
      <c r="AC24" s="470">
        <v>16</v>
      </c>
      <c r="AD24" s="707"/>
      <c r="AE24" s="749"/>
      <c r="AF24" s="296" t="str">
        <f>IF(AG23="Office"," ","D")</f>
        <v>D</v>
      </c>
      <c r="AG24" s="310" t="str">
        <f t="shared" si="0"/>
        <v>D4</v>
      </c>
      <c r="AH24" s="492">
        <v>0</v>
      </c>
      <c r="AJ24" s="493"/>
      <c r="AK24" s="846"/>
      <c r="AL24" s="849"/>
      <c r="AM24" s="498"/>
      <c r="AN24" s="495" t="str">
        <f>IF(AH23=AH24,"résultat",IF(AH23&lt;AH24,AG23,AG24))</f>
        <v>D4</v>
      </c>
      <c r="AO24" s="492">
        <v>0</v>
      </c>
      <c r="AP24" s="558"/>
      <c r="AQ24" s="861"/>
      <c r="AR24" s="479"/>
      <c r="AS24" s="479"/>
      <c r="AT24" s="538"/>
      <c r="AU24" s="525"/>
      <c r="AV24" s="479"/>
      <c r="AW24" s="479"/>
      <c r="AX24" s="479"/>
      <c r="AY24" s="479"/>
      <c r="AZ24" s="186"/>
      <c r="BA24" s="526"/>
      <c r="BB24" s="526"/>
      <c r="BC24" s="526"/>
      <c r="BD24" s="526"/>
      <c r="BE24" s="526"/>
      <c r="BF24" s="526"/>
      <c r="BG24" s="526"/>
      <c r="BI24" s="526"/>
      <c r="BJ24" s="526"/>
      <c r="BK24" s="526"/>
      <c r="BL24" s="526"/>
      <c r="BM24" s="526"/>
      <c r="BN24" s="526"/>
      <c r="BO24" s="526"/>
      <c r="BP24" s="526"/>
      <c r="BQ24" s="526"/>
      <c r="BR24" s="526"/>
      <c r="BS24" s="564"/>
      <c r="BT24" s="597"/>
      <c r="BU24" s="597"/>
      <c r="BV24" s="597"/>
      <c r="BW24" s="571"/>
      <c r="BX24" s="571"/>
      <c r="BY24" s="526"/>
      <c r="BZ24" s="526"/>
      <c r="CA24" s="623"/>
      <c r="CB24" s="601"/>
      <c r="CC24" s="617"/>
      <c r="CD24" s="571"/>
      <c r="CE24" s="571"/>
      <c r="CF24" s="536"/>
      <c r="CG24" s="587"/>
      <c r="CH24" s="583"/>
      <c r="CI24" s="583"/>
      <c r="CJ24" s="583"/>
      <c r="CK24" s="584"/>
      <c r="CL24" s="583"/>
      <c r="CN24" s="712">
        <v>2</v>
      </c>
      <c r="CO24" s="820" t="str">
        <f>IF(OR(CL28=CL29),"Gagnant 1/4 C",IF(AND(CL28&gt;CL29),CI28,CI29))</f>
        <v>A5</v>
      </c>
      <c r="CP24" s="815"/>
      <c r="CQ24" s="816"/>
      <c r="CR24" s="586">
        <v>1</v>
      </c>
      <c r="CT24" s="601"/>
      <c r="CX24" s="536"/>
      <c r="CY24" s="612"/>
      <c r="CZ24" s="624">
        <v>8</v>
      </c>
      <c r="DA24" s="609"/>
      <c r="DB24" s="625">
        <f>IF(OR(AND(CZ7+CZ8&gt;3,CZ7+CZ8&lt;5)),0,IF(OR(AND(CZ7+CZ8&gt;7,CZ7+CZ8&lt;9)),CY53,0))</f>
        <v>0</v>
      </c>
      <c r="DF24"/>
      <c r="DL24"/>
      <c r="DN24"/>
      <c r="DU24"/>
      <c r="DY24"/>
      <c r="EC24"/>
    </row>
    <row r="25" spans="1:133" ht="21.95" customHeight="1" thickTop="1" thickBot="1">
      <c r="Q25" s="54"/>
      <c r="R25" s="54"/>
      <c r="S25" s="54"/>
      <c r="T25" s="54"/>
      <c r="U25" s="54"/>
      <c r="V25" s="54"/>
      <c r="W25" s="338">
        <v>17</v>
      </c>
      <c r="X25" s="335"/>
      <c r="Y25" s="292" t="s">
        <v>83</v>
      </c>
      <c r="Z25" s="339"/>
      <c r="AA25" s="291">
        <v>17</v>
      </c>
      <c r="AB25" s="294"/>
      <c r="AC25" s="320">
        <v>17</v>
      </c>
      <c r="AD25" s="711" t="s">
        <v>20</v>
      </c>
      <c r="AE25" s="748">
        <f>IF(OR(AND($J$7&gt;170,$J$7&lt;180)),7,IF(OR(AND($J$7&gt;180,$J$7&lt;190)),8,IF(OR(IF($J$7&gt;190,$J$7&lt;210)),9,IF(OR(AND(J10&gt;210,J10&lt;220)),8,IF(OR(AND(J10&gt;220,J10&lt;650)),9,0)))))</f>
        <v>9</v>
      </c>
      <c r="AF25" s="303" t="s">
        <v>10</v>
      </c>
      <c r="AG25" s="304" t="str">
        <f t="shared" si="0"/>
        <v>A5</v>
      </c>
      <c r="AH25" s="496">
        <v>1</v>
      </c>
      <c r="AJ25" s="486"/>
      <c r="AK25" s="844">
        <v>5</v>
      </c>
      <c r="AL25" s="824">
        <v>12</v>
      </c>
      <c r="AM25" s="499"/>
      <c r="AN25" s="484" t="str">
        <f>IF(AH25=AH26,"résultat",IF(AH25&gt;AH26,AG25,AG26))</f>
        <v>A5</v>
      </c>
      <c r="AO25" s="496">
        <v>1</v>
      </c>
      <c r="AP25" s="557"/>
      <c r="AQ25" s="859">
        <v>5</v>
      </c>
      <c r="AR25" s="527"/>
      <c r="AS25" s="527"/>
      <c r="AT25" s="539"/>
      <c r="AU25" s="528"/>
      <c r="AV25" s="512"/>
      <c r="AW25" s="514">
        <v>1</v>
      </c>
      <c r="AX25" s="515"/>
      <c r="AY25" s="516" t="str">
        <f>IF($AI26+$AI27=43,IF($AO25=$AO26,"résultat",IF($AO25&gt;$AO26,$AN25,$AN26)),(IF($AI26+$AI27=42,IF($AO25=$AO26,"résultat",IF($AO25&gt;$AO26,$AN25,$AN26)),(IF($AI26+$AI27=32,IF($AO25=$AO26,"résultat",IF($AO25&gt;$AO26,$AN25,$AN26)))))))</f>
        <v>A5</v>
      </c>
      <c r="AZ25" s="185"/>
      <c r="BA25" s="527"/>
      <c r="BB25" s="527"/>
      <c r="BC25" s="527"/>
      <c r="BD25" s="527"/>
      <c r="BE25" s="527"/>
      <c r="BF25" s="527"/>
      <c r="BG25" s="527"/>
      <c r="BI25" s="527"/>
      <c r="BJ25" s="527"/>
      <c r="BK25" s="527"/>
      <c r="BL25" s="527"/>
      <c r="BM25" s="527"/>
      <c r="BN25" s="527"/>
      <c r="BO25" s="527"/>
      <c r="BP25" s="527"/>
      <c r="BQ25" s="527"/>
      <c r="BR25" s="527"/>
      <c r="BS25" s="564"/>
      <c r="BT25" s="593"/>
      <c r="BU25" s="593"/>
      <c r="BV25" s="593"/>
      <c r="BW25" s="580" t="s">
        <v>49</v>
      </c>
      <c r="BX25" s="375"/>
      <c r="BY25" s="579"/>
      <c r="BZ25" s="579"/>
      <c r="CA25" s="593"/>
      <c r="CB25" s="583"/>
      <c r="CC25" s="584"/>
      <c r="CD25" s="598" t="s">
        <v>49</v>
      </c>
      <c r="CE25" s="375"/>
      <c r="CF25" s="583"/>
      <c r="CG25" s="607"/>
      <c r="CH25" s="583"/>
      <c r="CI25" s="583"/>
      <c r="CJ25" s="583"/>
      <c r="CK25" s="584"/>
      <c r="CL25" s="583"/>
      <c r="CN25" s="713"/>
      <c r="CO25" s="817" t="str">
        <f>IF(OR(CL36=CL37),"Gagnant 1/4 D",IF(AND(CL36&gt;CL37),CI36,CI37))</f>
        <v>C8</v>
      </c>
      <c r="CP25" s="818"/>
      <c r="CQ25" s="819"/>
      <c r="CR25" s="589">
        <v>0</v>
      </c>
      <c r="CT25" s="601"/>
      <c r="CX25" s="536"/>
      <c r="CY25" s="612"/>
      <c r="CZ25" s="290"/>
      <c r="DB25" s="290"/>
      <c r="DF25"/>
      <c r="DL25"/>
      <c r="DN25"/>
      <c r="DU25"/>
      <c r="DY25"/>
      <c r="EC25"/>
    </row>
    <row r="26" spans="1:133" ht="21.95" customHeight="1" thickTop="1" thickBot="1">
      <c r="A26" s="54" t="s">
        <v>238</v>
      </c>
      <c r="B26" s="54"/>
      <c r="C26" s="54"/>
      <c r="D26" s="54"/>
      <c r="E26" s="54"/>
      <c r="F26" s="297"/>
      <c r="G26" s="297"/>
      <c r="H26" s="297"/>
      <c r="I26" s="54"/>
      <c r="J26" s="333"/>
      <c r="K26" s="340"/>
      <c r="L26" s="333"/>
      <c r="M26" s="54"/>
      <c r="N26" s="54"/>
      <c r="Q26" s="54"/>
      <c r="R26" s="54"/>
      <c r="S26" s="54"/>
      <c r="T26" s="54"/>
      <c r="U26" s="54"/>
      <c r="V26" s="54"/>
      <c r="W26" s="291">
        <v>18</v>
      </c>
      <c r="X26" s="292"/>
      <c r="Y26" s="335" t="s">
        <v>88</v>
      </c>
      <c r="Z26" s="54"/>
      <c r="AA26" s="291">
        <v>18</v>
      </c>
      <c r="AB26" s="294"/>
      <c r="AC26" s="328">
        <v>18</v>
      </c>
      <c r="AD26" s="706"/>
      <c r="AE26" s="749"/>
      <c r="AF26" s="296" t="s">
        <v>11</v>
      </c>
      <c r="AG26" s="310" t="str">
        <f t="shared" si="0"/>
        <v>B5</v>
      </c>
      <c r="AH26" s="485">
        <v>0</v>
      </c>
      <c r="AI26" s="563" t="str">
        <f>CONCATENATE(I17,I18)</f>
        <v>43</v>
      </c>
      <c r="AJ26" s="486"/>
      <c r="AK26" s="845"/>
      <c r="AL26" s="825"/>
      <c r="AM26" s="487"/>
      <c r="AN26" s="488" t="str">
        <f>IF(AH27=AH28,"résultat",IF(AH27&gt;AH28,AG27,AG28))</f>
        <v>C5</v>
      </c>
      <c r="AO26" s="485">
        <v>0</v>
      </c>
      <c r="AP26" s="557"/>
      <c r="AQ26" s="860"/>
      <c r="AR26" s="824"/>
      <c r="AS26" s="517"/>
      <c r="AT26" s="533" t="str">
        <f>IF(AI26+AI27=43," ",IF(AI26+AI27=42,IF(AO25=AO26,"résultat",IF(AO25&lt;AO26,AN25,AN26)),IF(AI26+AI27=32,IF(AO25=AO26,"résultat",IF(AO25&lt;AO26,AN25,AN26)))))</f>
        <v xml:space="preserve"> </v>
      </c>
      <c r="AU26" s="481">
        <v>1</v>
      </c>
      <c r="AV26" s="536"/>
      <c r="AW26" s="540">
        <v>2</v>
      </c>
      <c r="AX26" s="508"/>
      <c r="AY26" s="520" t="str">
        <f>IF($AI26+$AI27=43,IF($AO25=$AO26,"résultat",IF($AO25&lt;$AO26,$AN25,$AN26)),(IF($AI26+$AI27=42,IF($AU26=$AU27,"résultat",IF($AU26&gt;$AU27,$AT26,$AT27)),(IF($AI26+$AI27=32,IF($AU26=$AU27,"résultat",IF($AU26&gt;$AU27,$AT26,$AT27)))))))</f>
        <v>C5</v>
      </c>
      <c r="AZ26" s="3"/>
      <c r="BA26" s="547"/>
      <c r="BB26" s="547"/>
      <c r="BC26" s="727" t="s">
        <v>216</v>
      </c>
      <c r="BD26" s="727"/>
      <c r="BE26" s="727"/>
      <c r="BF26" s="727"/>
      <c r="BG26" s="727"/>
      <c r="BH26" s="727"/>
      <c r="BI26" s="727"/>
      <c r="BJ26" s="727"/>
      <c r="BK26" s="727"/>
      <c r="BL26" s="727"/>
      <c r="BM26" s="727"/>
      <c r="BN26" s="727"/>
      <c r="BO26" s="727"/>
      <c r="BP26" s="727"/>
      <c r="BQ26" s="727"/>
      <c r="BR26" s="727"/>
      <c r="BS26" s="728"/>
      <c r="BT26" s="826">
        <v>5</v>
      </c>
      <c r="BU26" s="611"/>
      <c r="BV26" s="821" t="str">
        <f>+AY25</f>
        <v>A5</v>
      </c>
      <c r="BW26" s="822"/>
      <c r="BX26" s="823"/>
      <c r="BY26" s="586">
        <v>2</v>
      </c>
      <c r="BZ26" s="526"/>
      <c r="CA26" s="526" t="s">
        <v>244</v>
      </c>
      <c r="CB26" s="712">
        <v>5</v>
      </c>
      <c r="CC26" s="871" t="str">
        <f>IF(OR(BY26=BY27),"Gagnant 1/16 A",IF(AND(BY26&gt;BY27),BV26,BV27))</f>
        <v>A5</v>
      </c>
      <c r="CD26" s="872"/>
      <c r="CE26" s="873"/>
      <c r="CF26" s="586">
        <v>1</v>
      </c>
      <c r="CG26" s="587" t="str">
        <f>IF(CF26=CF27,"&amp;",IF(CF26&gt;CF27,CC26,CC27))</f>
        <v>A5</v>
      </c>
      <c r="CH26" s="583"/>
      <c r="CI26" s="583"/>
      <c r="CJ26" s="583"/>
      <c r="CK26" s="584"/>
      <c r="CL26" s="583"/>
      <c r="CN26" s="601"/>
      <c r="CO26" s="511"/>
      <c r="CP26" s="511"/>
      <c r="CQ26" s="511"/>
      <c r="CR26" s="536"/>
      <c r="CT26" s="601"/>
      <c r="CX26" s="536"/>
      <c r="CY26" s="612"/>
      <c r="CZ26" s="290"/>
      <c r="DB26" s="290"/>
      <c r="DF26"/>
      <c r="DL26"/>
      <c r="DN26"/>
      <c r="DU26"/>
      <c r="DY26"/>
      <c r="EC26"/>
    </row>
    <row r="27" spans="1:133" ht="21.95" customHeight="1" thickBot="1">
      <c r="A27" s="54"/>
      <c r="B27" s="54"/>
      <c r="C27" s="54"/>
      <c r="D27" s="54"/>
      <c r="E27" s="54"/>
      <c r="F27" s="297"/>
      <c r="G27" s="297"/>
      <c r="H27" s="297"/>
      <c r="I27" s="54"/>
      <c r="J27" s="333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338">
        <v>19</v>
      </c>
      <c r="X27" s="335"/>
      <c r="Y27" s="335" t="s">
        <v>89</v>
      </c>
      <c r="Z27" s="54"/>
      <c r="AA27" s="291">
        <v>19</v>
      </c>
      <c r="AB27" s="294"/>
      <c r="AC27" s="295">
        <v>19</v>
      </c>
      <c r="AD27" s="706"/>
      <c r="AE27" s="710">
        <f>IF(OR(AND($J$7&gt;170,$J$7&lt;180))," ",IF(OR(AND($J$7&gt;180,$J$7&lt;200))," ",IF(OR(IF($J$7&gt;200,$J$7&lt;210)),10,IF(OR(AND(J10&gt;210,J10&lt;230))," ",IF(OR(AND(J10&gt;230,J10&lt;250)),10,IF(OR(AND(J10&gt;250,J10&lt;260))," ",IF(OR(AND(J10&gt;260,J10&lt;6500)),10,0)))))))</f>
        <v>10</v>
      </c>
      <c r="AF27" s="303" t="s">
        <v>57</v>
      </c>
      <c r="AG27" s="304" t="str">
        <f t="shared" si="0"/>
        <v>C5</v>
      </c>
      <c r="AH27" s="489">
        <v>1</v>
      </c>
      <c r="AJ27" s="486"/>
      <c r="AK27" s="845"/>
      <c r="AL27" s="824">
        <v>13</v>
      </c>
      <c r="AM27" s="497"/>
      <c r="AN27" s="491" t="str">
        <f>IF(AH25=AH26,"résultat",IF(AH25&lt;AH26,AG25,AG26))</f>
        <v>B5</v>
      </c>
      <c r="AO27" s="489">
        <v>1</v>
      </c>
      <c r="AP27" s="557"/>
      <c r="AQ27" s="860"/>
      <c r="AR27" s="825"/>
      <c r="AS27" s="521"/>
      <c r="AT27" s="541" t="str">
        <f>IF(AI26+AI27=43," ",(IF(AI26+AI27=42,IF(AO27=AO28,"résultat",IF(AO27&gt;AO28,AN27,AN28)),(IF(AI26+AI27=32,IF(AO27=AO28,"résultat",IF(AO27&gt;AO28,AN27,AN28)))))))</f>
        <v xml:space="preserve"> </v>
      </c>
      <c r="AU27" s="485">
        <v>0</v>
      </c>
      <c r="AV27" s="536"/>
      <c r="AW27" s="523">
        <v>3</v>
      </c>
      <c r="AX27" s="508"/>
      <c r="AY27" s="524" t="str">
        <f>IF($AI26+$AI27=0," ",IF($AI26+$AI27=43,IF($AO27=$AO28,"résultat",IF($AO27&gt;$AO28,$AN27,$AN28)),(IF($AI26+$AI27=42," ",(IF($AI26+$AI27=32," "))))))</f>
        <v>B5</v>
      </c>
      <c r="AZ27" s="3"/>
      <c r="BA27" s="547"/>
      <c r="BB27" s="547"/>
      <c r="BC27" s="722" t="s">
        <v>310</v>
      </c>
      <c r="BD27" s="722"/>
      <c r="BE27" s="731" t="s">
        <v>302</v>
      </c>
      <c r="BF27" s="731"/>
      <c r="BG27" s="731"/>
      <c r="BH27" s="731"/>
      <c r="BI27" s="731"/>
      <c r="BJ27" s="731"/>
      <c r="BK27" s="731"/>
      <c r="BL27" s="731"/>
      <c r="BM27" s="731"/>
      <c r="BN27" s="731"/>
      <c r="BO27" s="731"/>
      <c r="BP27" s="731"/>
      <c r="BQ27" s="731"/>
      <c r="BR27" s="731"/>
      <c r="BS27" s="626"/>
      <c r="BT27" s="827"/>
      <c r="BU27" s="615"/>
      <c r="BV27" s="850" t="str">
        <f>IF(AND(J10&gt;330,J10&lt;610),AY11,IF(AND(J10&gt;610,J10&lt;650),AY70,0))</f>
        <v>B1</v>
      </c>
      <c r="BW27" s="851"/>
      <c r="BX27" s="851"/>
      <c r="BY27" s="589">
        <v>1</v>
      </c>
      <c r="BZ27" s="619"/>
      <c r="CA27" s="526" t="s">
        <v>252</v>
      </c>
      <c r="CB27" s="713"/>
      <c r="CC27" s="801" t="str">
        <f>IF(OR(BY58=BY59),"Gagnant 1/16 B",IF(AND(BY58&gt;BY59),BV58,BV59))</f>
        <v>C6</v>
      </c>
      <c r="CD27" s="802"/>
      <c r="CE27" s="803"/>
      <c r="CF27" s="589">
        <v>0</v>
      </c>
      <c r="CG27" s="587" t="str">
        <f>IF(CF26=CF27,"&amp;",IF(CF26&lt;CF27,CC26,CC27))</f>
        <v>C6</v>
      </c>
      <c r="CH27" s="583"/>
      <c r="CI27" s="583"/>
      <c r="CJ27" s="590" t="s">
        <v>57</v>
      </c>
      <c r="CK27" s="375"/>
      <c r="CL27" s="583"/>
      <c r="CN27" s="601"/>
      <c r="CO27" s="511"/>
      <c r="CP27" s="511"/>
      <c r="CQ27" s="511"/>
      <c r="CR27" s="536"/>
      <c r="CT27" s="601"/>
      <c r="CX27" s="536"/>
      <c r="CY27" s="612"/>
      <c r="CZ27" s="290"/>
      <c r="DB27" s="290"/>
      <c r="DF27"/>
      <c r="DL27"/>
      <c r="DN27"/>
      <c r="DU27"/>
      <c r="DY27"/>
      <c r="EC27"/>
    </row>
    <row r="28" spans="1:133" ht="21.95" customHeight="1" thickBot="1">
      <c r="A28" s="54" t="s">
        <v>239</v>
      </c>
      <c r="B28" s="54"/>
      <c r="C28" s="54"/>
      <c r="D28" s="54"/>
      <c r="E28" s="297"/>
      <c r="F28" s="297"/>
      <c r="G28" s="297"/>
      <c r="H28" s="297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291">
        <v>20</v>
      </c>
      <c r="X28" s="292"/>
      <c r="Y28" s="335" t="s">
        <v>142</v>
      </c>
      <c r="Z28" s="54"/>
      <c r="AA28" s="291">
        <v>20</v>
      </c>
      <c r="AB28" s="294"/>
      <c r="AC28" s="337">
        <v>20</v>
      </c>
      <c r="AD28" s="707"/>
      <c r="AE28" s="709"/>
      <c r="AF28" s="296" t="str">
        <f>IF(AG27="Office"," ","D")</f>
        <v>D</v>
      </c>
      <c r="AG28" s="310" t="str">
        <f t="shared" si="0"/>
        <v>D5</v>
      </c>
      <c r="AH28" s="492">
        <v>0</v>
      </c>
      <c r="AJ28" s="493"/>
      <c r="AK28" s="846"/>
      <c r="AL28" s="849"/>
      <c r="AM28" s="498"/>
      <c r="AN28" s="495" t="str">
        <f>IF(AH27=AH28,"résultat",IF(AH27&lt;AH28,AG27,AG28))</f>
        <v>D5</v>
      </c>
      <c r="AO28" s="492">
        <v>0</v>
      </c>
      <c r="AP28" s="558"/>
      <c r="AQ28" s="861"/>
      <c r="AR28" s="479"/>
      <c r="AS28" s="479"/>
      <c r="AT28" s="525"/>
      <c r="AU28" s="525"/>
      <c r="AV28" s="479"/>
      <c r="AW28" s="479"/>
      <c r="AX28" s="479"/>
      <c r="AY28" s="526"/>
      <c r="AZ28" s="186"/>
      <c r="BA28" s="526"/>
      <c r="BB28" s="526"/>
      <c r="BC28" s="526"/>
      <c r="BD28" s="526"/>
      <c r="BE28" s="526"/>
      <c r="BF28" s="526"/>
      <c r="BG28" s="526"/>
      <c r="BI28" s="526"/>
      <c r="BJ28" s="526"/>
      <c r="BK28" s="526"/>
      <c r="BL28" s="526"/>
      <c r="BM28" s="526"/>
      <c r="BN28" s="526"/>
      <c r="BO28" s="526"/>
      <c r="BP28" s="526"/>
      <c r="BQ28" s="526"/>
      <c r="BR28" s="526"/>
      <c r="BS28" s="564"/>
      <c r="BT28" s="597"/>
      <c r="BU28" s="597"/>
      <c r="BV28" s="597"/>
      <c r="BW28" s="594"/>
      <c r="BX28" s="594"/>
      <c r="BY28" s="526"/>
      <c r="BZ28" s="526"/>
      <c r="CA28" s="593"/>
      <c r="CB28" s="601"/>
      <c r="CC28" s="617"/>
      <c r="CD28" s="571"/>
      <c r="CE28" s="571"/>
      <c r="CF28" s="536"/>
      <c r="CG28" s="587"/>
      <c r="CH28" s="712">
        <v>3</v>
      </c>
      <c r="CI28" s="783" t="str">
        <f>IF(OR(CF26=CF27),"Gagnant 1/8 E",IF(AND(CF26&gt;CF27),CC26,CC27))</f>
        <v>A5</v>
      </c>
      <c r="CJ28" s="784"/>
      <c r="CK28" s="785"/>
      <c r="CL28" s="586">
        <v>1</v>
      </c>
      <c r="CM28" s="596" t="str">
        <f>IF(CL28=CL29,"résultat",IF(CL28&gt;CL29,CI28,CI29))</f>
        <v>A5</v>
      </c>
      <c r="CN28" s="601"/>
      <c r="CO28" s="511"/>
      <c r="CP28" s="511"/>
      <c r="CQ28" s="511"/>
      <c r="CR28" s="536"/>
      <c r="CT28" s="601"/>
      <c r="CX28" s="536"/>
      <c r="CY28" s="612"/>
      <c r="CZ28" s="290"/>
      <c r="DB28" s="290"/>
      <c r="DF28"/>
      <c r="DL28"/>
      <c r="DN28"/>
      <c r="DU28"/>
      <c r="DY28"/>
      <c r="EC28"/>
    </row>
    <row r="29" spans="1:133" ht="21.95" customHeight="1" thickTop="1" thickBot="1">
      <c r="A29" s="54"/>
      <c r="B29" s="54"/>
      <c r="C29" s="54"/>
      <c r="D29" s="54"/>
      <c r="E29" s="297"/>
      <c r="F29" s="297"/>
      <c r="G29" s="297"/>
      <c r="H29" s="297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338">
        <v>21</v>
      </c>
      <c r="X29" s="335"/>
      <c r="Y29" s="292" t="s">
        <v>84</v>
      </c>
      <c r="Z29" s="339"/>
      <c r="AA29" s="291">
        <v>21</v>
      </c>
      <c r="AB29" s="54"/>
      <c r="AC29" s="471">
        <v>21</v>
      </c>
      <c r="AD29" s="711" t="s">
        <v>21</v>
      </c>
      <c r="AE29" s="748">
        <v>11</v>
      </c>
      <c r="AF29" s="303" t="s">
        <v>10</v>
      </c>
      <c r="AG29" s="304" t="str">
        <f t="shared" si="0"/>
        <v>A6</v>
      </c>
      <c r="AH29" s="496">
        <v>1</v>
      </c>
      <c r="AJ29" s="486"/>
      <c r="AK29" s="844">
        <v>6</v>
      </c>
      <c r="AL29" s="847">
        <v>14</v>
      </c>
      <c r="AM29" s="483"/>
      <c r="AN29" s="484" t="str">
        <f>IF(AH29=AH30,"résultat",IF(AH29&gt;AH30,AG29,AG30))</f>
        <v>A6</v>
      </c>
      <c r="AO29" s="496">
        <v>1</v>
      </c>
      <c r="AP29" s="557"/>
      <c r="AQ29" s="859">
        <v>6</v>
      </c>
      <c r="AR29" s="512"/>
      <c r="AS29" s="512"/>
      <c r="AT29" s="532"/>
      <c r="AU29" s="528"/>
      <c r="AV29" s="512"/>
      <c r="AW29" s="514">
        <v>1</v>
      </c>
      <c r="AX29" s="508"/>
      <c r="AY29" s="516" t="str">
        <f>IF(AI30+AI31=0," ",IF($AI30+$AI31=43,IF($AO29=$AO30,"résultat",IF($AO29&gt;$AO30,$AN29,$AN30)),(IF($AI30+$AI31=42,IF($AO29=$AO30,"résultat",IF($AO29&gt;$AO30,$AN29,$AN30)),(IF($AI30+$AI31=32,IF($AO29=$AO30,"résultat",IF($AO29&gt;$AO30,$AN29,$AN30))))))))</f>
        <v>A6</v>
      </c>
      <c r="AZ29" s="185"/>
      <c r="BA29" s="547"/>
      <c r="BB29" s="547"/>
      <c r="BC29" s="547"/>
      <c r="BD29" s="547"/>
      <c r="BE29" s="547"/>
      <c r="BF29" s="547"/>
      <c r="BG29" s="547"/>
      <c r="BI29" s="547"/>
      <c r="BJ29" s="547"/>
      <c r="BK29" s="547"/>
      <c r="BL29" s="547"/>
      <c r="BM29" s="547"/>
      <c r="BN29" s="547"/>
      <c r="BO29" s="547"/>
      <c r="BP29" s="547"/>
      <c r="BQ29" s="547"/>
      <c r="BR29" s="547"/>
      <c r="BS29" s="578"/>
      <c r="BT29" s="578"/>
      <c r="BU29" s="593"/>
      <c r="BV29" s="578"/>
      <c r="BW29" s="580" t="s">
        <v>58</v>
      </c>
      <c r="BX29" s="375"/>
      <c r="BY29" s="592"/>
      <c r="BZ29" s="592"/>
      <c r="CA29" s="604"/>
      <c r="CB29" s="583"/>
      <c r="CC29" s="584"/>
      <c r="CD29" s="598" t="s">
        <v>58</v>
      </c>
      <c r="CE29" s="375"/>
      <c r="CF29" s="583"/>
      <c r="CG29" s="599"/>
      <c r="CH29" s="713"/>
      <c r="CI29" s="714" t="str">
        <f>IF(OR(CF30=CF31),"Gagnant 1/8 F",IF(AND($AJ$4&gt;8,CF30&gt;CF31),CC30,CC31))</f>
        <v>C7</v>
      </c>
      <c r="CJ29" s="715"/>
      <c r="CK29" s="716"/>
      <c r="CL29" s="589">
        <v>0</v>
      </c>
      <c r="CM29" s="596" t="str">
        <f>IF(CL28=CL29,"résultat",IF(CL28&lt;CL29,CI28,CI29))</f>
        <v>C7</v>
      </c>
      <c r="CN29" s="601"/>
      <c r="CO29" s="511"/>
      <c r="CP29" s="511"/>
      <c r="CQ29" s="511"/>
      <c r="CR29" s="536"/>
      <c r="CT29" s="601"/>
      <c r="CX29" s="536"/>
      <c r="CY29" s="612"/>
      <c r="CZ29" s="290"/>
      <c r="DB29" s="290"/>
      <c r="DF29"/>
      <c r="DL29"/>
      <c r="DN29"/>
      <c r="DU29"/>
      <c r="DY29"/>
      <c r="EC29"/>
    </row>
    <row r="30" spans="1:133" ht="21.95" customHeight="1" thickTop="1" thickBot="1">
      <c r="A30" s="681" t="s">
        <v>345</v>
      </c>
      <c r="B30" s="54"/>
      <c r="C30" s="54"/>
      <c r="D30" s="54"/>
      <c r="E30" s="297"/>
      <c r="F30" s="297"/>
      <c r="G30" s="297"/>
      <c r="H30" s="297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291">
        <v>22</v>
      </c>
      <c r="X30" s="292"/>
      <c r="Y30" s="335" t="s">
        <v>90</v>
      </c>
      <c r="Z30" s="336"/>
      <c r="AA30" s="291">
        <v>22</v>
      </c>
      <c r="AB30" s="54"/>
      <c r="AC30" s="467">
        <v>22</v>
      </c>
      <c r="AD30" s="706"/>
      <c r="AE30" s="709"/>
      <c r="AF30" s="296" t="s">
        <v>11</v>
      </c>
      <c r="AG30" s="310" t="str">
        <f t="shared" si="0"/>
        <v>B6</v>
      </c>
      <c r="AH30" s="485">
        <v>0</v>
      </c>
      <c r="AI30" s="563" t="str">
        <f>CONCATENATE(J17,J18)</f>
        <v>43</v>
      </c>
      <c r="AJ30" s="486"/>
      <c r="AK30" s="845"/>
      <c r="AL30" s="825"/>
      <c r="AM30" s="487"/>
      <c r="AN30" s="488" t="str">
        <f>IF(AH31=AH32,"résultat",IF(AH31&gt;AH32,AG31,AG32))</f>
        <v>C6</v>
      </c>
      <c r="AO30" s="485">
        <v>0</v>
      </c>
      <c r="AP30" s="557"/>
      <c r="AQ30" s="860"/>
      <c r="AR30" s="824"/>
      <c r="AS30" s="517"/>
      <c r="AT30" s="530" t="str">
        <f>IF(AI30+AI31=0," ",IF(AI30+AI31=43," ",(IF(AI30+AI31=42,IF(AO29=AO30,"résultat",IF(AO29&lt;AO30,AN29,AN30)),IF(AI30+AI31=32,IF(AO29=AO30,"résultat",IF(AO29&lt;AO30,AN29,AN30)))))))</f>
        <v xml:space="preserve"> </v>
      </c>
      <c r="AU30" s="481">
        <v>1</v>
      </c>
      <c r="AV30" s="536"/>
      <c r="AW30" s="540">
        <v>2</v>
      </c>
      <c r="AX30" s="508"/>
      <c r="AY30" s="520" t="str">
        <f>IF(AI30+AI31=0," ",IF($AI30+$AI31=43,IF($AO29=$AO30,"résultat",IF($AO29&lt;$AO30,$AN29,$AN30)),(IF($AI30+$AI31=42,IF($AU30=$AU31,"résultat",IF($AU30&gt;$AU31,$AT30,$AT31)),(IF($AI30+$AI31=32,IF($AU30=$AU31,"résultat",IF($AU30&gt;$AU31,$AT30,$AT31))))))))</f>
        <v>C6</v>
      </c>
      <c r="AZ30" s="3"/>
      <c r="BA30" s="547"/>
      <c r="BB30" s="547"/>
      <c r="BC30" s="723" t="s">
        <v>217</v>
      </c>
      <c r="BD30" s="723"/>
      <c r="BE30" s="723"/>
      <c r="BF30" s="723"/>
      <c r="BG30" s="723"/>
      <c r="BH30" s="723"/>
      <c r="BI30" s="723"/>
      <c r="BJ30" s="723"/>
      <c r="BK30" s="723"/>
      <c r="BL30" s="723"/>
      <c r="BM30" s="723"/>
      <c r="BN30" s="723"/>
      <c r="BO30" s="723"/>
      <c r="BP30" s="723"/>
      <c r="BQ30" s="723"/>
      <c r="BR30" s="723"/>
      <c r="BS30" s="724"/>
      <c r="BT30" s="826">
        <v>6</v>
      </c>
      <c r="BU30" s="618"/>
      <c r="BV30" s="821" t="str">
        <f>+AY29</f>
        <v>A6</v>
      </c>
      <c r="BW30" s="822"/>
      <c r="BX30" s="823"/>
      <c r="BY30" s="586">
        <v>2</v>
      </c>
      <c r="BZ30" s="526"/>
      <c r="CA30" s="526" t="s">
        <v>248</v>
      </c>
      <c r="CB30" s="712">
        <v>6</v>
      </c>
      <c r="CC30" s="871" t="str">
        <f>IF(OR(BY30=BY31),"Gagnant 1/16 A",IF(AND(BY30&gt;BY31),BV30,BV31))</f>
        <v>A6</v>
      </c>
      <c r="CD30" s="872"/>
      <c r="CE30" s="873"/>
      <c r="CF30" s="586">
        <v>1</v>
      </c>
      <c r="CG30" s="587" t="str">
        <f>IF(CF30=CF31,"&amp;",IF(CF30&gt;CF31,CC30,CC31))</f>
        <v>C7</v>
      </c>
      <c r="CH30" s="583"/>
      <c r="CI30" s="583"/>
      <c r="CJ30" s="583"/>
      <c r="CK30" s="584"/>
      <c r="CL30" s="583"/>
      <c r="CN30" s="583"/>
      <c r="CO30" s="583"/>
      <c r="CP30" s="583"/>
      <c r="CQ30" s="584"/>
      <c r="CR30" s="583"/>
      <c r="CW30" s="547"/>
      <c r="CY30" s="596"/>
      <c r="CZ30" s="290"/>
      <c r="DB30" s="290"/>
      <c r="DF30"/>
      <c r="DL30"/>
      <c r="DN30"/>
      <c r="DU30"/>
      <c r="DY30"/>
      <c r="EC30"/>
    </row>
    <row r="31" spans="1:133" ht="21.95" customHeight="1" thickBot="1">
      <c r="A31" s="54"/>
      <c r="B31" s="54"/>
      <c r="C31" s="54"/>
      <c r="D31" s="54"/>
      <c r="E31" s="297"/>
      <c r="F31" s="297"/>
      <c r="G31" s="297"/>
      <c r="H31" s="297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338">
        <v>23</v>
      </c>
      <c r="X31" s="335"/>
      <c r="Y31" s="292" t="s">
        <v>91</v>
      </c>
      <c r="Z31" s="54"/>
      <c r="AA31" s="291">
        <v>23</v>
      </c>
      <c r="AB31" s="54"/>
      <c r="AC31" s="467">
        <v>23</v>
      </c>
      <c r="AD31" s="706"/>
      <c r="AE31" s="748">
        <v>12</v>
      </c>
      <c r="AF31" s="303" t="s">
        <v>57</v>
      </c>
      <c r="AG31" s="304" t="str">
        <f t="shared" si="0"/>
        <v>C6</v>
      </c>
      <c r="AH31" s="489">
        <v>1</v>
      </c>
      <c r="AJ31" s="486"/>
      <c r="AK31" s="845"/>
      <c r="AL31" s="824">
        <v>15</v>
      </c>
      <c r="AM31" s="497"/>
      <c r="AN31" s="491" t="str">
        <f>IF(AH29=AH30,"résultat",IF(AH29&lt;AH30,AG29,AG30))</f>
        <v>B6</v>
      </c>
      <c r="AO31" s="489">
        <v>1</v>
      </c>
      <c r="AP31" s="557"/>
      <c r="AQ31" s="860"/>
      <c r="AR31" s="825"/>
      <c r="AS31" s="521"/>
      <c r="AT31" s="541" t="str">
        <f>IF(AI30+AI31=0," ",IF(AI30+AI31=43," ",(IF(AI30+AI31=42,IF(AO31=AO32,"résultat",IF(AO31&gt;AO32,AN31,AN32)),(IF(AI30+AI31=32,IF(AO31=AO32,"résultat",IF(AO31&gt;AO32,AN31,AN32))))))))</f>
        <v xml:space="preserve"> </v>
      </c>
      <c r="AU31" s="485">
        <v>0</v>
      </c>
      <c r="AV31" s="536"/>
      <c r="AW31" s="523">
        <v>3</v>
      </c>
      <c r="AX31" s="508"/>
      <c r="AY31" s="524" t="str">
        <f>IF($AI30+$AI31=0," ",IF($AI30+$AI31=43,IF($AO31=$AO32,"résultat",IF($AO31&gt;$AO32,$AN31,$AN32)),(IF($AI30+$AI31=42," ",(IF($AI30+$AI31=32," "))))))</f>
        <v>B6</v>
      </c>
      <c r="AZ31" s="3"/>
      <c r="BA31" s="547"/>
      <c r="BB31" s="547"/>
      <c r="BC31" s="725" t="s">
        <v>211</v>
      </c>
      <c r="BD31" s="726"/>
      <c r="BE31" s="720" t="s">
        <v>303</v>
      </c>
      <c r="BF31" s="720"/>
      <c r="BG31" s="720"/>
      <c r="BH31" s="720"/>
      <c r="BI31" s="720"/>
      <c r="BJ31" s="720"/>
      <c r="BK31" s="720"/>
      <c r="BL31" s="720"/>
      <c r="BM31" s="720"/>
      <c r="BN31" s="720"/>
      <c r="BO31" s="720"/>
      <c r="BP31" s="720"/>
      <c r="BQ31" s="720"/>
      <c r="BR31" s="720"/>
      <c r="BS31" s="721"/>
      <c r="BT31" s="827"/>
      <c r="BU31" s="622"/>
      <c r="BV31" s="850" t="str">
        <f>IF(AND(J10&gt;330,J10&lt;610),AY15,IF(AND(J10&gt;610,J10&lt;650),AY14,0))</f>
        <v>B2</v>
      </c>
      <c r="BW31" s="851"/>
      <c r="BX31" s="852"/>
      <c r="BY31" s="589">
        <v>1</v>
      </c>
      <c r="BZ31" s="526"/>
      <c r="CA31" s="526" t="s">
        <v>253</v>
      </c>
      <c r="CB31" s="713"/>
      <c r="CC31" s="801" t="str">
        <f>IF(OR(BY62=BY63),"Gagnant 1/16 B",IF(AND(BY62&gt;BY63),BV62,BV63))</f>
        <v>C7</v>
      </c>
      <c r="CD31" s="802"/>
      <c r="CE31" s="803"/>
      <c r="CF31" s="589">
        <v>2</v>
      </c>
      <c r="CG31" s="587" t="str">
        <f>IF(CF30=CF31,"&amp;",IF(CF30&lt;CF31,CC30,CC31))</f>
        <v>A6</v>
      </c>
      <c r="CH31" s="583"/>
      <c r="CI31" s="583"/>
      <c r="CJ31" s="583"/>
      <c r="CK31" s="584"/>
      <c r="CL31" s="583"/>
      <c r="CN31" s="583"/>
      <c r="CO31" s="583"/>
      <c r="CP31" s="583"/>
      <c r="CQ31" s="584"/>
      <c r="CR31" s="583"/>
      <c r="CW31" s="547"/>
      <c r="CY31" s="596"/>
      <c r="CZ31" s="290"/>
      <c r="DB31" s="290"/>
      <c r="DF31"/>
      <c r="DL31"/>
      <c r="DN31"/>
      <c r="DU31"/>
      <c r="DY31"/>
      <c r="EC31"/>
    </row>
    <row r="32" spans="1:133" ht="21.95" customHeight="1" thickBot="1">
      <c r="A32" s="54"/>
      <c r="B32" s="54"/>
      <c r="C32" s="54"/>
      <c r="D32" s="54"/>
      <c r="E32" s="297"/>
      <c r="F32" s="297"/>
      <c r="G32" s="297"/>
      <c r="H32" s="297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291">
        <v>24</v>
      </c>
      <c r="X32" s="292"/>
      <c r="Y32" s="292" t="s">
        <v>92</v>
      </c>
      <c r="Z32" s="54"/>
      <c r="AA32" s="291">
        <v>24</v>
      </c>
      <c r="AB32" s="434"/>
      <c r="AC32" s="472">
        <v>24</v>
      </c>
      <c r="AD32" s="707"/>
      <c r="AE32" s="709"/>
      <c r="AF32" s="296" t="str">
        <f>IF(AG31="Office"," ","D")</f>
        <v>D</v>
      </c>
      <c r="AG32" s="310" t="str">
        <f t="shared" si="0"/>
        <v>D6</v>
      </c>
      <c r="AH32" s="492">
        <v>0</v>
      </c>
      <c r="AJ32" s="493"/>
      <c r="AK32" s="846"/>
      <c r="AL32" s="849"/>
      <c r="AM32" s="498"/>
      <c r="AN32" s="495" t="str">
        <f>IF(AH31=AH32,"résultat",IF(AH31&lt;AH32,AG31,AG32))</f>
        <v>D6</v>
      </c>
      <c r="AO32" s="492">
        <v>0</v>
      </c>
      <c r="AP32" s="558"/>
      <c r="AQ32" s="861"/>
      <c r="AR32" s="479"/>
      <c r="AS32" s="479"/>
      <c r="AT32" s="525"/>
      <c r="AU32" s="525"/>
      <c r="AV32" s="479"/>
      <c r="AW32" s="479"/>
      <c r="AX32" s="479"/>
      <c r="AY32" s="479"/>
      <c r="AZ32" s="186"/>
      <c r="BA32" s="526"/>
      <c r="BB32" s="526"/>
      <c r="BC32" s="526"/>
      <c r="BD32" s="526"/>
      <c r="BE32" s="526"/>
      <c r="BF32" s="526"/>
      <c r="BG32" s="526"/>
      <c r="BI32" s="526"/>
      <c r="BJ32" s="526"/>
      <c r="BK32" s="526"/>
      <c r="BL32" s="526"/>
      <c r="BM32" s="526"/>
      <c r="BN32" s="526"/>
      <c r="BO32" s="526"/>
      <c r="BP32" s="526"/>
      <c r="BQ32" s="526"/>
      <c r="BR32" s="526"/>
      <c r="BS32" s="564"/>
      <c r="BT32" s="597"/>
      <c r="BU32" s="597"/>
      <c r="BV32" s="597"/>
      <c r="BW32" s="572"/>
      <c r="BX32" s="572"/>
      <c r="BY32" s="526"/>
      <c r="BZ32" s="526"/>
      <c r="CA32" s="593"/>
      <c r="CB32" s="601"/>
      <c r="CC32" s="617"/>
      <c r="CD32" s="571"/>
      <c r="CE32" s="571"/>
      <c r="CF32" s="536"/>
      <c r="CG32" s="587"/>
      <c r="CH32" s="583"/>
      <c r="CI32" s="583"/>
      <c r="CJ32" s="583"/>
      <c r="CK32" s="584"/>
      <c r="CL32" s="583"/>
      <c r="CN32" s="583"/>
      <c r="CO32" s="583"/>
      <c r="CP32" s="583"/>
      <c r="CQ32" s="584"/>
      <c r="CR32" s="583"/>
      <c r="CW32" s="547"/>
      <c r="CY32" s="596"/>
      <c r="CZ32" s="290"/>
      <c r="DB32" s="290"/>
      <c r="DF32"/>
      <c r="DL32"/>
      <c r="DN32"/>
      <c r="DU32"/>
      <c r="DY32"/>
      <c r="EC32"/>
    </row>
    <row r="33" spans="1:133" ht="21.95" customHeight="1" thickTop="1" thickBot="1">
      <c r="A33" s="54"/>
      <c r="B33" s="54"/>
      <c r="C33" s="57"/>
      <c r="D33" s="54"/>
      <c r="E33" s="297"/>
      <c r="F33" s="297"/>
      <c r="G33" s="297"/>
      <c r="H33" s="297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338">
        <v>25</v>
      </c>
      <c r="X33" s="335"/>
      <c r="Y33" s="292" t="s">
        <v>93</v>
      </c>
      <c r="Z33" s="339"/>
      <c r="AA33" s="291">
        <v>25</v>
      </c>
      <c r="AB33" s="54"/>
      <c r="AC33" s="473">
        <v>25</v>
      </c>
      <c r="AD33" s="711" t="s">
        <v>22</v>
      </c>
      <c r="AE33" s="748">
        <f>IF(OR(AND(J10&gt;170,J10&lt;250))," ",IF(OR(AND(J10&gt;250,J10&lt;260)),11,IF(OR(AND($J$7&gt;260,J10&lt;270)),12,IF(OR(AND(J10&gt;270,$J$7&lt;290)),13,IF(OR(AND(J10&gt;290,J10&lt;300)),12,IF(OR(AND(J10&gt;300,J10&lt;650)),13,0))))))</f>
        <v>13</v>
      </c>
      <c r="AF33" s="303" t="s">
        <v>10</v>
      </c>
      <c r="AG33" s="304" t="str">
        <f t="shared" si="0"/>
        <v>A7</v>
      </c>
      <c r="AH33" s="496">
        <v>1</v>
      </c>
      <c r="AJ33" s="486"/>
      <c r="AK33" s="844">
        <v>7</v>
      </c>
      <c r="AL33" s="847">
        <v>16</v>
      </c>
      <c r="AM33" s="483"/>
      <c r="AN33" s="484" t="str">
        <f>IF(AH33=AH34,"résultat",IF(AH33&gt;AH34,AG33,AG34))</f>
        <v>A7</v>
      </c>
      <c r="AO33" s="496">
        <v>3</v>
      </c>
      <c r="AP33" s="557"/>
      <c r="AQ33" s="859">
        <v>7</v>
      </c>
      <c r="AR33" s="512"/>
      <c r="AS33" s="512"/>
      <c r="AT33" s="532"/>
      <c r="AU33" s="528"/>
      <c r="AV33" s="512"/>
      <c r="AW33" s="542">
        <v>1</v>
      </c>
      <c r="AX33" s="515"/>
      <c r="AY33" s="516" t="str">
        <f>IF(AI34+AI35=0," ",IF($AI34+$AI35=43,IF($AO33=$AO34,"résultat",IF($AO33&gt;$AO34,$AN33,$AN34)),(IF($AI34+$AI35=42,IF($AO33=$AO34,"résultat",IF($AO33&gt;$AO34,$AN33,$AN34)),(IF($AI34+$AI35=32,IF($AO33=$AO34,"résultat",IF($AO33&gt;$AO34,$AN33,$AN34))))))))</f>
        <v>A7</v>
      </c>
      <c r="AZ33" s="185"/>
      <c r="BA33" s="527"/>
      <c r="BB33" s="527"/>
      <c r="BC33" s="527"/>
      <c r="BD33" s="527"/>
      <c r="BE33" s="527"/>
      <c r="BF33" s="527"/>
      <c r="BG33" s="527"/>
      <c r="BI33" s="527"/>
      <c r="BJ33" s="527"/>
      <c r="BK33" s="527"/>
      <c r="BL33" s="527"/>
      <c r="BM33" s="527"/>
      <c r="BN33" s="527"/>
      <c r="BO33" s="527"/>
      <c r="BP33" s="527"/>
      <c r="BQ33" s="527"/>
      <c r="BR33" s="527"/>
      <c r="BS33" s="564"/>
      <c r="BT33" s="593"/>
      <c r="BU33" s="593"/>
      <c r="BV33" s="593"/>
      <c r="BW33" s="580" t="s">
        <v>59</v>
      </c>
      <c r="BX33" s="375"/>
      <c r="BY33" s="579"/>
      <c r="BZ33" s="579"/>
      <c r="CA33" s="627"/>
      <c r="CB33" s="583"/>
      <c r="CC33" s="584"/>
      <c r="CD33" s="598" t="s">
        <v>59</v>
      </c>
      <c r="CE33" s="375"/>
      <c r="CF33" s="583"/>
      <c r="CG33" s="607"/>
      <c r="CH33" s="583"/>
      <c r="CI33" s="583"/>
      <c r="CJ33" s="583"/>
      <c r="CK33" s="584"/>
      <c r="CL33" s="583"/>
      <c r="CN33" s="583"/>
      <c r="CO33" s="583"/>
      <c r="CP33" s="583"/>
      <c r="CQ33" s="584"/>
      <c r="CR33" s="583"/>
      <c r="CW33" s="547"/>
      <c r="CY33" s="596"/>
      <c r="CZ33" s="290"/>
      <c r="DB33" s="290"/>
      <c r="DF33"/>
      <c r="DL33"/>
      <c r="DN33"/>
      <c r="DU33"/>
      <c r="DY33"/>
      <c r="EC33"/>
    </row>
    <row r="34" spans="1:133" ht="21.95" customHeight="1" thickTop="1" thickBot="1">
      <c r="A34" s="54"/>
      <c r="B34" s="54"/>
      <c r="C34" s="54"/>
      <c r="D34" s="54"/>
      <c r="E34" s="297"/>
      <c r="F34" s="297"/>
      <c r="G34" s="297"/>
      <c r="H34" s="297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291">
        <v>26</v>
      </c>
      <c r="X34" s="292"/>
      <c r="Y34" s="292" t="s">
        <v>94</v>
      </c>
      <c r="Z34" s="336"/>
      <c r="AA34" s="291">
        <v>26</v>
      </c>
      <c r="AB34" s="54"/>
      <c r="AC34" s="474">
        <v>26</v>
      </c>
      <c r="AD34" s="706"/>
      <c r="AE34" s="709"/>
      <c r="AF34" s="296" t="s">
        <v>11</v>
      </c>
      <c r="AG34" s="310" t="str">
        <f t="shared" si="0"/>
        <v>B7</v>
      </c>
      <c r="AH34" s="485">
        <v>0</v>
      </c>
      <c r="AI34" s="563" t="str">
        <f>CONCATENATE(K17,K18)</f>
        <v>32</v>
      </c>
      <c r="AJ34" s="486"/>
      <c r="AK34" s="845"/>
      <c r="AL34" s="825"/>
      <c r="AM34" s="487"/>
      <c r="AN34" s="488" t="str">
        <f>IF(AH35=AH36,"résultat",IF(AH35&gt;AH36,AG35,AG36))</f>
        <v>C7</v>
      </c>
      <c r="AO34" s="485">
        <v>0</v>
      </c>
      <c r="AP34" s="557"/>
      <c r="AQ34" s="860"/>
      <c r="AR34" s="824"/>
      <c r="AS34" s="517"/>
      <c r="AT34" s="533" t="str">
        <f>IF(AI34+AI35=0," ",IF(AI34+AI35=43," ",(IF(AI34+AI35=42,IF(AO33=AO34,"résultat",IF(AO33&lt;AO34,AN33,AN34)),IF(AI34+AI35=32,IF(AO33=AO34,"résultat",IF(AO33&lt;AO34,AN33,AN34)))))))</f>
        <v>C7</v>
      </c>
      <c r="AU34" s="481">
        <v>1</v>
      </c>
      <c r="AV34" s="536"/>
      <c r="AW34" s="540">
        <v>2</v>
      </c>
      <c r="AX34" s="508"/>
      <c r="AY34" s="520" t="str">
        <f>IF(AI34+AI35=0," ",IF($AI34+$AI35=43,IF($AO33=$AO34,"résultat",IF($AO33&lt;$AO34,$AN33,$AN34)),(IF($AI34+$AI35=42,IF($AU34=$AU35,"résultat",IF($AU34&gt;$AU35,$AT34,$AT35)),(IF($AI34+$AI35=32,IF($AU34=$AU35,"résultat",IF($AU34&gt;$AU35,$AT34,$AT35))))))))</f>
        <v>C7</v>
      </c>
      <c r="AZ34" s="3"/>
      <c r="BA34" s="547"/>
      <c r="BB34" s="547"/>
      <c r="BC34" s="727" t="s">
        <v>218</v>
      </c>
      <c r="BD34" s="727"/>
      <c r="BE34" s="727"/>
      <c r="BF34" s="727"/>
      <c r="BG34" s="727"/>
      <c r="BH34" s="727"/>
      <c r="BI34" s="727"/>
      <c r="BJ34" s="727"/>
      <c r="BK34" s="727"/>
      <c r="BL34" s="727"/>
      <c r="BM34" s="727"/>
      <c r="BN34" s="727"/>
      <c r="BO34" s="727"/>
      <c r="BP34" s="727"/>
      <c r="BQ34" s="727"/>
      <c r="BR34" s="727"/>
      <c r="BS34" s="728"/>
      <c r="BT34" s="826">
        <v>7</v>
      </c>
      <c r="BU34" s="611"/>
      <c r="BV34" s="821" t="str">
        <f>+AY33</f>
        <v>A7</v>
      </c>
      <c r="BW34" s="822"/>
      <c r="BX34" s="823"/>
      <c r="BY34" s="586">
        <v>2</v>
      </c>
      <c r="BZ34" s="526"/>
      <c r="CA34" s="526" t="s">
        <v>249</v>
      </c>
      <c r="CB34" s="712">
        <v>7</v>
      </c>
      <c r="CC34" s="871" t="str">
        <f>IF(OR(BY34=BY35),"Gagnant 1/16 A",IF(AND(BY34&gt;BY35),BV34,BV35))</f>
        <v>A7</v>
      </c>
      <c r="CD34" s="872"/>
      <c r="CE34" s="873"/>
      <c r="CF34" s="586">
        <v>0</v>
      </c>
      <c r="CG34" s="587" t="str">
        <f>IF(CF34=CF35,"&amp;",IF(CF34&gt;CF35,CC34,CC35))</f>
        <v>C8</v>
      </c>
      <c r="CH34" s="583"/>
      <c r="CI34" s="583"/>
      <c r="CJ34" s="583"/>
      <c r="CK34" s="584"/>
      <c r="CL34" s="583"/>
      <c r="CN34" s="583"/>
      <c r="CO34" s="583"/>
      <c r="CP34" s="583"/>
      <c r="CQ34" s="584"/>
      <c r="CR34" s="583"/>
      <c r="CT34" s="894" t="s">
        <v>191</v>
      </c>
      <c r="CU34" s="895"/>
      <c r="CV34" s="895"/>
      <c r="CW34" s="895"/>
      <c r="CX34" s="896"/>
      <c r="CY34" s="596"/>
      <c r="CZ34" s="290"/>
      <c r="DB34" s="290"/>
      <c r="DF34"/>
      <c r="DL34"/>
      <c r="DN34"/>
      <c r="DU34"/>
      <c r="DY34"/>
      <c r="EC34"/>
    </row>
    <row r="35" spans="1:133" ht="21.95" customHeight="1" thickBot="1">
      <c r="A35" s="54"/>
      <c r="B35" s="54"/>
      <c r="C35" s="54"/>
      <c r="D35" s="54"/>
      <c r="E35" s="297"/>
      <c r="F35" s="297"/>
      <c r="G35" s="297"/>
      <c r="H35" s="297"/>
      <c r="I35" s="54"/>
      <c r="J35" s="54"/>
      <c r="K35" s="54"/>
      <c r="L35" s="54" t="s">
        <v>293</v>
      </c>
      <c r="M35" s="54"/>
      <c r="N35" s="54"/>
      <c r="O35" s="54"/>
      <c r="P35" s="54"/>
      <c r="Q35" s="54"/>
      <c r="R35" s="54"/>
      <c r="S35" s="54"/>
      <c r="T35" s="54"/>
      <c r="U35" s="54"/>
      <c r="V35" s="344"/>
      <c r="W35" s="338">
        <v>27</v>
      </c>
      <c r="X35" s="335"/>
      <c r="Y35" s="335" t="s">
        <v>95</v>
      </c>
      <c r="Z35" s="54"/>
      <c r="AA35" s="291">
        <v>27</v>
      </c>
      <c r="AB35" s="54"/>
      <c r="AC35" s="475">
        <v>27</v>
      </c>
      <c r="AD35" s="706"/>
      <c r="AE35" s="710" t="str">
        <f>IF(OR(AND(J10&gt;330,J10&lt;340))," ",IF(OR(AND($J$10&gt;340,J10&lt;650)),14,0))</f>
        <v xml:space="preserve"> </v>
      </c>
      <c r="AF35" s="303" t="s">
        <v>57</v>
      </c>
      <c r="AG35" s="345" t="str">
        <f t="shared" si="0"/>
        <v>C7</v>
      </c>
      <c r="AH35" s="489">
        <v>1</v>
      </c>
      <c r="AJ35" s="486"/>
      <c r="AK35" s="845"/>
      <c r="AL35" s="824">
        <v>17</v>
      </c>
      <c r="AM35" s="497"/>
      <c r="AN35" s="491" t="str">
        <f>IF(AH33=AH34,"résultat",IF(AH33&lt;AH34,AG33,AG34))</f>
        <v>B7</v>
      </c>
      <c r="AO35" s="489">
        <v>1</v>
      </c>
      <c r="AP35" s="557"/>
      <c r="AQ35" s="860"/>
      <c r="AR35" s="825"/>
      <c r="AS35" s="521"/>
      <c r="AT35" s="541" t="str">
        <f>IF(AI34+AI35=0," ",IF(AI34+AI35=43," ",(IF(AI34+AI35=42,IF(AO35=AO36,"résultat",IF(AO35&gt;AO36,AN35,AN36)),(IF(AI34+AI35=32,IF(AO35=AO36,"résultat",IF(AO35&gt;AO36,AN35,AN36))))))))</f>
        <v>B7</v>
      </c>
      <c r="AU35" s="485">
        <v>0</v>
      </c>
      <c r="AV35" s="536"/>
      <c r="AW35" s="543">
        <v>3</v>
      </c>
      <c r="AX35" s="508"/>
      <c r="AY35" s="310" t="str">
        <f>IF($AI34+$AI35=0," ",IF($AI34+$AI35=43,IF($AO35=$AO36,"résultat",IF($AO35&gt;$AO36,$AN35,$AN36)),(IF($AI34+$AI35=42," ",(IF($AI34+$AI35=32," "))))))</f>
        <v xml:space="preserve"> </v>
      </c>
      <c r="AZ35" s="3"/>
      <c r="BA35" s="547"/>
      <c r="BB35" s="547"/>
      <c r="BC35" s="722" t="s">
        <v>304</v>
      </c>
      <c r="BD35" s="722"/>
      <c r="BE35" s="722"/>
      <c r="BF35" s="731" t="s">
        <v>305</v>
      </c>
      <c r="BG35" s="731"/>
      <c r="BH35" s="731"/>
      <c r="BI35" s="731"/>
      <c r="BJ35" s="731"/>
      <c r="BK35" s="731"/>
      <c r="BL35" s="731"/>
      <c r="BM35" s="731"/>
      <c r="BN35" s="731"/>
      <c r="BO35" s="731"/>
      <c r="BP35" s="731"/>
      <c r="BQ35" s="731"/>
      <c r="BR35" s="731"/>
      <c r="BS35" s="732"/>
      <c r="BT35" s="827"/>
      <c r="BU35" s="615"/>
      <c r="BV35" s="882" t="str">
        <f>IF(AND(J10&gt;330,J10&lt;570),AY19,IF(AND(J10&gt;570,J10&lt;6500),AY66,0))</f>
        <v>B3</v>
      </c>
      <c r="BW35" s="883"/>
      <c r="BX35" s="884"/>
      <c r="BY35" s="589">
        <v>1</v>
      </c>
      <c r="BZ35" s="526"/>
      <c r="CA35" s="526" t="s">
        <v>254</v>
      </c>
      <c r="CB35" s="713"/>
      <c r="CC35" s="801" t="str">
        <f>IF(OR(BY66=BY67),"Gagnant 1/16 B",IF(AND(BY66&gt;BY67),BV66,BV67))</f>
        <v>C8</v>
      </c>
      <c r="CD35" s="802"/>
      <c r="CE35" s="803"/>
      <c r="CF35" s="589">
        <v>2</v>
      </c>
      <c r="CG35" s="587" t="str">
        <f>IF(CF34=CF35,"&amp;",IF(CF34&lt;CF35,CC34,CC35))</f>
        <v>A7</v>
      </c>
      <c r="CH35" s="583"/>
      <c r="CI35" s="583"/>
      <c r="CJ35" s="590" t="s">
        <v>48</v>
      </c>
      <c r="CK35" s="375"/>
      <c r="CL35" s="583"/>
      <c r="CN35" s="290"/>
      <c r="CP35" s="290"/>
      <c r="CQ35" s="547"/>
      <c r="CW35" s="547"/>
      <c r="CY35" s="596"/>
      <c r="CZ35" s="290"/>
      <c r="DB35" s="290"/>
      <c r="DF35"/>
      <c r="DL35"/>
      <c r="DN35"/>
      <c r="DU35"/>
      <c r="DY35"/>
      <c r="EC35"/>
    </row>
    <row r="36" spans="1:133" ht="21.95" customHeight="1" thickBot="1">
      <c r="A36" s="54"/>
      <c r="B36" s="54"/>
      <c r="C36" s="54"/>
      <c r="D36" s="54"/>
      <c r="E36" s="297"/>
      <c r="F36" s="297"/>
      <c r="G36" s="297"/>
      <c r="H36" s="297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685" t="s">
        <v>96</v>
      </c>
      <c r="W36" s="291">
        <v>28</v>
      </c>
      <c r="X36" s="292"/>
      <c r="Y36" s="292" t="s">
        <v>97</v>
      </c>
      <c r="Z36" s="1"/>
      <c r="AA36" s="291">
        <v>28</v>
      </c>
      <c r="AB36" s="54"/>
      <c r="AC36" s="342">
        <f>IF(J10=331,0,IF(OR(AND($J$7&gt;279,$J$7&lt;290)),28,IF(OR(AND($J$7&gt;309,J10&lt;330)),28,IF(OR(AND(J10&gt;339,$J$7&lt;650)),28,0))))</f>
        <v>0</v>
      </c>
      <c r="AD36" s="707"/>
      <c r="AE36" s="709"/>
      <c r="AF36" s="423" t="str">
        <f>IF(AG36="OFFICE"," ","D")</f>
        <v xml:space="preserve"> </v>
      </c>
      <c r="AG36" s="310" t="str">
        <f>IF(ISNA(MATCH(AC36,$AA$9:$AA$72,0)),"OFFICE",INDEX($Y$9:$Y$70,MATCH(AC36,$AA$9:$AA$72,0)))</f>
        <v>OFFICE</v>
      </c>
      <c r="AH36" s="492">
        <v>0</v>
      </c>
      <c r="AJ36" s="493"/>
      <c r="AK36" s="846"/>
      <c r="AL36" s="849"/>
      <c r="AM36" s="498"/>
      <c r="AN36" s="495" t="str">
        <f>IF(AH35=AH36,"résultat",IF(AH35&lt;AH36,AG35,AG36))</f>
        <v>OFFICE</v>
      </c>
      <c r="AO36" s="492">
        <v>0</v>
      </c>
      <c r="AP36" s="558"/>
      <c r="AQ36" s="861"/>
      <c r="AR36" s="479"/>
      <c r="AS36" s="479"/>
      <c r="AT36" s="525"/>
      <c r="AU36" s="525"/>
      <c r="AV36" s="479"/>
      <c r="AW36" s="479"/>
      <c r="AX36" s="479"/>
      <c r="AY36" s="526"/>
      <c r="AZ36" s="186"/>
      <c r="BA36" s="526"/>
      <c r="BB36" s="526"/>
      <c r="BC36" s="526"/>
      <c r="BD36" s="526"/>
      <c r="BE36" s="526"/>
      <c r="BF36" s="526"/>
      <c r="BG36" s="526"/>
      <c r="BI36" s="526"/>
      <c r="BJ36" s="526"/>
      <c r="BK36" s="526"/>
      <c r="BL36" s="526"/>
      <c r="BM36" s="526"/>
      <c r="BN36" s="526"/>
      <c r="BO36" s="526"/>
      <c r="BP36" s="526"/>
      <c r="BQ36" s="526"/>
      <c r="BR36" s="526"/>
      <c r="BS36" s="564"/>
      <c r="BT36" s="597"/>
      <c r="BU36" s="597"/>
      <c r="BV36" s="597"/>
      <c r="BW36" s="594"/>
      <c r="BX36" s="594"/>
      <c r="BY36" s="526"/>
      <c r="BZ36" s="526"/>
      <c r="CA36" s="593"/>
      <c r="CB36" s="601"/>
      <c r="CC36" s="617"/>
      <c r="CD36" s="571"/>
      <c r="CE36" s="571"/>
      <c r="CF36" s="536"/>
      <c r="CG36" s="587"/>
      <c r="CH36" s="712">
        <v>4</v>
      </c>
      <c r="CI36" s="783" t="str">
        <f>IF(OR(CF34=CF35),"Gagnant 1/8 G",IF(AND(CF34&gt;CF35),CC34,CC35))</f>
        <v>C8</v>
      </c>
      <c r="CJ36" s="784"/>
      <c r="CK36" s="785"/>
      <c r="CL36" s="586">
        <v>1</v>
      </c>
      <c r="CM36" s="596" t="str">
        <f>IF(CL36=CL37,"résultat",IF(CL36&gt;CL37,CI36,CI37))</f>
        <v>C8</v>
      </c>
      <c r="CN36" s="583"/>
      <c r="CO36" s="583"/>
      <c r="CP36" s="583"/>
      <c r="CQ36" s="584"/>
      <c r="CR36" s="583"/>
      <c r="CT36" s="712">
        <v>2</v>
      </c>
      <c r="CU36" s="789" t="str">
        <f>IF(OR(AND(CZ7+CZ8&gt;0,CZ7+CZ8&lt;3))," ",IF(CR16=CR17,"Perdant 1/2 A",IF(AND(CZ7+CZ8&gt;2,CZ7+CZ8&lt;9),IF(CR16&lt;CR17,CO16,CO17),0)))</f>
        <v xml:space="preserve"> </v>
      </c>
      <c r="CV36" s="790"/>
      <c r="CW36" s="791"/>
      <c r="CX36" s="586">
        <v>1</v>
      </c>
      <c r="CY36" s="596" t="str">
        <f>IF(CX36=CX37,"résultat",IF(CX36&gt;CX37,CU36,CU37))</f>
        <v xml:space="preserve"> </v>
      </c>
      <c r="CZ36" s="290"/>
      <c r="DB36" s="290"/>
      <c r="DF36"/>
      <c r="DL36"/>
      <c r="DN36"/>
      <c r="DU36"/>
      <c r="DY36"/>
      <c r="EC36"/>
    </row>
    <row r="37" spans="1:133" ht="21.95" customHeight="1" thickTop="1" thickBot="1">
      <c r="A37" s="54"/>
      <c r="B37" s="54"/>
      <c r="C37" s="54"/>
      <c r="D37" s="54"/>
      <c r="E37" s="297"/>
      <c r="F37" s="297"/>
      <c r="G37" s="297"/>
      <c r="H37" s="297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344"/>
      <c r="W37" s="338">
        <v>29</v>
      </c>
      <c r="X37" s="335"/>
      <c r="Y37" s="335" t="s">
        <v>98</v>
      </c>
      <c r="Z37" s="339"/>
      <c r="AA37" s="291">
        <v>29</v>
      </c>
      <c r="AB37" s="54"/>
      <c r="AC37" s="343">
        <f>IF(OR(AND(J10&gt;330,J10&lt;340)),28,IF(OR(AND($J$10&gt;340,$J$10&lt;650)),29,0))</f>
        <v>28</v>
      </c>
      <c r="AD37" s="711" t="s">
        <v>23</v>
      </c>
      <c r="AE37" s="748">
        <f>IF(OR(AND(J10&gt;330,J10&lt;340)),14,IF(OR(AND(J10&gt;340,$J$7&lt;350)),15,IF(OR(AND(J10&gt;0,J10&lt;0)),14,IF(OR(AND(J10&gt;0,J10&lt;0)),15,IF(OR(AND(J10&gt;0,J10&lt;0)),15,0)))))</f>
        <v>14</v>
      </c>
      <c r="AF37" s="303" t="s">
        <v>10</v>
      </c>
      <c r="AG37" s="304" t="str">
        <f>IF(ISNA(MATCH(AC37,$AA$9:$AA$72,0)),"",INDEX($Y$9:$Y$70,MATCH(AC37,$AA$9:$AA$72,0)))</f>
        <v>A8</v>
      </c>
      <c r="AH37" s="496">
        <v>1</v>
      </c>
      <c r="AJ37" s="486"/>
      <c r="AK37" s="844">
        <v>8</v>
      </c>
      <c r="AL37" s="847">
        <v>18</v>
      </c>
      <c r="AM37" s="500"/>
      <c r="AN37" s="484" t="str">
        <f>IF(AH37=AH38,"résultat",IF(AH37&gt;AH38,AG37,AG38))</f>
        <v>A8</v>
      </c>
      <c r="AO37" s="496">
        <v>1</v>
      </c>
      <c r="AP37" s="557"/>
      <c r="AQ37" s="859">
        <v>8</v>
      </c>
      <c r="AR37" s="512"/>
      <c r="AS37" s="512"/>
      <c r="AT37" s="532"/>
      <c r="AU37" s="528"/>
      <c r="AV37" s="512"/>
      <c r="AW37" s="542">
        <v>1</v>
      </c>
      <c r="AX37" s="508"/>
      <c r="AY37" s="516" t="str">
        <f>IF(AI38+AI39=0," ",IF($AI38+$AI39=43,IF($AO37=$AO38,"résultat",IF($AO37&gt;$AO38,$AN37,$AN38)),(IF($AI38+$AI39=42,IF($AO37=$AO38,"résultat",IF($AO37&gt;$AO38,$AN37,$AN38)),(IF($AI38+$AI39=32,IF($AO37=$AO38,"résultat",IF($AO37&gt;$AO38,$AN37,$AN38))))))))</f>
        <v>A8</v>
      </c>
      <c r="AZ37" s="185"/>
      <c r="BA37" s="547"/>
      <c r="BB37" s="547"/>
      <c r="BC37" s="547"/>
      <c r="BD37" s="547"/>
      <c r="BE37" s="547"/>
      <c r="BF37" s="547"/>
      <c r="BG37" s="547"/>
      <c r="BI37" s="547"/>
      <c r="BJ37" s="547"/>
      <c r="BK37" s="547"/>
      <c r="BL37" s="547"/>
      <c r="BM37" s="547"/>
      <c r="BN37" s="547"/>
      <c r="BO37" s="547"/>
      <c r="BP37" s="547"/>
      <c r="BQ37" s="547"/>
      <c r="BR37" s="547"/>
      <c r="BS37" s="578"/>
      <c r="BT37" s="578"/>
      <c r="BU37" s="593"/>
      <c r="BV37" s="578"/>
      <c r="BW37" s="580" t="s">
        <v>60</v>
      </c>
      <c r="BX37" s="375"/>
      <c r="BY37" s="592"/>
      <c r="BZ37" s="592"/>
      <c r="CA37" s="628"/>
      <c r="CB37" s="583"/>
      <c r="CC37" s="584"/>
      <c r="CD37" s="598" t="s">
        <v>60</v>
      </c>
      <c r="CE37" s="375"/>
      <c r="CF37" s="583"/>
      <c r="CG37" s="599"/>
      <c r="CH37" s="713"/>
      <c r="CI37" s="714" t="str">
        <f>IF(OR(CF38=CF39),"Gagnant 1/8 H",IF(AND($AJ$4&gt;8,CF38&gt;CF39),CC38,CC39))</f>
        <v>C9</v>
      </c>
      <c r="CJ37" s="715"/>
      <c r="CK37" s="716"/>
      <c r="CL37" s="589">
        <v>0</v>
      </c>
      <c r="CM37" s="596" t="str">
        <f>IF(CL36=CL37,"résultat",IF(CL36&lt;CL37,CI36,CI37))</f>
        <v>C9</v>
      </c>
      <c r="CN37" s="583"/>
      <c r="CO37" s="583"/>
      <c r="CP37" s="583"/>
      <c r="CQ37" s="584"/>
      <c r="CR37" s="583"/>
      <c r="CT37" s="713"/>
      <c r="CU37" s="789" t="str">
        <f>IF(OR(AND(CZ7+CZ8&gt;0,CZ7+CZ8&lt;3))," ",IF(CR24=CR25,"Perdant 1/2 A",IF(AND(CZ7+CZ8&gt;2,CZ7+CZ8&lt;9),IF(CR24&lt;CR25,CO24,CO25),0)))</f>
        <v xml:space="preserve"> </v>
      </c>
      <c r="CV37" s="790"/>
      <c r="CW37" s="791"/>
      <c r="CX37" s="589">
        <v>2</v>
      </c>
      <c r="CY37" s="596" t="str">
        <f>IF(CX36=CX37,"résultat",IF(CX36&lt;CX37,CU36,CU37))</f>
        <v xml:space="preserve"> </v>
      </c>
      <c r="CZ37" s="290"/>
      <c r="DB37" s="290"/>
      <c r="DF37"/>
      <c r="DL37"/>
      <c r="DN37"/>
      <c r="DU37"/>
      <c r="DY37"/>
      <c r="EC37"/>
    </row>
    <row r="38" spans="1:133" ht="21.95" customHeight="1" thickTop="1" thickBot="1">
      <c r="A38" s="54"/>
      <c r="B38" s="54"/>
      <c r="C38" s="54"/>
      <c r="D38" s="54"/>
      <c r="E38" s="297"/>
      <c r="F38" s="297"/>
      <c r="G38" s="297"/>
      <c r="H38" s="297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344"/>
      <c r="W38" s="291">
        <v>30</v>
      </c>
      <c r="X38" s="292"/>
      <c r="Y38" s="335" t="s">
        <v>99</v>
      </c>
      <c r="Z38" s="336"/>
      <c r="AA38" s="291">
        <v>30</v>
      </c>
      <c r="AB38" s="54"/>
      <c r="AC38" s="295">
        <f>IF(OR(AND($J$10&gt;330,$J$10&lt;340)),29,IF(OR(AND($J$10&gt;340,$J$10&lt;650)),30,0))</f>
        <v>29</v>
      </c>
      <c r="AD38" s="706"/>
      <c r="AE38" s="709"/>
      <c r="AF38" s="296" t="s">
        <v>11</v>
      </c>
      <c r="AG38" s="310" t="str">
        <f>IF(ISNA(MATCH(AC38,$AA$9:$AA$72,0)),"",INDEX($Y$9:$Y$70,MATCH(AC38,$AA$9:$AA$72,0)))</f>
        <v>B8</v>
      </c>
      <c r="AH38" s="485">
        <v>0</v>
      </c>
      <c r="AI38" s="563" t="str">
        <f>CONCATENATE(L17,L18)</f>
        <v>32</v>
      </c>
      <c r="AJ38" s="486"/>
      <c r="AK38" s="845"/>
      <c r="AL38" s="825"/>
      <c r="AM38" s="501"/>
      <c r="AN38" s="488" t="str">
        <f>IF(AH39=AH40,"résultat",IF(AH39&gt;AH40,AG39,AG40))</f>
        <v>C8</v>
      </c>
      <c r="AO38" s="485">
        <v>0</v>
      </c>
      <c r="AP38" s="557"/>
      <c r="AQ38" s="860"/>
      <c r="AR38" s="824"/>
      <c r="AS38" s="517"/>
      <c r="AT38" s="530" t="str">
        <f>IF(AI38+AI39=0," ",IF(AI38+AI39=43," ",(IF(AI38+AI39=42,IF(AO37=AO38,"résultat",IF(AO37&lt;AO38,AN37,AN38)),IF(AI38+AI39=32,IF(AO37=AO38,"résultat",IF(AO37&lt;AO38,AN37,AN38)))))))</f>
        <v>C8</v>
      </c>
      <c r="AU38" s="481">
        <v>1</v>
      </c>
      <c r="AV38" s="536"/>
      <c r="AW38" s="540">
        <v>2</v>
      </c>
      <c r="AX38" s="508"/>
      <c r="AY38" s="520" t="str">
        <f>IF(AI38+AI39=0," ",IF($AI38+$AI39=43,IF($AO37=$AO38,"résultat",IF($AO37&lt;$AO38,$AN37,$AN38)),(IF($AI38+$AI39=42,IF($AU38=$AU39,"résultat",IF($AU38&gt;$AU39,$AT38,$AT39)),(IF($AI38+$AI39=32,IF($AU38=$AU39,"résultat",IF($AU38&gt;$AU39,$AT38,$AT39))))))))</f>
        <v>C8</v>
      </c>
      <c r="AZ38" s="3"/>
      <c r="BA38" s="547"/>
      <c r="BB38" s="547"/>
      <c r="BC38" s="723" t="s">
        <v>219</v>
      </c>
      <c r="BD38" s="723"/>
      <c r="BE38" s="723"/>
      <c r="BF38" s="723"/>
      <c r="BG38" s="723"/>
      <c r="BH38" s="723"/>
      <c r="BI38" s="723"/>
      <c r="BJ38" s="723"/>
      <c r="BK38" s="723"/>
      <c r="BL38" s="723"/>
      <c r="BM38" s="723"/>
      <c r="BN38" s="723"/>
      <c r="BO38" s="723"/>
      <c r="BP38" s="723"/>
      <c r="BQ38" s="723"/>
      <c r="BR38" s="723"/>
      <c r="BS38" s="724"/>
      <c r="BT38" s="826">
        <v>8</v>
      </c>
      <c r="BU38" s="600"/>
      <c r="BV38" s="821" t="str">
        <f>+AY37</f>
        <v>A8</v>
      </c>
      <c r="BW38" s="822"/>
      <c r="BX38" s="822"/>
      <c r="BY38" s="586">
        <v>2</v>
      </c>
      <c r="BZ38" s="526"/>
      <c r="CA38" s="526" t="s">
        <v>245</v>
      </c>
      <c r="CB38" s="712">
        <v>8</v>
      </c>
      <c r="CC38" s="871" t="str">
        <f>IF(OR(BY38=BY39),"Gagnant 1/16 A",IF(AND(BY38&gt;BY39),BV38,BV39))</f>
        <v>A8</v>
      </c>
      <c r="CD38" s="872"/>
      <c r="CE38" s="873"/>
      <c r="CF38" s="586">
        <v>0</v>
      </c>
      <c r="CG38" s="587" t="str">
        <f>IF(CF38=CF39,"&amp;",IF(CF38&gt;CF39,CC38,CC39))</f>
        <v>C9</v>
      </c>
      <c r="CH38" s="583"/>
      <c r="CI38" s="583"/>
      <c r="CJ38" s="583"/>
      <c r="CK38" s="584"/>
      <c r="CL38" s="583"/>
      <c r="CN38" s="583"/>
      <c r="CO38" s="583"/>
      <c r="CP38" s="583"/>
      <c r="CQ38" s="584"/>
      <c r="CR38" s="583"/>
      <c r="CW38" s="547"/>
      <c r="CY38" s="596"/>
      <c r="CZ38" s="290"/>
      <c r="DB38" s="290"/>
      <c r="DF38"/>
      <c r="DL38"/>
      <c r="DN38"/>
      <c r="DU38"/>
      <c r="DY38"/>
      <c r="EC38"/>
    </row>
    <row r="39" spans="1:133" ht="21.95" customHeight="1" thickBot="1">
      <c r="A39" s="54"/>
      <c r="B39" s="54"/>
      <c r="C39" s="54"/>
      <c r="D39" s="54"/>
      <c r="E39" s="297"/>
      <c r="F39" s="297"/>
      <c r="G39" s="297"/>
      <c r="H39" s="297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685" t="s">
        <v>100</v>
      </c>
      <c r="W39" s="338">
        <v>31</v>
      </c>
      <c r="X39" s="335"/>
      <c r="Y39" s="335" t="s">
        <v>101</v>
      </c>
      <c r="Z39" s="1"/>
      <c r="AA39" s="291">
        <v>31</v>
      </c>
      <c r="AB39" s="54"/>
      <c r="AC39" s="295">
        <f>IF(OR(AND($J$10&gt;330,$J$10&lt;340)),30,IF(OR(AND($J$10&gt;340,$J$10&lt;650)),31,0))</f>
        <v>30</v>
      </c>
      <c r="AD39" s="706"/>
      <c r="AE39" s="464" t="str">
        <f>IF(OR(AND(J10&gt;320,J10&lt;330)),16,IF(OR(AND(J10&gt;330,J10&lt;350))," ",IF(OR(AND(J10&gt;350,J10&lt;370)),16,IF(OR(AND(J10&gt;370,J10&lt;380))," ",IF(OR(AND(J10&gt;380,J10&lt;390)),16,IF(OR(AND(J10&gt;390,J10&lt;650)),16,0))))))</f>
        <v xml:space="preserve"> </v>
      </c>
      <c r="AF39" s="303" t="s">
        <v>57</v>
      </c>
      <c r="AG39" s="345" t="str">
        <f>IF(ISNA(MATCH(AC39,$AA$9:$AA$72,0)),"",INDEX($Y$9:$Y$70,MATCH(AC39,$AA$9:$AA$72,0)))</f>
        <v>C8</v>
      </c>
      <c r="AH39" s="489">
        <v>1</v>
      </c>
      <c r="AJ39" s="486"/>
      <c r="AK39" s="845"/>
      <c r="AL39" s="824">
        <v>19</v>
      </c>
      <c r="AM39" s="497"/>
      <c r="AN39" s="491" t="str">
        <f>IF(AH37=AH38,"résultat",IF(AH37&lt;AH38,AG37,AG38))</f>
        <v>B8</v>
      </c>
      <c r="AO39" s="489">
        <v>2</v>
      </c>
      <c r="AP39" s="557"/>
      <c r="AQ39" s="860"/>
      <c r="AR39" s="825"/>
      <c r="AS39" s="521"/>
      <c r="AT39" s="541" t="str">
        <f>IF(AI38+AI39=0," ",IF(AI38+AI39=43," ",(IF(AI38+AI39=42,IF(AO39=AO40,"résultat",IF(AO39&gt;AO40,AN39,AN40)),(IF(AI38+AI39=32,IF(AO39=AO40,"résultat",IF(AO39&gt;AO40,AN39,AN40))))))))</f>
        <v>B8</v>
      </c>
      <c r="AU39" s="485">
        <v>0</v>
      </c>
      <c r="AV39" s="536"/>
      <c r="AW39" s="523">
        <v>3</v>
      </c>
      <c r="AX39" s="508"/>
      <c r="AY39" s="310" t="str">
        <f>IF($AI38+$AI39=0," ",IF($AI38+$AI39=43,IF($AO39=$AO40,"résultat",IF($AO39&gt;$AO40,$AN39,$AN40)),(IF($AI38+$AI39=42," ",(IF($AI38+$AI39=32," "))))))</f>
        <v xml:space="preserve"> </v>
      </c>
      <c r="AZ39" s="3"/>
      <c r="BA39" s="547"/>
      <c r="BB39" s="547"/>
      <c r="BC39" s="742" t="s">
        <v>233</v>
      </c>
      <c r="BD39" s="743"/>
      <c r="BE39" s="744"/>
      <c r="BF39" s="720" t="s">
        <v>306</v>
      </c>
      <c r="BG39" s="720"/>
      <c r="BH39" s="720"/>
      <c r="BI39" s="720"/>
      <c r="BJ39" s="720"/>
      <c r="BK39" s="720"/>
      <c r="BL39" s="720"/>
      <c r="BM39" s="720"/>
      <c r="BN39" s="720"/>
      <c r="BO39" s="720"/>
      <c r="BP39" s="720"/>
      <c r="BQ39" s="720"/>
      <c r="BR39" s="720"/>
      <c r="BS39" s="721"/>
      <c r="BT39" s="827"/>
      <c r="BU39" s="602"/>
      <c r="BV39" s="850" t="str">
        <f>IF(AND(J10&gt;330,J10&lt;540),AY23,IF(AND(J10&gt;540,J10&lt;650),AY22,0))</f>
        <v>B4</v>
      </c>
      <c r="BW39" s="851"/>
      <c r="BX39" s="851"/>
      <c r="BY39" s="589">
        <v>1</v>
      </c>
      <c r="BZ39" s="619"/>
      <c r="CA39" s="526" t="s">
        <v>255</v>
      </c>
      <c r="CB39" s="713"/>
      <c r="CC39" s="801" t="str">
        <f>IF(OR(BY70=BY71),"Gagnant 1/16 B",IF(AND(BY70&gt;BY71),BV70,BV71))</f>
        <v>C9</v>
      </c>
      <c r="CD39" s="802"/>
      <c r="CE39" s="803"/>
      <c r="CF39" s="589">
        <v>2</v>
      </c>
      <c r="CG39" s="587" t="str">
        <f>IF(CF38=CF39,"&amp;",IF(CF38&lt;CF39,CC38,CC39))</f>
        <v>A8</v>
      </c>
      <c r="CH39" s="583"/>
      <c r="CI39" s="583"/>
      <c r="CJ39" s="583"/>
      <c r="CK39" s="584"/>
      <c r="CL39" s="583"/>
      <c r="CN39" s="583"/>
      <c r="CO39" s="583"/>
      <c r="CP39" s="583"/>
      <c r="CQ39" s="584"/>
      <c r="CR39" s="583"/>
      <c r="CW39" s="547"/>
      <c r="CY39" s="596"/>
      <c r="CZ39" s="290"/>
      <c r="DB39" s="290"/>
      <c r="DF39"/>
      <c r="DL39"/>
      <c r="DN39"/>
      <c r="DU39"/>
      <c r="DY39"/>
      <c r="EC39"/>
    </row>
    <row r="40" spans="1:133" ht="21.95" customHeight="1" thickBot="1">
      <c r="A40" s="54"/>
      <c r="B40" s="54"/>
      <c r="C40" s="54"/>
      <c r="D40" s="54"/>
      <c r="E40" s="297"/>
      <c r="F40" s="297"/>
      <c r="G40" s="297"/>
      <c r="H40" s="297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344"/>
      <c r="W40" s="291">
        <v>32</v>
      </c>
      <c r="X40" s="292"/>
      <c r="Y40" s="292" t="s">
        <v>102</v>
      </c>
      <c r="Z40" s="1"/>
      <c r="AA40" s="291">
        <v>32</v>
      </c>
      <c r="AB40" s="54"/>
      <c r="AC40" s="342">
        <f>IF(J10=331,0,IF(OR(AND($J$10&gt;349,$J$10&lt;370)),32,IF(OR(AND($J$10&gt;379,$J$10&lt;650)),32,0)))</f>
        <v>0</v>
      </c>
      <c r="AD40" s="707"/>
      <c r="AE40" s="465"/>
      <c r="AF40" s="296" t="str">
        <f>IF(AG40="OFFICE"," ","D")</f>
        <v xml:space="preserve"> </v>
      </c>
      <c r="AG40" s="310" t="str">
        <f>IF(ISNA(MATCH(AC40,$AA$9:$AA$72,0)),"OFFICE",INDEX($Y$9:$Y$70,MATCH(AC40,$AA$9:$AA$72,0)))</f>
        <v>OFFICE</v>
      </c>
      <c r="AH40" s="492">
        <v>0</v>
      </c>
      <c r="AJ40" s="493"/>
      <c r="AK40" s="846"/>
      <c r="AL40" s="849"/>
      <c r="AM40" s="498"/>
      <c r="AN40" s="495" t="str">
        <f>IF(AH39=AH40,"résultat",IF(AH39&lt;AH40,AG39,AG40))</f>
        <v>OFFICE</v>
      </c>
      <c r="AO40" s="492">
        <v>0</v>
      </c>
      <c r="AP40" s="558"/>
      <c r="AQ40" s="861"/>
      <c r="AR40" s="479"/>
      <c r="AS40" s="479"/>
      <c r="AT40" s="479"/>
      <c r="AU40" s="525"/>
      <c r="AV40" s="479"/>
      <c r="AW40" s="479"/>
      <c r="AX40" s="479"/>
      <c r="AY40" s="479"/>
      <c r="AZ40" s="186"/>
      <c r="BA40" s="526"/>
      <c r="BB40" s="526"/>
      <c r="BC40" s="526"/>
      <c r="BD40" s="526"/>
      <c r="BE40" s="526"/>
      <c r="BF40" s="526"/>
      <c r="BG40" s="526"/>
      <c r="BI40" s="526"/>
      <c r="BJ40" s="526"/>
      <c r="BK40" s="526"/>
      <c r="BL40" s="526"/>
      <c r="BM40" s="526"/>
      <c r="BN40" s="526"/>
      <c r="BO40" s="526"/>
      <c r="BP40" s="526"/>
      <c r="BQ40" s="526"/>
      <c r="BR40" s="526"/>
      <c r="BS40" s="564"/>
      <c r="BT40" s="629"/>
      <c r="BU40" s="629"/>
      <c r="BV40" s="629"/>
      <c r="BW40" s="629"/>
      <c r="BX40" s="629"/>
      <c r="BY40" s="629"/>
      <c r="BZ40" s="629"/>
      <c r="CA40" s="630"/>
      <c r="CB40" s="565"/>
      <c r="CC40" s="565"/>
      <c r="CD40" s="565"/>
      <c r="CE40" s="565"/>
      <c r="CF40" s="565"/>
      <c r="CG40" s="565"/>
      <c r="CH40" s="583"/>
      <c r="CI40" s="583"/>
      <c r="CJ40" s="583"/>
      <c r="CK40" s="584"/>
      <c r="CL40" s="583"/>
      <c r="CN40" s="583"/>
      <c r="CO40" s="583"/>
      <c r="CP40" s="583"/>
      <c r="CQ40" s="584"/>
      <c r="CR40" s="583"/>
      <c r="CW40" s="547"/>
      <c r="CY40" s="596"/>
      <c r="CZ40" s="290"/>
      <c r="DB40" s="290"/>
      <c r="DF40"/>
      <c r="DL40"/>
      <c r="DN40"/>
      <c r="DU40"/>
      <c r="DY40"/>
      <c r="EC40"/>
    </row>
    <row r="41" spans="1:133" ht="21.95" customHeight="1" thickTop="1" thickBot="1">
      <c r="A41" s="54"/>
      <c r="B41" s="54"/>
      <c r="C41" s="54"/>
      <c r="D41" s="54"/>
      <c r="E41" s="297"/>
      <c r="F41" s="297"/>
      <c r="G41" s="297"/>
      <c r="H41" s="297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338">
        <v>33</v>
      </c>
      <c r="X41" s="335"/>
      <c r="Y41" s="292" t="s">
        <v>103</v>
      </c>
      <c r="Z41" s="339"/>
      <c r="AA41" s="291">
        <v>33</v>
      </c>
      <c r="AB41" s="54"/>
      <c r="AC41" s="343">
        <f>IF(OR(AND($J$10&gt;330,$J$10&lt;340)),31,IF(OR(AND($J$10&gt;340,$J$10&lt;350)),32,IF(OR(AND($J$10&gt;350,$J$10&lt;370)),33,IF(OR(AND($J$10&gt;369,$J$10&lt;380)),32,IF(OR(AND($J$10&gt;379,$J$10&lt;650)),33,0)))))</f>
        <v>31</v>
      </c>
      <c r="AD41" s="711" t="s">
        <v>24</v>
      </c>
      <c r="AE41" s="748">
        <f>IF(OR(AND(J10&gt;170,J10&lt;330))," ",IF(OR(AND(J10&gt;330,J10&lt;340)),15,IF(OR(AND(J10&gt;340,J10&lt;350)),16,IF(OR(AND(J10&gt;350,J10&lt;370)),17,IF(OR(AND(J10&gt;370,J10&lt;380)),16,IF(OR(AND(J10&gt;380,J10&lt;650)),17,0))))))</f>
        <v>15</v>
      </c>
      <c r="AF41" s="303" t="s">
        <v>10</v>
      </c>
      <c r="AG41" s="304" t="str">
        <f>IF(ISNA(MATCH(AC41,$AA$9:$AA$72,0)),"",INDEX($Y$9:$Y$70,MATCH(AC41,$AA$9:$AA$72,0)))</f>
        <v>A9</v>
      </c>
      <c r="AH41" s="481">
        <v>1</v>
      </c>
      <c r="AJ41" s="486"/>
      <c r="AK41" s="845">
        <v>9</v>
      </c>
      <c r="AL41" s="848">
        <v>20</v>
      </c>
      <c r="AM41" s="502"/>
      <c r="AN41" s="484" t="str">
        <f>IF(AH41=AH42,"résultat",IF(AH41&gt;AH42,AG41,AG42))</f>
        <v>A9</v>
      </c>
      <c r="AO41" s="503">
        <v>1</v>
      </c>
      <c r="AP41" s="557"/>
      <c r="AQ41" s="847">
        <v>9</v>
      </c>
      <c r="AR41" s="544"/>
      <c r="AS41" s="512"/>
      <c r="AT41" s="544"/>
      <c r="AU41" s="544"/>
      <c r="AV41" s="544"/>
      <c r="AW41" s="542">
        <v>1</v>
      </c>
      <c r="AX41" s="545"/>
      <c r="AY41" s="516" t="str">
        <f>IF(AI42+AI43=0," ",IF($AI42+$AI43=43,IF($AO41=$AO42,"résultat",IF($AO41&gt;$AO42,$AN41,$AN42)),(IF($AI42+$AI43=42,IF($AO41=$AO42,"résultat",IF($AO41&gt;$AO42,$AN41,$AN42)),(IF($AI42+$AI43=32,IF($AO41=$AO42,"résultat",IF($AO41&gt;$AO42,$AN41,$AN42))))))))</f>
        <v>A9</v>
      </c>
      <c r="AZ41" s="3"/>
      <c r="BA41" s="631"/>
      <c r="BB41" s="631"/>
      <c r="BC41" s="631"/>
      <c r="BD41" s="631"/>
      <c r="BE41" s="631"/>
      <c r="BF41" s="631"/>
      <c r="BG41" s="631"/>
      <c r="BI41" s="631"/>
      <c r="BJ41" s="631"/>
      <c r="BK41" s="631"/>
      <c r="BL41" s="631"/>
      <c r="BM41" s="631"/>
      <c r="BN41" s="631"/>
      <c r="BO41" s="631"/>
      <c r="BP41" s="631"/>
      <c r="BQ41" s="631"/>
      <c r="BR41" s="631"/>
      <c r="BS41" s="526"/>
      <c r="BT41" s="578"/>
      <c r="BU41" s="578"/>
      <c r="BV41" s="578"/>
      <c r="BW41" s="580" t="s">
        <v>197</v>
      </c>
      <c r="BX41" s="375"/>
      <c r="BY41" s="579"/>
      <c r="CB41" s="565"/>
      <c r="CE41" s="290"/>
      <c r="CH41" s="290"/>
      <c r="CK41" s="290"/>
      <c r="CN41" s="583"/>
      <c r="CO41" s="583"/>
      <c r="CP41" s="583"/>
      <c r="CQ41" s="584"/>
      <c r="CR41" s="583"/>
      <c r="CW41" s="547"/>
      <c r="CY41" s="596"/>
      <c r="CZ41" s="290"/>
      <c r="DB41" s="290"/>
      <c r="DF41"/>
      <c r="DL41"/>
      <c r="DN41"/>
      <c r="DU41"/>
      <c r="DY41"/>
      <c r="EC41"/>
    </row>
    <row r="42" spans="1:133" ht="21.95" customHeight="1" thickTop="1" thickBot="1">
      <c r="A42" s="54"/>
      <c r="B42" s="54"/>
      <c r="C42" s="54"/>
      <c r="D42" s="54"/>
      <c r="E42" s="297"/>
      <c r="F42" s="297"/>
      <c r="G42" s="297"/>
      <c r="H42" s="297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291">
        <v>34</v>
      </c>
      <c r="X42" s="292"/>
      <c r="Y42" s="421" t="s">
        <v>104</v>
      </c>
      <c r="Z42" s="54"/>
      <c r="AA42" s="291">
        <v>34</v>
      </c>
      <c r="AB42" s="54"/>
      <c r="AC42" s="295">
        <f>IF(OR(AND($J$10&gt;330,$J$10&lt;340)),32,IF(OR(AND($J$10&gt;340,$J$10&lt;350)),33,IF(OR(AND($J$10&gt;350,$J$10&lt;370)),34,IF(OR(AND($J$10&gt;369,$J$10&lt;380)),33,IF(OR(AND($J$10&gt;379,$J$10&lt;650)),34,0)))))</f>
        <v>32</v>
      </c>
      <c r="AD42" s="706"/>
      <c r="AE42" s="749"/>
      <c r="AF42" s="296" t="s">
        <v>11</v>
      </c>
      <c r="AG42" s="310" t="str">
        <f>IF(ISNA(MATCH(AC42,$AA$9:$AA$72,0)),"",INDEX($Y$9:$Y$70,MATCH(AC42,$AA$9:$AA$72,0)))</f>
        <v>B9</v>
      </c>
      <c r="AH42" s="485">
        <v>0</v>
      </c>
      <c r="AI42" s="563" t="str">
        <f>CONCATENATE(M17,M18)</f>
        <v>32</v>
      </c>
      <c r="AJ42" s="486"/>
      <c r="AK42" s="845"/>
      <c r="AL42" s="825"/>
      <c r="AM42" s="487"/>
      <c r="AN42" s="488" t="str">
        <f>IF(AH43=AH44,"résultat",IF(AH43&gt;AH44,AG43,AG44))</f>
        <v>C9</v>
      </c>
      <c r="AO42" s="504">
        <v>0</v>
      </c>
      <c r="AP42" s="557"/>
      <c r="AQ42" s="848"/>
      <c r="AR42" s="877"/>
      <c r="AS42" s="517"/>
      <c r="AT42" s="530" t="str">
        <f>IF(AI42+AI43=0," ",IF(AI42+AI43=43," ",(IF($AI$42+AI43=42,IF(AO41=AO42,"résultat",IF(AO41&lt;AO42,AN41,AN42)),IF($AI$42+AI43=32,IF(AO41=AO42,"résultat",IF(AO41&lt;AO42,AN41,AN42)))))))</f>
        <v>C9</v>
      </c>
      <c r="AU42" s="481">
        <v>1</v>
      </c>
      <c r="AV42" s="526"/>
      <c r="AW42" s="540">
        <v>2</v>
      </c>
      <c r="AX42" s="545"/>
      <c r="AY42" s="520" t="str">
        <f>IF(AI42+AI43=0," ",IF($AI42+$AI43=43,IF($AO42=$AO43,"résultat",IF(AO41&lt;AO42,AN41,AN42)),(IF($AI42+$AI43=42,IF($AU42=$AU43,"résultat",IF($AU42&gt;$AU43,$AT42,$AT43)),(IF($AI42+$AI43=32,IF($AU42=$AU43,"résultat",IF($AU42&gt;$AU43,$AT42,$AT43))))))))</f>
        <v>C9</v>
      </c>
      <c r="AZ42" s="3"/>
      <c r="BA42" s="536"/>
      <c r="BB42" s="536"/>
      <c r="BC42" s="745" t="s">
        <v>220</v>
      </c>
      <c r="BD42" s="745"/>
      <c r="BE42" s="745"/>
      <c r="BF42" s="745"/>
      <c r="BG42" s="745"/>
      <c r="BH42" s="745"/>
      <c r="BI42" s="745"/>
      <c r="BJ42" s="745"/>
      <c r="BK42" s="745"/>
      <c r="BL42" s="745"/>
      <c r="BM42" s="745"/>
      <c r="BN42" s="745"/>
      <c r="BO42" s="745"/>
      <c r="BP42" s="745"/>
      <c r="BQ42" s="745"/>
      <c r="BR42" s="745"/>
      <c r="BS42" s="746"/>
      <c r="BT42" s="826">
        <v>9</v>
      </c>
      <c r="BU42" s="600"/>
      <c r="BV42" s="821" t="str">
        <f>+AY41</f>
        <v>A9</v>
      </c>
      <c r="BW42" s="822"/>
      <c r="BX42" s="823"/>
      <c r="BY42" s="586">
        <v>2</v>
      </c>
      <c r="CA42" s="578"/>
      <c r="CB42" s="565"/>
      <c r="CC42" s="577"/>
      <c r="CD42" s="565"/>
      <c r="CE42" s="577"/>
      <c r="CF42" s="577"/>
      <c r="CH42" s="290"/>
      <c r="CK42" s="290"/>
      <c r="CN42" s="719" t="s">
        <v>192</v>
      </c>
      <c r="CO42" s="719"/>
      <c r="CP42" s="719"/>
      <c r="CQ42" s="719"/>
      <c r="CR42" s="719"/>
      <c r="CS42" s="719"/>
      <c r="CT42" s="719"/>
      <c r="CU42" s="719"/>
      <c r="CV42" s="719"/>
      <c r="CW42" s="719"/>
      <c r="CX42" s="719"/>
      <c r="CY42" s="596"/>
      <c r="CZ42" s="290"/>
      <c r="DB42" s="290"/>
      <c r="DF42"/>
      <c r="DL42"/>
      <c r="DN42"/>
      <c r="DU42"/>
      <c r="DY42"/>
      <c r="EC42"/>
    </row>
    <row r="43" spans="1:133" ht="21.95" customHeight="1" thickBot="1">
      <c r="A43" s="54"/>
      <c r="B43" s="54"/>
      <c r="C43" s="54"/>
      <c r="D43" s="54"/>
      <c r="E43" s="297"/>
      <c r="F43" s="297"/>
      <c r="G43" s="297"/>
      <c r="H43" s="297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338">
        <v>35</v>
      </c>
      <c r="X43" s="335"/>
      <c r="Y43" s="335" t="s">
        <v>105</v>
      </c>
      <c r="Z43" s="1"/>
      <c r="AA43" s="291">
        <v>35</v>
      </c>
      <c r="AB43" s="54"/>
      <c r="AC43" s="295">
        <f>IF(OR(AND($J$10&gt;330,$J$10&lt;340)),33,IF(OR(AND($J$10&gt;340,$J$10&lt;350)),34,IF(OR(AND($J$10&gt;350,$J$10&lt;370)),35,IF(OR(AND($J$10&gt;369,$J$10&lt;380)),34,IF(OR(AND($J$10&gt;379,$J$10&lt;650)),35,0)))))</f>
        <v>33</v>
      </c>
      <c r="AD43" s="706"/>
      <c r="AE43" s="710" t="str">
        <f>IF(OR(AND(J10&gt;360,J10&lt;370)),18,IF(OR(AND(J10&gt;390,$J$10&lt;410)),18,IF(OR(AND(J10&gt;420,J10&lt;6500)),18,IF(OR(AND(J10&gt;0,J10&lt;0)),0," "))))</f>
        <v xml:space="preserve"> </v>
      </c>
      <c r="AF43" s="303" t="s">
        <v>57</v>
      </c>
      <c r="AG43" s="345" t="str">
        <f>IF(ISNA(MATCH(AC43,$AA$9:$AA$72,0)),"",INDEX($Y$9:$Y$70,MATCH(AC43,$AA$9:$AA$72,0)))</f>
        <v>C9</v>
      </c>
      <c r="AH43" s="489">
        <v>1</v>
      </c>
      <c r="AJ43" s="486"/>
      <c r="AK43" s="845"/>
      <c r="AL43" s="824">
        <v>21</v>
      </c>
      <c r="AM43" s="497"/>
      <c r="AN43" s="491" t="str">
        <f>IF(AH41=AH42,"résultat",IF(AH41&lt;AH42,AG41,AG42))</f>
        <v>B9</v>
      </c>
      <c r="AO43" s="505">
        <v>1</v>
      </c>
      <c r="AP43" s="557"/>
      <c r="AQ43" s="848"/>
      <c r="AR43" s="878"/>
      <c r="AS43" s="521"/>
      <c r="AT43" s="546" t="str">
        <f>IF(AI42+AI43=0," ",IF(AI42+AI43=43," ",IF(AI42+AI43=42,IF(AO43=AO44,"résultat",IF(AO43&lt;AO44,AN43,AN44)),(IF(AI42+AI43=32,IF(AO43=AO44,"résultat",IF(AO43&gt;AO44,AN43,AN44)))))))</f>
        <v>B9</v>
      </c>
      <c r="AU43" s="485">
        <v>0</v>
      </c>
      <c r="AV43" s="526"/>
      <c r="AW43" s="543">
        <v>3</v>
      </c>
      <c r="AX43" s="545"/>
      <c r="AY43" s="310" t="str">
        <f>IF($AI42+$AI43=0," ",IF($AI42+$AI43=43,IF(AO43=AO44,"résultat",IF(AO43&gt;AO44,AN43,AN44)),(IF($AI42+$AI43=42," ",IF(AI42+AI43=32," ")))))</f>
        <v xml:space="preserve"> </v>
      </c>
      <c r="AZ43" s="3"/>
      <c r="BA43" s="560"/>
      <c r="BB43" s="560"/>
      <c r="BC43" s="695" t="s">
        <v>223</v>
      </c>
      <c r="BD43" s="696"/>
      <c r="BE43" s="696"/>
      <c r="BF43" s="697"/>
      <c r="BG43" s="729" t="s">
        <v>307</v>
      </c>
      <c r="BH43" s="729"/>
      <c r="BI43" s="729"/>
      <c r="BJ43" s="729"/>
      <c r="BK43" s="729"/>
      <c r="BL43" s="729"/>
      <c r="BM43" s="729"/>
      <c r="BN43" s="729"/>
      <c r="BO43" s="729"/>
      <c r="BP43" s="729"/>
      <c r="BQ43" s="729"/>
      <c r="BR43" s="729"/>
      <c r="BS43" s="730"/>
      <c r="BT43" s="827"/>
      <c r="BU43" s="602"/>
      <c r="BV43" s="850" t="str">
        <f>IF(AND(J10&gt;330,J10&lt;530),AY27,IF(AND(J10&gt;530,J10&lt;650),AY46,0))</f>
        <v>B5</v>
      </c>
      <c r="BW43" s="851"/>
      <c r="BX43" s="852"/>
      <c r="BY43" s="589">
        <v>1</v>
      </c>
      <c r="CA43" s="526"/>
      <c r="CB43" s="632"/>
      <c r="CC43" s="536"/>
      <c r="CD43" s="536"/>
      <c r="CE43" s="536"/>
      <c r="CF43" s="577"/>
      <c r="CG43" s="577"/>
      <c r="CH43" s="565"/>
      <c r="CK43" s="290"/>
      <c r="CL43" s="565"/>
      <c r="CN43" s="577"/>
      <c r="CO43" s="577"/>
      <c r="CP43" s="577"/>
      <c r="CQ43" s="578"/>
      <c r="CR43" s="577"/>
      <c r="CW43" s="547"/>
      <c r="CY43" s="596"/>
      <c r="CZ43" s="290"/>
      <c r="DB43" s="290"/>
      <c r="DF43"/>
      <c r="DL43"/>
      <c r="DN43"/>
      <c r="DU43"/>
      <c r="DY43"/>
      <c r="EC43"/>
    </row>
    <row r="44" spans="1:133" ht="21.95" customHeight="1" thickBot="1">
      <c r="A44" s="54"/>
      <c r="B44" s="54"/>
      <c r="C44" s="54"/>
      <c r="D44" s="54"/>
      <c r="E44" s="297"/>
      <c r="F44" s="297"/>
      <c r="G44" s="297"/>
      <c r="H44" s="297"/>
      <c r="I44" s="54"/>
      <c r="J44" s="54"/>
      <c r="K44" s="54"/>
      <c r="L44" s="54"/>
      <c r="M44" s="344"/>
      <c r="N44" s="344"/>
      <c r="O44" s="54"/>
      <c r="P44" s="54"/>
      <c r="Q44" s="54"/>
      <c r="R44" s="54"/>
      <c r="S44" s="54"/>
      <c r="T44" s="54"/>
      <c r="U44" s="54"/>
      <c r="V44" s="54"/>
      <c r="W44" s="291">
        <v>36</v>
      </c>
      <c r="X44" s="292"/>
      <c r="Y44" s="292" t="s">
        <v>106</v>
      </c>
      <c r="Z44" s="1"/>
      <c r="AA44" s="291">
        <v>36</v>
      </c>
      <c r="AB44" s="434"/>
      <c r="AC44" s="342">
        <f>IF(OR(AND($J$10&gt;360,$J$10&lt;370)),36,IF(OR(AND($J$10&gt;389,$J$10&lt;410)),36,IF(OR(AND($J$10&gt;420,$J$10&lt;650)),36,0)))</f>
        <v>0</v>
      </c>
      <c r="AD44" s="707"/>
      <c r="AE44" s="709"/>
      <c r="AF44" s="296" t="str">
        <f>IF(AG44="Office"," ","D")</f>
        <v xml:space="preserve"> </v>
      </c>
      <c r="AG44" s="310" t="str">
        <f>IF(ISNA(MATCH(AC44,$AA$9:$AA$72,0)),"OFFICE",INDEX($Y$9:$Y$70,MATCH(AC44,$AA$9:$AA$72,0)))</f>
        <v>OFFICE</v>
      </c>
      <c r="AH44" s="492">
        <v>0</v>
      </c>
      <c r="AJ44" s="493"/>
      <c r="AK44" s="846"/>
      <c r="AL44" s="849"/>
      <c r="AM44" s="498"/>
      <c r="AN44" s="495" t="str">
        <f>IF(AH43=AH44,"résultat",IF(AH43&lt;AH44,AG43,AG44))</f>
        <v>OFFICE</v>
      </c>
      <c r="AO44" s="506">
        <v>0</v>
      </c>
      <c r="AP44" s="558"/>
      <c r="AQ44" s="849"/>
      <c r="AR44" s="479"/>
      <c r="AS44" s="479"/>
      <c r="AT44" s="479"/>
      <c r="AU44" s="479"/>
      <c r="AV44" s="479"/>
      <c r="AW44" s="479"/>
      <c r="AX44" s="479"/>
      <c r="AY44" s="526"/>
      <c r="AZ44" s="374"/>
      <c r="BA44" s="560"/>
      <c r="BB44" s="560"/>
      <c r="BC44" s="560"/>
      <c r="BD44" s="560"/>
      <c r="BE44" s="560"/>
      <c r="BF44" s="560"/>
      <c r="BG44" s="560"/>
      <c r="BI44" s="560"/>
      <c r="BJ44" s="560"/>
      <c r="BK44" s="560"/>
      <c r="BL44" s="560"/>
      <c r="BM44" s="560"/>
      <c r="BN44" s="560"/>
      <c r="BO44" s="560"/>
      <c r="BP44" s="560"/>
      <c r="BQ44" s="560"/>
      <c r="BR44" s="560"/>
      <c r="BS44" s="633"/>
      <c r="BT44" s="592"/>
      <c r="BU44" s="593"/>
      <c r="BV44" s="593"/>
      <c r="BW44" s="594"/>
      <c r="BX44" s="594"/>
      <c r="BY44" s="593"/>
      <c r="CA44" s="526"/>
      <c r="CB44" s="634"/>
      <c r="CC44" s="536"/>
      <c r="CD44" s="536"/>
      <c r="CE44" s="536"/>
      <c r="CF44" s="577"/>
      <c r="CG44" s="577"/>
      <c r="CH44" s="577"/>
      <c r="CI44" s="565"/>
      <c r="CJ44" s="577"/>
      <c r="CK44" s="577"/>
      <c r="CL44" s="577"/>
      <c r="CN44" s="212"/>
      <c r="CO44" s="810" t="s">
        <v>55</v>
      </c>
      <c r="CP44" s="811"/>
      <c r="CQ44" s="812"/>
      <c r="CR44" s="212"/>
      <c r="CT44" s="804" t="s">
        <v>154</v>
      </c>
      <c r="CU44" s="805"/>
      <c r="CV44" s="805"/>
      <c r="CW44" s="805"/>
      <c r="CX44" s="806"/>
      <c r="CY44" s="596"/>
      <c r="CZ44" s="290"/>
      <c r="DB44" s="290"/>
      <c r="DF44"/>
      <c r="DL44"/>
      <c r="DN44"/>
      <c r="DU44"/>
      <c r="DY44"/>
      <c r="EC44"/>
    </row>
    <row r="45" spans="1:133" ht="21.95" customHeight="1" thickTop="1" thickBot="1">
      <c r="A45" s="54"/>
      <c r="B45" s="54"/>
      <c r="C45" s="54"/>
      <c r="D45" s="54"/>
      <c r="E45" s="297"/>
      <c r="F45" s="297"/>
      <c r="G45" s="297"/>
      <c r="H45" s="297"/>
      <c r="I45" s="54"/>
      <c r="J45" s="54"/>
      <c r="K45" s="54"/>
      <c r="L45" s="54"/>
      <c r="M45" s="344"/>
      <c r="N45" s="344"/>
      <c r="O45" s="344"/>
      <c r="P45" s="54"/>
      <c r="Q45" s="54"/>
      <c r="R45" s="54"/>
      <c r="S45" s="54"/>
      <c r="T45" s="54"/>
      <c r="U45" s="54"/>
      <c r="V45" s="54"/>
      <c r="W45" s="338">
        <v>37</v>
      </c>
      <c r="X45" s="335"/>
      <c r="Y45" s="335" t="s">
        <v>107</v>
      </c>
      <c r="Z45" s="339"/>
      <c r="AA45" s="291">
        <v>37</v>
      </c>
      <c r="AB45" s="54"/>
      <c r="AC45" s="343">
        <f>IF(OR(AND($J$10&gt;370,$J$10&lt;380)),35,IF(OR(AND($J$10&gt;380,$J$10&lt;390)),36,IF(OR(AND($J$10&gt;390,$J$10&lt;410)),37,IF(OR(AND($J$10&gt;410,$J$10&lt;420)),36,IF(OR(AND($J$10&gt;420,$J$10&lt;650)),37,0)))))</f>
        <v>0</v>
      </c>
      <c r="AD45" s="711" t="s">
        <v>25</v>
      </c>
      <c r="AE45" s="710" t="str">
        <f>IF(OR(AND(J10&gt;370,J10&lt;380)),17,IF(OR(AND(J10&gt;380,J10&lt;390)),18,IF(OR(AND(J10&gt;390,J10&lt;410)),19,IF(OR(AND($J$10&gt;410,J10&lt;420)),18,IF(OR(AND(J10&gt;420,J10&lt;650)),19," ")))))</f>
        <v xml:space="preserve"> </v>
      </c>
      <c r="AF45" s="303" t="s">
        <v>10</v>
      </c>
      <c r="AG45" s="304" t="str">
        <f>IF(ISNA(MATCH(AC45,$AA$9:$AA$72,0)),"",INDEX($Y$9:$Y$70,MATCH(AC45,$AA$9:$AA$72,0)))</f>
        <v/>
      </c>
      <c r="AH45" s="481">
        <v>1</v>
      </c>
      <c r="AJ45" s="486"/>
      <c r="AK45" s="844">
        <v>10</v>
      </c>
      <c r="AL45" s="847">
        <v>22</v>
      </c>
      <c r="AM45" s="483"/>
      <c r="AN45" s="484" t="str">
        <f>IF(AH45=AH46,"résultat",IF(AH45&gt;AH46,AG45,AG46))</f>
        <v/>
      </c>
      <c r="AO45" s="507">
        <v>1</v>
      </c>
      <c r="AP45" s="557"/>
      <c r="AQ45" s="848">
        <v>10</v>
      </c>
      <c r="AR45" s="512"/>
      <c r="AS45" s="512"/>
      <c r="AT45" s="512"/>
      <c r="AU45" s="512"/>
      <c r="AV45" s="559"/>
      <c r="AW45" s="548">
        <v>1</v>
      </c>
      <c r="AX45" s="545"/>
      <c r="AY45" s="516" t="str">
        <f>IF(AI46+AI47=0," ",IF($AI46+$AI47=43,IF($AO45=$AO46,"résultat",IF($AO45&gt;$AO46,$AN45,$AN46)),(IF($AI46+$AI47=42,IF($AO45=$AO46,"résultat",IF($AO45&gt;$AO46,$AN45,$AN46)),(IF($AI46+$AI47=32,IF($AO45=$AO46,"résultat",IF($AO45&gt;$AO46,$AN45,$AN46))))))))</f>
        <v xml:space="preserve"> </v>
      </c>
      <c r="AZ45" s="3"/>
      <c r="BA45" s="560"/>
      <c r="BB45" s="560"/>
      <c r="BC45" s="560"/>
      <c r="BD45" s="560"/>
      <c r="BE45" s="560"/>
      <c r="BF45" s="560"/>
      <c r="BG45" s="560"/>
      <c r="BI45" s="560"/>
      <c r="BJ45" s="560"/>
      <c r="BK45" s="560"/>
      <c r="BL45" s="560"/>
      <c r="BM45" s="560"/>
      <c r="BN45" s="560"/>
      <c r="BO45" s="560"/>
      <c r="BP45" s="560"/>
      <c r="BQ45" s="560"/>
      <c r="BR45" s="560"/>
      <c r="BS45" s="633"/>
      <c r="BT45" s="592"/>
      <c r="BU45" s="593"/>
      <c r="BV45" s="593"/>
      <c r="BW45" s="580" t="s">
        <v>198</v>
      </c>
      <c r="BX45" s="375"/>
      <c r="BY45" s="593"/>
      <c r="CA45" s="592"/>
      <c r="CB45" s="634"/>
      <c r="CC45" s="297"/>
      <c r="CD45" s="297"/>
      <c r="CE45" s="297"/>
      <c r="CF45" s="577"/>
      <c r="CG45" s="577"/>
      <c r="CH45" s="577"/>
      <c r="CI45" s="565"/>
      <c r="CJ45" s="577"/>
      <c r="CK45" s="577"/>
      <c r="CL45" s="577"/>
      <c r="CN45" s="212" t="s">
        <v>1</v>
      </c>
      <c r="CO45" s="212"/>
      <c r="CP45" s="212"/>
      <c r="CQ45" s="635"/>
      <c r="CR45" s="212" t="s">
        <v>0</v>
      </c>
      <c r="CT45" s="212" t="s">
        <v>1</v>
      </c>
      <c r="CU45" s="212"/>
      <c r="CV45" s="212"/>
      <c r="CW45" s="635"/>
      <c r="CX45" s="212" t="s">
        <v>0</v>
      </c>
      <c r="CY45" s="596"/>
      <c r="CZ45" s="290"/>
      <c r="DB45" s="290"/>
      <c r="DF45"/>
      <c r="DL45"/>
      <c r="DN45"/>
      <c r="DU45"/>
      <c r="DY45"/>
      <c r="EC45"/>
    </row>
    <row r="46" spans="1:133" ht="21.95" customHeight="1" thickTop="1" thickBot="1">
      <c r="A46" s="54"/>
      <c r="B46" s="54"/>
      <c r="C46" s="54"/>
      <c r="D46" s="54"/>
      <c r="E46" s="297"/>
      <c r="F46" s="297"/>
      <c r="G46" s="297"/>
      <c r="H46" s="297"/>
      <c r="I46" s="54"/>
      <c r="J46" s="54"/>
      <c r="K46" s="54"/>
      <c r="L46" s="54"/>
      <c r="M46" s="54"/>
      <c r="N46" s="54"/>
      <c r="O46" s="344"/>
      <c r="P46" s="54"/>
      <c r="Q46" s="54"/>
      <c r="R46" s="54"/>
      <c r="S46" s="54"/>
      <c r="T46" s="54"/>
      <c r="U46" s="54"/>
      <c r="V46" s="54"/>
      <c r="W46" s="291">
        <v>38</v>
      </c>
      <c r="X46" s="292"/>
      <c r="Y46" s="443" t="s">
        <v>108</v>
      </c>
      <c r="Z46" s="54"/>
      <c r="AA46" s="291">
        <v>38</v>
      </c>
      <c r="AB46" s="54"/>
      <c r="AC46" s="295">
        <f>IF(OR(AND($J$10&gt;369,$J$10&lt;380)),36,IF(OR(AND($J$10&gt;379,$J$10&lt;390)),37,IF(OR(AND($J$10&gt;389,$J$10&lt;410)),38,IF(OR(AND($J$10&gt;410,$J$10&lt;420)),37,IF(OR(AND($J$10&gt;420,$J$10&lt;650)),38,0)))))</f>
        <v>0</v>
      </c>
      <c r="AD46" s="706"/>
      <c r="AE46" s="709"/>
      <c r="AF46" s="296" t="s">
        <v>11</v>
      </c>
      <c r="AG46" s="310" t="str">
        <f>IF(ISNA(MATCH(AC46,$AA$9:$AA$72,0)),"",INDEX($Y$9:$Y$70,MATCH(AC46,$AA$9:$AA$72,0)))</f>
        <v/>
      </c>
      <c r="AH46" s="485">
        <v>0</v>
      </c>
      <c r="AI46" s="684" t="str">
        <f>CONCATENATE(N17,N18)</f>
        <v>00</v>
      </c>
      <c r="AJ46" s="486"/>
      <c r="AK46" s="845"/>
      <c r="AL46" s="825"/>
      <c r="AM46" s="487"/>
      <c r="AN46" s="488" t="str">
        <f>IF(AH47=AH48,"résultat",IF(AH47&gt;AH48,AG47,AG48))</f>
        <v/>
      </c>
      <c r="AO46" s="504">
        <v>0</v>
      </c>
      <c r="AP46" s="557"/>
      <c r="AQ46" s="848"/>
      <c r="AR46" s="824"/>
      <c r="AS46" s="517"/>
      <c r="AT46" s="530" t="str">
        <f>IF(AI46+AI47=0," ",IF(AI46+AI47=43," ",(IF($AI46+AI47=42,IF(AO45=AO46,"résultat",IF(AO45&lt;AO46,AN45,AN46)),IF(AI46+AI47=32,IF(AO45=AO46,"résultat",IF(AO45&lt;AO46,AN45,AN46)))))))</f>
        <v xml:space="preserve"> </v>
      </c>
      <c r="AU46" s="481">
        <v>1</v>
      </c>
      <c r="AV46" s="559"/>
      <c r="AW46" s="540">
        <v>2</v>
      </c>
      <c r="AX46" s="545"/>
      <c r="AY46" s="520" t="str">
        <f>IF(AI46+AI47=0," ",IF($AI46+$AI47=43,IF(AO45=AO46,"résultat",IF(AO45&lt;AO46,AN45,AN46)),(IF($AI46+$AI47=42,IF($AU46=$AU47,"résultat",IF($AU46&gt;$AU47,$AT46,$AT47)),(IF($AI46+$AI47=32,IF($AU46=$AU47,"résultat",IF($AU46&gt;$AU47,$AT46,$AT47))))))))</f>
        <v xml:space="preserve"> </v>
      </c>
      <c r="AZ46" s="3"/>
      <c r="BA46" s="560"/>
      <c r="BB46" s="560"/>
      <c r="BC46" s="699" t="s">
        <v>308</v>
      </c>
      <c r="BD46" s="699"/>
      <c r="BE46" s="699"/>
      <c r="BF46" s="699"/>
      <c r="BG46" s="699"/>
      <c r="BH46" s="699"/>
      <c r="BI46" s="699"/>
      <c r="BJ46" s="699"/>
      <c r="BK46" s="699"/>
      <c r="BL46" s="699"/>
      <c r="BM46" s="699"/>
      <c r="BN46" s="699"/>
      <c r="BO46" s="699"/>
      <c r="BP46" s="699"/>
      <c r="BQ46" s="699"/>
      <c r="BR46" s="699"/>
      <c r="BS46" s="700"/>
      <c r="BT46" s="826">
        <v>10</v>
      </c>
      <c r="BU46" s="611"/>
      <c r="BV46" s="874" t="str">
        <f>IF(OR(J10&gt;330,J10&lt;650),AY10)</f>
        <v>C1</v>
      </c>
      <c r="BW46" s="875"/>
      <c r="BX46" s="876"/>
      <c r="BY46" s="586">
        <v>2</v>
      </c>
      <c r="CA46" s="526"/>
      <c r="CB46" s="636"/>
      <c r="CC46" s="536"/>
      <c r="CD46" s="536"/>
      <c r="CE46" s="536"/>
      <c r="CF46" s="577"/>
      <c r="CG46" s="577"/>
      <c r="CH46" s="577"/>
      <c r="CI46" s="565"/>
      <c r="CJ46" s="577"/>
      <c r="CK46" s="577"/>
      <c r="CL46" s="577"/>
      <c r="CN46" s="813">
        <v>3</v>
      </c>
      <c r="CO46" s="835" t="str">
        <f>IF(OR(CL12=CL13),"Gagnant 1/4 A",IF(AND(CL12&lt;CL13),CI12,CI13))</f>
        <v>C1</v>
      </c>
      <c r="CP46" s="836"/>
      <c r="CQ46" s="837"/>
      <c r="CR46" s="586">
        <v>1</v>
      </c>
      <c r="CS46" s="596" t="str">
        <f>IF(CR46=CR47,"résultat",IF(CR46&gt;CR47,CO46,CO47))</f>
        <v>C1</v>
      </c>
      <c r="CT46" s="717">
        <v>3</v>
      </c>
      <c r="CU46" s="838" t="str">
        <f>IF(OR(CZ7+CZ8&lt;5)," ",IF(AND(CR46=CR47),"G. 1ère Part. Rep.A",IF(AND(CZ7+CZ8&gt;4,CZ7+CZ8&lt;9),CS46," ")))</f>
        <v xml:space="preserve"> </v>
      </c>
      <c r="CV46" s="839"/>
      <c r="CW46" s="840"/>
      <c r="CX46" s="586">
        <v>1</v>
      </c>
      <c r="CY46" s="596" t="str">
        <f>IF(CX46=CX47,"résultat",IF(CX46&gt;CX47,CU46,CU47))</f>
        <v xml:space="preserve"> </v>
      </c>
      <c r="CZ46" s="290"/>
      <c r="DB46" s="290"/>
      <c r="DF46"/>
      <c r="DL46"/>
      <c r="DN46"/>
      <c r="DU46"/>
      <c r="DY46"/>
      <c r="EC46"/>
    </row>
    <row r="47" spans="1:133" ht="21.95" customHeight="1" thickBot="1">
      <c r="A47" s="54"/>
      <c r="B47" s="54"/>
      <c r="C47" s="54"/>
      <c r="D47" s="54"/>
      <c r="E47" s="297"/>
      <c r="F47" s="297"/>
      <c r="G47" s="297"/>
      <c r="H47" s="297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338">
        <v>39</v>
      </c>
      <c r="X47" s="335"/>
      <c r="Y47" s="335" t="s">
        <v>109</v>
      </c>
      <c r="Z47" s="1"/>
      <c r="AA47" s="291">
        <v>39</v>
      </c>
      <c r="AB47" s="54"/>
      <c r="AC47" s="295">
        <f>IF(OR(AND($J$10&gt;370,$J$10&lt;380)),37,IF(OR(AND($J$10&gt;380,$J$10&lt;390)),38,IF(OR(AND($J$10&gt;389,$J$10&lt;410)),39,IF(OR(AND($J$10&gt;410,$J$10&lt;420)),38,IF(OR(AND($J$10&gt;420,$J$10&lt;650)),39,0)))))</f>
        <v>0</v>
      </c>
      <c r="AD47" s="706"/>
      <c r="AE47" s="710" t="str">
        <f>IF(OR(AND(J10&gt;330,J10&lt;370))," ",IF(OR(AND($J$10&gt;400,J10&lt;410)),20,IF(OR(AND(J10&gt;410,$J$10&lt;430))," ",IF(OR(AND(J10&gt;430,J10&lt;450)),20,IF(OR(AND(J10&gt;460,J10&lt;650)),20," ")))))</f>
        <v xml:space="preserve"> </v>
      </c>
      <c r="AF47" s="303" t="s">
        <v>57</v>
      </c>
      <c r="AG47" s="345" t="str">
        <f>IF(ISNA(MATCH(AC47,$AA$9:$AA$72,0)),"",INDEX($Y$9:$Y$70,MATCH(AC47,$AA$9:$AA$72,0)))</f>
        <v/>
      </c>
      <c r="AH47" s="489">
        <v>1</v>
      </c>
      <c r="AJ47" s="486"/>
      <c r="AK47" s="845"/>
      <c r="AL47" s="824">
        <v>23</v>
      </c>
      <c r="AM47" s="497"/>
      <c r="AN47" s="491" t="str">
        <f>IF(AH45=AH46,"résultat",IF(AH45&lt;AH46,AG45,AG46))</f>
        <v/>
      </c>
      <c r="AO47" s="505">
        <v>1</v>
      </c>
      <c r="AP47" s="557"/>
      <c r="AQ47" s="848"/>
      <c r="AR47" s="825"/>
      <c r="AS47" s="521"/>
      <c r="AT47" s="546" t="str">
        <f>IF(AI46+AI47=0," ",IF(AI46+AI47=43," ",IF(AI46+AI47=42,IF(AO47=AO48,"résultat",IF(AO47&gt;AO48,AN47,AN48)),(IF(AI46+AI47=32,IF(AO47=AO48,"résultat",IF(AO47&gt;AO48,AN47,AN48)))))))</f>
        <v xml:space="preserve"> </v>
      </c>
      <c r="AU47" s="485">
        <v>0</v>
      </c>
      <c r="AV47" s="559"/>
      <c r="AW47" s="543">
        <v>3</v>
      </c>
      <c r="AX47" s="545"/>
      <c r="AY47" s="310" t="str">
        <f>IF(AI46+AI47=0," ",IF(AI46+AI47=32," ",(IF($AI46+$AI47=42," ",IF($AI14+$AI15=43,IF(AO47=AO48,"résultat",IF(AO47&gt;AO48,AN47,AN48)))))))</f>
        <v xml:space="preserve"> </v>
      </c>
      <c r="AZ47" s="3"/>
      <c r="BA47" s="560"/>
      <c r="BB47" s="560"/>
      <c r="BC47" s="727" t="s">
        <v>227</v>
      </c>
      <c r="BD47" s="727"/>
      <c r="BE47" s="727"/>
      <c r="BF47" s="727"/>
      <c r="BG47" s="727"/>
      <c r="BH47" s="736" t="s">
        <v>300</v>
      </c>
      <c r="BI47" s="737"/>
      <c r="BJ47" s="737"/>
      <c r="BK47" s="737"/>
      <c r="BL47" s="737"/>
      <c r="BM47" s="737"/>
      <c r="BN47" s="737"/>
      <c r="BO47" s="737"/>
      <c r="BP47" s="737"/>
      <c r="BQ47" s="737"/>
      <c r="BR47" s="737"/>
      <c r="BS47" s="738"/>
      <c r="BT47" s="827"/>
      <c r="BU47" s="615"/>
      <c r="BV47" s="850" t="str">
        <f>IF(OR(AND($J$10&gt;330,$J$10&lt;490)),AY31,IF(OR(AND($J$10&gt;490,$J$10&lt;650)),AY57,0))</f>
        <v>B6</v>
      </c>
      <c r="BW47" s="851"/>
      <c r="BX47" s="852"/>
      <c r="BY47" s="589">
        <v>1</v>
      </c>
      <c r="CA47" s="637"/>
      <c r="CB47" s="634"/>
      <c r="CC47" s="536"/>
      <c r="CD47" s="536"/>
      <c r="CE47" s="536"/>
      <c r="CF47" s="577"/>
      <c r="CG47" s="577"/>
      <c r="CH47" s="577"/>
      <c r="CI47" s="565"/>
      <c r="CJ47" s="577"/>
      <c r="CK47" s="577"/>
      <c r="CL47" s="577"/>
      <c r="CN47" s="814"/>
      <c r="CO47" s="798" t="str">
        <f>IF(OR(CL20=CL21),"Gagnant 1/4 B",IF(AND(CL20&lt;CL21),CI20,CI21))</f>
        <v>C4</v>
      </c>
      <c r="CP47" s="799"/>
      <c r="CQ47" s="800"/>
      <c r="CR47" s="589">
        <v>0</v>
      </c>
      <c r="CS47" s="596" t="str">
        <f>IF(CR46=CR47,"résultat",IF(CR46&lt;CR47,CO46,CO47))</f>
        <v>C4</v>
      </c>
      <c r="CT47" s="718"/>
      <c r="CU47" s="792" t="str">
        <f>IF(OR(CZ7+CZ8&lt;5)," ",IF(AND(CR52=CR53),"G. 1ère Part. Rep. B",IF(AND(CZ7+CZ8&gt;4,CZ7+CZ8&lt;9),CS52," ")))</f>
        <v xml:space="preserve"> </v>
      </c>
      <c r="CV47" s="793"/>
      <c r="CW47" s="794"/>
      <c r="CX47" s="589">
        <v>0</v>
      </c>
      <c r="CY47" s="596" t="str">
        <f>IF(CX46=CX47,"résultat",IF(CX46&lt;CX47,CU46,CU47))</f>
        <v xml:space="preserve"> </v>
      </c>
      <c r="CZ47" s="290"/>
      <c r="DB47" s="290"/>
      <c r="DF47"/>
      <c r="DL47"/>
      <c r="DN47"/>
      <c r="DU47"/>
      <c r="DY47"/>
      <c r="EC47"/>
    </row>
    <row r="48" spans="1:133" ht="21.95" customHeight="1" thickBot="1">
      <c r="A48" s="54"/>
      <c r="B48" s="54"/>
      <c r="C48" s="54"/>
      <c r="D48" s="54"/>
      <c r="E48" s="297"/>
      <c r="F48" s="297"/>
      <c r="G48" s="297"/>
      <c r="H48" s="297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441">
        <v>40</v>
      </c>
      <c r="X48" s="442"/>
      <c r="Y48" s="292" t="s">
        <v>110</v>
      </c>
      <c r="Z48" s="1"/>
      <c r="AA48" s="441">
        <v>40</v>
      </c>
      <c r="AB48" s="439"/>
      <c r="AC48" s="444">
        <f>IF(OR(AND($J$10&gt;400,$J$10&lt;410)),40,IF(OR(AND($J$10&gt;430,J10&lt;450)),40,IF(OR(AND(J10&gt;459,$J$7&lt;650)),40,0)))</f>
        <v>0</v>
      </c>
      <c r="AD48" s="707"/>
      <c r="AE48" s="709"/>
      <c r="AF48" s="445" t="str">
        <f>IF(AG48="Office"," ","D")</f>
        <v xml:space="preserve"> </v>
      </c>
      <c r="AG48" s="310" t="str">
        <f>IF(ISNA(MATCH(AC48,$AA$9:$AA$72,0)),"OFFICE",INDEX($Y$9:$Y$70,MATCH(AC48,$AA$9:$AA$72,0)))</f>
        <v>OFFICE</v>
      </c>
      <c r="AH48" s="492">
        <v>0</v>
      </c>
      <c r="AJ48" s="493"/>
      <c r="AK48" s="846"/>
      <c r="AL48" s="849"/>
      <c r="AM48" s="498"/>
      <c r="AN48" s="495" t="str">
        <f>IF(AH47=AH48,"résultat",IF(AH47&lt;AH48,AG47,AG48))</f>
        <v>OFFICE</v>
      </c>
      <c r="AO48" s="506">
        <v>0</v>
      </c>
      <c r="AP48" s="558"/>
      <c r="AQ48" s="849"/>
      <c r="AR48" s="479"/>
      <c r="AS48" s="479"/>
      <c r="AT48" s="549"/>
      <c r="AU48" s="479"/>
      <c r="AV48" s="479"/>
      <c r="AW48" s="479"/>
      <c r="AX48" s="479"/>
      <c r="AY48" s="479"/>
      <c r="AZ48" s="446"/>
      <c r="BA48" s="560"/>
      <c r="BB48" s="560"/>
      <c r="BC48" s="560"/>
      <c r="BD48" s="560"/>
      <c r="BE48" s="560"/>
      <c r="BF48" s="560"/>
      <c r="BG48" s="560"/>
      <c r="BI48" s="560"/>
      <c r="BJ48" s="560"/>
      <c r="BK48" s="560"/>
      <c r="BL48" s="560"/>
      <c r="BM48" s="560"/>
      <c r="BN48" s="560"/>
      <c r="BO48" s="560"/>
      <c r="BP48" s="638"/>
      <c r="BQ48" s="560"/>
      <c r="BR48" s="560"/>
      <c r="BS48" s="639"/>
      <c r="BT48" s="592"/>
      <c r="BU48" s="640"/>
      <c r="BV48" s="584"/>
      <c r="BW48" s="584"/>
      <c r="BX48" s="595"/>
      <c r="BY48" s="641"/>
      <c r="CA48" s="526"/>
      <c r="CB48" s="634"/>
      <c r="CC48" s="536"/>
      <c r="CD48" s="536"/>
      <c r="CE48" s="536"/>
      <c r="CF48" s="577"/>
      <c r="CG48" s="577"/>
      <c r="CH48" s="577"/>
      <c r="CI48" s="565"/>
      <c r="CJ48" s="577"/>
      <c r="CK48" s="577"/>
      <c r="CL48" s="577"/>
      <c r="CN48" s="212"/>
      <c r="CO48" s="212"/>
      <c r="CP48" s="642"/>
      <c r="CQ48" s="643"/>
      <c r="CR48" s="212" t="s">
        <v>136</v>
      </c>
      <c r="CS48" s="596"/>
      <c r="CT48" s="247"/>
      <c r="CU48" s="247"/>
      <c r="CW48" s="547"/>
      <c r="CX48" s="329"/>
      <c r="CY48" s="596"/>
      <c r="CZ48" s="290"/>
      <c r="DB48" s="290"/>
      <c r="DF48"/>
      <c r="DL48"/>
      <c r="DN48"/>
      <c r="DU48"/>
      <c r="DY48"/>
      <c r="EC48"/>
    </row>
    <row r="49" spans="1:133" ht="21.95" customHeight="1" thickTop="1" thickBot="1">
      <c r="A49" s="54"/>
      <c r="B49" s="54"/>
      <c r="C49" s="54"/>
      <c r="D49" s="54"/>
      <c r="E49" s="297"/>
      <c r="F49" s="297"/>
      <c r="G49" s="297"/>
      <c r="H49" s="297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338">
        <v>41</v>
      </c>
      <c r="X49" s="335"/>
      <c r="Y49" s="335" t="s">
        <v>111</v>
      </c>
      <c r="Z49" s="339"/>
      <c r="AA49" s="291">
        <v>41</v>
      </c>
      <c r="AB49" s="54"/>
      <c r="AC49" s="343">
        <f>IF(OR(AND($J$10&gt;410,$J$10&lt;420)),39,IF(OR(AND($J$10&gt;420,$J$10&lt;430)),40,IF(OR(AND($J$10&gt;430,$J$10&lt;450)),41,IF(OR(AND($J$10&gt;450,$J$10&lt;460)),40,IF(OR(AND($J$10&gt;460,$J$10&lt;650)),41,0)))))</f>
        <v>0</v>
      </c>
      <c r="AD49" s="711" t="s">
        <v>26</v>
      </c>
      <c r="AE49" s="710" t="str">
        <f>IF(OR(AND(J10&gt;330,J10&lt;410))," ",IF(OR(AND(J10&gt;410,J10&lt;420)),19,IF(OR(AND(J10&gt;420,J10&lt;430)),20,IF(OR(AND($J$10&gt;420,J10&lt;430)),20,IF(OR(AND(J10&gt;430,$J$10&lt;450)),21,IF(OR(AND(J10&gt;450,J10&lt;460)),20,IF(OR(AND(J10&gt;460,J10&lt;650)),21,0)))))))</f>
        <v xml:space="preserve"> </v>
      </c>
      <c r="AF49" s="303" t="s">
        <v>10</v>
      </c>
      <c r="AG49" s="304" t="str">
        <f>IF(ISNA(MATCH(AC49,$AA$9:$AA$72,0)),"",INDEX($Y$9:$Y$70,MATCH(AC49,$AA$9:$AA$72,0)))</f>
        <v/>
      </c>
      <c r="AH49" s="481">
        <v>1</v>
      </c>
      <c r="AJ49" s="486"/>
      <c r="AK49" s="844">
        <v>11</v>
      </c>
      <c r="AL49" s="847">
        <v>24</v>
      </c>
      <c r="AM49" s="483"/>
      <c r="AN49" s="484" t="str">
        <f>IF(AH49=AH50,"résultat",IF(AH49&gt;AH50,AG49,AG50))</f>
        <v/>
      </c>
      <c r="AO49" s="507">
        <v>1</v>
      </c>
      <c r="AP49" s="557"/>
      <c r="AQ49" s="847">
        <v>11</v>
      </c>
      <c r="AR49" s="512"/>
      <c r="AS49" s="512"/>
      <c r="AT49" s="550"/>
      <c r="AU49" s="512"/>
      <c r="AV49" s="512"/>
      <c r="AW49" s="542">
        <v>1</v>
      </c>
      <c r="AX49" s="545"/>
      <c r="AY49" s="516" t="str">
        <f>IF(AI50+AI51=0," ",IF($AI50+$AI51=43,IF($AO49=$AO50,"résultat",IF($AO49&gt;$AO50,$AN49,$AN50)),(IF($AI50+$AI51=42,IF($AO49=$AO50,"résultat",IF($AO49&gt;$AO50,$AN49,$AN50)),(IF($AI50+$AI51=32,IF($AO49=$AO50,"résultat",IF($AO49&gt;$AO50,$AN49,$AN50))))))))</f>
        <v xml:space="preserve"> </v>
      </c>
      <c r="AZ49" s="185"/>
      <c r="BA49" s="560"/>
      <c r="BB49" s="560"/>
      <c r="BC49" s="560"/>
      <c r="BD49" s="560"/>
      <c r="BE49" s="560"/>
      <c r="BF49" s="560"/>
      <c r="BG49" s="560"/>
      <c r="BI49" s="560"/>
      <c r="BJ49" s="560"/>
      <c r="BK49" s="560"/>
      <c r="BL49" s="560"/>
      <c r="BM49" s="560"/>
      <c r="BN49" s="560"/>
      <c r="BO49" s="560"/>
      <c r="BP49" s="560"/>
      <c r="BQ49" s="560"/>
      <c r="BR49" s="560"/>
      <c r="BS49" s="633"/>
      <c r="BT49" s="578"/>
      <c r="BU49" s="593"/>
      <c r="BV49" s="578"/>
      <c r="BW49" s="580" t="s">
        <v>61</v>
      </c>
      <c r="BX49" s="375"/>
      <c r="BY49" s="593"/>
      <c r="CA49" s="592"/>
      <c r="CB49" s="634"/>
      <c r="CC49" s="297"/>
      <c r="CD49" s="297"/>
      <c r="CE49" s="297"/>
      <c r="CF49" s="577"/>
      <c r="CG49" s="577"/>
      <c r="CH49" s="577"/>
      <c r="CI49" s="565"/>
      <c r="CJ49" s="577"/>
      <c r="CK49" s="577"/>
      <c r="CL49" s="577"/>
      <c r="CN49" s="375"/>
      <c r="CO49" s="375"/>
      <c r="CP49" s="571"/>
      <c r="CQ49" s="571"/>
      <c r="CR49" s="597"/>
      <c r="CS49" s="596"/>
      <c r="CT49" s="212"/>
      <c r="CU49" s="212"/>
      <c r="CV49" s="428"/>
      <c r="CW49" s="332"/>
      <c r="CX49" s="212"/>
      <c r="CY49" s="563"/>
      <c r="CZ49" s="290"/>
      <c r="DB49" s="290"/>
      <c r="DF49"/>
      <c r="DL49"/>
      <c r="DN49"/>
      <c r="DU49"/>
      <c r="DY49"/>
      <c r="EC49"/>
    </row>
    <row r="50" spans="1:133" ht="21.95" customHeight="1" thickTop="1" thickBot="1">
      <c r="A50" s="439"/>
      <c r="B50" s="439"/>
      <c r="C50" s="439"/>
      <c r="D50" s="439"/>
      <c r="E50" s="440"/>
      <c r="F50" s="440"/>
      <c r="G50" s="440"/>
      <c r="H50" s="440"/>
      <c r="I50" s="439"/>
      <c r="J50" s="439"/>
      <c r="K50" s="439"/>
      <c r="L50" s="439"/>
      <c r="M50" s="439"/>
      <c r="N50" s="439"/>
      <c r="O50" s="54"/>
      <c r="P50" s="54"/>
      <c r="Q50" s="54"/>
      <c r="R50" s="54"/>
      <c r="S50" s="54"/>
      <c r="T50" s="54"/>
      <c r="U50" s="54"/>
      <c r="V50" s="54"/>
      <c r="W50" s="291">
        <v>42</v>
      </c>
      <c r="X50" s="292"/>
      <c r="Y50" s="421" t="s">
        <v>112</v>
      </c>
      <c r="Z50" s="336"/>
      <c r="AA50" s="291">
        <v>42</v>
      </c>
      <c r="AB50" s="54"/>
      <c r="AC50" s="295">
        <f>IF(OR(AND($J$10&gt;410,$J$10&lt;420)),40,IF(OR(AND($J$10&gt;420,$J$10&lt;430)),41,IF(OR(AND($J$10&gt;430,$J$10&lt;450)),42,IF(OR(AND($J$10&gt;450,$J$10&lt;460)),41,IF(OR(AND($J$10&gt;460,$J$10&lt;650)),42,0)))))</f>
        <v>0</v>
      </c>
      <c r="AD50" s="706"/>
      <c r="AE50" s="709"/>
      <c r="AF50" s="296" t="s">
        <v>11</v>
      </c>
      <c r="AG50" s="310" t="str">
        <f>IF(ISNA(MATCH(AC50,$AA$9:$AA$72,0)),"",INDEX($Y$9:$Y$70,MATCH(AC50,$AA$9:$AA$72,0)))</f>
        <v/>
      </c>
      <c r="AH50" s="485">
        <v>0</v>
      </c>
      <c r="AI50" s="563" t="str">
        <f>CONCATENATE(O17,O18)</f>
        <v>00</v>
      </c>
      <c r="AJ50" s="486"/>
      <c r="AK50" s="845"/>
      <c r="AL50" s="825"/>
      <c r="AM50" s="487"/>
      <c r="AN50" s="488" t="str">
        <f>IF(AH51=AH52,"résultat",IF(AH51&gt;AH52,AG51,AG52))</f>
        <v/>
      </c>
      <c r="AO50" s="504">
        <v>0</v>
      </c>
      <c r="AP50" s="557"/>
      <c r="AQ50" s="848"/>
      <c r="AR50" s="824"/>
      <c r="AS50" s="517"/>
      <c r="AT50" s="530" t="str">
        <f>IF(AI50+AI51=0," ",IF(AI50+AI51=43,"&amp;",(IF($AI$50+AI51=42,IF(AO49=AO50,"résultat",IF(AO49&lt;AO50,AN49,AN50)),IF($AI$50+AI51=32,IF(AO49=AO50,"résultat",IF(AO49&lt;AO50,AN49,AN50)))))))</f>
        <v xml:space="preserve"> </v>
      </c>
      <c r="AU50" s="481">
        <v>1</v>
      </c>
      <c r="AV50" s="559"/>
      <c r="AW50" s="540">
        <v>2</v>
      </c>
      <c r="AX50" s="545"/>
      <c r="AY50" s="520" t="str">
        <f>IF(AI50+AI51=0," ",IF($AI50+$AI51=43,IF(AO49=AO50,"résultat",IF(AO49&lt;AO50,AN49,AN50)),(IF($AI50+$AI51=42,IF($AU50=$AU51,"résultat",IF($AU50&gt;$AU51,$AT50,$AT51)),(IF($AI50+$AI51=32,IF($AU50=$AU51,"résultat",IF($AU50&gt;$AU51,$AT50,$AT51))))))))</f>
        <v xml:space="preserve"> </v>
      </c>
      <c r="AZ50" s="3"/>
      <c r="BA50" s="560"/>
      <c r="BB50" s="560"/>
      <c r="BC50" s="698" t="s">
        <v>230</v>
      </c>
      <c r="BD50" s="698"/>
      <c r="BE50" s="739" t="s">
        <v>211</v>
      </c>
      <c r="BF50" s="740"/>
      <c r="BG50" s="740"/>
      <c r="BH50" s="740"/>
      <c r="BI50" s="740"/>
      <c r="BJ50" s="740"/>
      <c r="BK50" s="740"/>
      <c r="BL50" s="740"/>
      <c r="BM50" s="740"/>
      <c r="BN50" s="740"/>
      <c r="BO50" s="740"/>
      <c r="BP50" s="740"/>
      <c r="BQ50" s="740"/>
      <c r="BR50" s="740"/>
      <c r="BS50" s="741"/>
      <c r="BT50" s="826">
        <v>11</v>
      </c>
      <c r="BU50" s="600"/>
      <c r="BV50" s="868" t="str">
        <f>IF(AND(J10&gt;330,J10&lt;610),AY14,IF(AND(J10&gt;610,J10&lt;650),AY69,0))</f>
        <v>C2</v>
      </c>
      <c r="BW50" s="869"/>
      <c r="BX50" s="870"/>
      <c r="BY50" s="586">
        <v>2</v>
      </c>
      <c r="CA50" s="526"/>
      <c r="CB50" s="636"/>
      <c r="CC50" s="536"/>
      <c r="CD50" s="536"/>
      <c r="CE50" s="536"/>
      <c r="CG50" s="577"/>
      <c r="CH50" s="577"/>
      <c r="CI50" s="565"/>
      <c r="CJ50" s="577"/>
      <c r="CK50" s="577"/>
      <c r="CL50" s="577"/>
      <c r="CN50" s="375"/>
      <c r="CO50" s="375"/>
      <c r="CP50" s="571"/>
      <c r="CQ50" s="571"/>
      <c r="CR50" s="375"/>
      <c r="CS50" s="596"/>
      <c r="CT50" s="807" t="s">
        <v>155</v>
      </c>
      <c r="CU50" s="808"/>
      <c r="CV50" s="808"/>
      <c r="CW50" s="808"/>
      <c r="CX50" s="809"/>
      <c r="CY50" s="563"/>
      <c r="CZ50" s="290"/>
      <c r="DB50" s="290"/>
      <c r="DF50"/>
      <c r="DL50"/>
      <c r="DN50"/>
      <c r="DU50"/>
      <c r="DY50"/>
      <c r="EC50"/>
    </row>
    <row r="51" spans="1:133" s="437" customFormat="1" ht="21.95" customHeight="1" thickBot="1">
      <c r="A51" s="54"/>
      <c r="B51" s="54"/>
      <c r="C51" s="54"/>
      <c r="D51" s="54"/>
      <c r="E51" s="297"/>
      <c r="F51" s="297"/>
      <c r="G51" s="297"/>
      <c r="H51" s="297"/>
      <c r="I51" s="54"/>
      <c r="J51" s="54"/>
      <c r="K51" s="54"/>
      <c r="L51" s="54"/>
      <c r="M51" s="54"/>
      <c r="N51" s="54"/>
      <c r="O51" s="439"/>
      <c r="P51" s="439"/>
      <c r="Q51" s="439"/>
      <c r="R51" s="439"/>
      <c r="S51" s="439"/>
      <c r="T51" s="439"/>
      <c r="U51" s="439"/>
      <c r="V51" s="439"/>
      <c r="W51" s="338">
        <v>43</v>
      </c>
      <c r="X51" s="335"/>
      <c r="Y51" s="292" t="s">
        <v>113</v>
      </c>
      <c r="Z51" s="440"/>
      <c r="AA51" s="291">
        <v>43</v>
      </c>
      <c r="AB51" s="54"/>
      <c r="AC51" s="295">
        <f>IF(OR(AND($J$10&gt;410,$J$10&lt;420)),41,IF(OR(AND($J$10&gt;420,$J$10&lt;430)),42,IF(OR(AND($J$10&gt;430,$J$10&lt;450)),43,IF(OR(AND($J$10&gt;450,$J$10&lt;460)),42,IF(OR(AND($J$10&gt;460,$J$10&lt;650)),43,0)))))</f>
        <v>0</v>
      </c>
      <c r="AD51" s="706"/>
      <c r="AE51" s="464" t="str">
        <f>IF(OR(AND(J10&gt;330,J10&lt;410))," ",IF(OR(AND(J10&gt;410,J10&lt;440))," ",IF(OR(AND($J$10&gt;440,J10&lt;450)),22,IF(OR(AND(J10&gt;450,$J$10&lt;470))," ",IF(OR(AND(J10&gt;470,J10&lt;490)),22,IF(OR(AND(J10&gt;480,J10&lt;500))," ",IF(OR(AND(J10&gt;500,J10&lt;650)),22,0)))))))</f>
        <v xml:space="preserve"> </v>
      </c>
      <c r="AF51" s="303" t="s">
        <v>57</v>
      </c>
      <c r="AG51" s="345" t="str">
        <f>IF(ISNA(MATCH(AC51,$AA$9:$AA$72,0)),"",INDEX($Y$9:$Y$70,MATCH(AC51,$AA$9:$AA$72,0)))</f>
        <v/>
      </c>
      <c r="AH51" s="489">
        <v>1</v>
      </c>
      <c r="AI51" s="563"/>
      <c r="AJ51" s="486"/>
      <c r="AK51" s="845"/>
      <c r="AL51" s="824">
        <v>25</v>
      </c>
      <c r="AM51" s="497"/>
      <c r="AN51" s="491" t="str">
        <f>IF(AH49=AH50,"résultat",IF(AH49&lt;AH50,AG49,AG50))</f>
        <v/>
      </c>
      <c r="AO51" s="505">
        <v>1</v>
      </c>
      <c r="AP51" s="557"/>
      <c r="AQ51" s="848"/>
      <c r="AR51" s="825"/>
      <c r="AS51" s="521"/>
      <c r="AT51" s="546" t="str">
        <f>IF(AI50+AI51=0," ",IF(AI50+AI51=43,"&amp;",IF(AI50+AI51=42,IF(AO51=AO52,"résultat",IF(AO51&lt;AO52,AN51,AN52)),(IF(AI50+AI51=32,IF(AO51=AO52,"résultat",IF(AO51&gt;AO52,AN51,AN52)))))))</f>
        <v xml:space="preserve"> </v>
      </c>
      <c r="AU51" s="485">
        <v>0</v>
      </c>
      <c r="AV51" s="559"/>
      <c r="AW51" s="543">
        <v>3</v>
      </c>
      <c r="AX51" s="545"/>
      <c r="AY51" s="310" t="str">
        <f>IF(AI51+AI52=0," ",IF(AI50+AI51=32," ",IF($AI18+$AI19=43,IF(AO51=AO52,"résultat",IF(AO51&gt;AO52,AN51,AN52)),(IF($AI18+$AI19=42," ")))))</f>
        <v xml:space="preserve"> </v>
      </c>
      <c r="AZ51" s="3"/>
      <c r="BA51" s="560"/>
      <c r="BB51" s="560"/>
      <c r="BC51" s="699" t="s">
        <v>234</v>
      </c>
      <c r="BD51" s="699"/>
      <c r="BE51" s="699"/>
      <c r="BF51" s="699"/>
      <c r="BG51" s="699"/>
      <c r="BH51" s="699"/>
      <c r="BI51" s="699"/>
      <c r="BJ51" s="699"/>
      <c r="BK51" s="699"/>
      <c r="BL51" s="699"/>
      <c r="BM51" s="699"/>
      <c r="BN51" s="699"/>
      <c r="BO51" s="699"/>
      <c r="BP51" s="699"/>
      <c r="BQ51" s="699"/>
      <c r="BR51" s="699"/>
      <c r="BS51" s="700"/>
      <c r="BT51" s="827"/>
      <c r="BU51" s="602"/>
      <c r="BV51" s="879" t="str">
        <f>IF(AND(J10&gt;330,J10&lt;650),AY18,0)</f>
        <v>C3</v>
      </c>
      <c r="BW51" s="880"/>
      <c r="BX51" s="881"/>
      <c r="BY51" s="589">
        <v>1</v>
      </c>
      <c r="BZ51" s="290"/>
      <c r="CA51" s="526"/>
      <c r="CB51" s="634"/>
      <c r="CC51" s="536"/>
      <c r="CD51" s="536"/>
      <c r="CE51" s="536"/>
      <c r="CF51" s="290"/>
      <c r="CG51" s="290"/>
      <c r="CH51" s="290"/>
      <c r="CI51" s="565"/>
      <c r="CJ51" s="577"/>
      <c r="CK51" s="577"/>
      <c r="CL51" s="577"/>
      <c r="CM51" s="561"/>
      <c r="CN51" s="212"/>
      <c r="CO51" s="212"/>
      <c r="CP51" s="642"/>
      <c r="CQ51" s="643"/>
      <c r="CR51" s="212"/>
      <c r="CS51" s="596"/>
      <c r="CT51" s="212" t="s">
        <v>1</v>
      </c>
      <c r="CU51" s="212"/>
      <c r="CV51" s="428"/>
      <c r="CW51" s="332"/>
      <c r="CX51" s="212" t="s">
        <v>0</v>
      </c>
      <c r="CY51" s="596"/>
      <c r="CZ51" s="290"/>
      <c r="DA51" s="290"/>
      <c r="DB51" s="290"/>
    </row>
    <row r="52" spans="1:133" ht="21.95" customHeight="1" thickBot="1">
      <c r="A52" s="54"/>
      <c r="B52" s="54"/>
      <c r="C52" s="54"/>
      <c r="D52" s="54"/>
      <c r="E52" s="297"/>
      <c r="F52" s="297"/>
      <c r="G52" s="297"/>
      <c r="H52" s="297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291">
        <v>44</v>
      </c>
      <c r="X52" s="292"/>
      <c r="Y52" s="335" t="s">
        <v>114</v>
      </c>
      <c r="Z52" s="1"/>
      <c r="AA52" s="291">
        <v>44</v>
      </c>
      <c r="AB52" s="54"/>
      <c r="AC52" s="342">
        <f>IF(OR(AND($J$10&gt;440,$J$10&lt;450)),44,IF(OR(AND($J$10&gt;470,$J$10&lt;480)),44,IF(OR(AND($J$10&gt;480,$J$10&lt;490)),44,IF(OR(AND($J$10&gt;500,$J$10&lt;650)),44,0))))</f>
        <v>0</v>
      </c>
      <c r="AD52" s="707"/>
      <c r="AE52" s="465"/>
      <c r="AF52" s="296" t="str">
        <f>IF(AG52="Office"," ","D")</f>
        <v xml:space="preserve"> </v>
      </c>
      <c r="AG52" s="310" t="str">
        <f>IF(ISNA(MATCH(AC52,$AA$9:$AA$72,0)),"OFFICE",INDEX($Y$9:$Y$70,MATCH(AC52,$AA$9:$AA$72,0)))</f>
        <v>OFFICE</v>
      </c>
      <c r="AH52" s="492">
        <v>0</v>
      </c>
      <c r="AJ52" s="493"/>
      <c r="AK52" s="846"/>
      <c r="AL52" s="849"/>
      <c r="AM52" s="498"/>
      <c r="AN52" s="495" t="str">
        <f>IF(AH51=AH52,"résultat",IF(AH51&lt;AH52,AG51,AG52))</f>
        <v>OFFICE</v>
      </c>
      <c r="AO52" s="506">
        <v>0</v>
      </c>
      <c r="AP52" s="558"/>
      <c r="AQ52" s="849"/>
      <c r="AR52" s="479"/>
      <c r="AS52" s="479"/>
      <c r="AT52" s="549"/>
      <c r="AU52" s="479"/>
      <c r="AV52" s="479"/>
      <c r="AW52" s="479"/>
      <c r="AX52" s="479"/>
      <c r="AY52" s="526"/>
      <c r="AZ52" s="186"/>
      <c r="BA52" s="560"/>
      <c r="BB52" s="560"/>
      <c r="BC52" s="560"/>
      <c r="BD52" s="560"/>
      <c r="BE52" s="560"/>
      <c r="BF52" s="560"/>
      <c r="BG52" s="560"/>
      <c r="BI52" s="560"/>
      <c r="BJ52" s="560"/>
      <c r="BK52" s="560"/>
      <c r="BL52" s="560"/>
      <c r="BM52" s="560"/>
      <c r="BN52" s="560"/>
      <c r="BO52" s="560"/>
      <c r="BP52" s="560"/>
      <c r="BQ52" s="560"/>
      <c r="BR52" s="560"/>
      <c r="BS52" s="633"/>
      <c r="BT52" s="592"/>
      <c r="BU52" s="593"/>
      <c r="BV52" s="593"/>
      <c r="BW52" s="594"/>
      <c r="BX52" s="594"/>
      <c r="BY52" s="593"/>
      <c r="CA52" s="526"/>
      <c r="CB52" s="634"/>
      <c r="CC52" s="536"/>
      <c r="CD52" s="536"/>
      <c r="CE52" s="536"/>
      <c r="CH52" s="290"/>
      <c r="CI52" s="565"/>
      <c r="CK52" s="290"/>
      <c r="CN52" s="717">
        <v>4</v>
      </c>
      <c r="CO52" s="835" t="str">
        <f>IF(OR(CL28=CL29),"Gagnant 1/4 C",IF(AND(CL28&lt;CL29),CI28,CI29))</f>
        <v>C7</v>
      </c>
      <c r="CP52" s="836"/>
      <c r="CQ52" s="837"/>
      <c r="CR52" s="586">
        <v>1</v>
      </c>
      <c r="CS52" s="596" t="str">
        <f>IF(CR52=CR53,"résultat",IF(CR52&gt;CR53,CO52,CO53))</f>
        <v>C7</v>
      </c>
      <c r="CT52" s="717">
        <v>4</v>
      </c>
      <c r="CU52" s="841" t="str">
        <f>IF(OR(BA4=0),"OFFICE",IF(AND(CR46=CR47),"P. 1ère Part.Rep. A",IF(AND(CZ7+CZ8&gt;6,CZ7+CZ8&lt;9),CS47," ")))</f>
        <v xml:space="preserve"> </v>
      </c>
      <c r="CV52" s="842"/>
      <c r="CW52" s="843"/>
      <c r="CX52" s="586">
        <v>1</v>
      </c>
      <c r="CY52" s="596" t="str">
        <f>IF(CX52=CX53,"résultat",IF(CX52&gt;CX53,CU52,CU53))</f>
        <v xml:space="preserve"> </v>
      </c>
      <c r="CZ52" s="290"/>
      <c r="DB52" s="290"/>
      <c r="DF52"/>
      <c r="DL52"/>
      <c r="DN52"/>
      <c r="DU52"/>
      <c r="DY52"/>
      <c r="EC52"/>
    </row>
    <row r="53" spans="1:133" ht="21.95" customHeight="1" thickTop="1" thickBot="1">
      <c r="A53" s="54"/>
      <c r="B53" s="54"/>
      <c r="C53" s="54"/>
      <c r="D53" s="54"/>
      <c r="E53" s="297"/>
      <c r="F53" s="297"/>
      <c r="G53" s="297"/>
      <c r="H53" s="297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338">
        <v>45</v>
      </c>
      <c r="X53" s="335"/>
      <c r="Y53" s="292" t="s">
        <v>118</v>
      </c>
      <c r="Z53" s="339"/>
      <c r="AA53" s="291">
        <v>45</v>
      </c>
      <c r="AB53" s="54"/>
      <c r="AC53" s="343">
        <f>IF(OR(AND($J$10&gt;450,$J$10&lt;460)),43,IF(OR(AND($J$10&gt;460,$J10&lt;470)),44,IF(OR(AND($J$10&gt;470,$J$10&lt;490)),45,IF(OR(AND($J$10&gt;490,$J$10&lt;500)),44,IF(OR(AND($J$10&gt;500,$J$10&lt;650)),45,0)))))</f>
        <v>0</v>
      </c>
      <c r="AD53" s="711" t="s">
        <v>27</v>
      </c>
      <c r="AE53" s="710" t="str">
        <f>IF(OR(AND(J10&gt;330,J10&lt;450))," ",IF(OR(AND(J10&gt;450,J10&lt;460)),21,IF(OR(AND($J$10&gt;460,J10&lt;470)),22,IF(OR(AND(J10&gt;470,$J$10&lt;490)),23,IF(OR(AND(J10&gt;490,J10&lt;500)),22,IF(OR(AND(J10&gt;500,J10&lt;650)),23,0))))))</f>
        <v xml:space="preserve"> </v>
      </c>
      <c r="AF53" s="303" t="s">
        <v>10</v>
      </c>
      <c r="AG53" s="304" t="str">
        <f>IF(ISNA(MATCH(AC53,$AA$9:$AA$72,0)),"",INDEX($Y$9:$Y$70,MATCH(AC53,$AA$9:$AA$72,0)))</f>
        <v/>
      </c>
      <c r="AH53" s="481">
        <v>1</v>
      </c>
      <c r="AJ53" s="486"/>
      <c r="AK53" s="844">
        <v>12</v>
      </c>
      <c r="AL53" s="847">
        <v>26</v>
      </c>
      <c r="AM53" s="483"/>
      <c r="AN53" s="484" t="str">
        <f>IF(AH53=AH54,"résultat",IF(AH53&gt;AH54,AG53,AG54))</f>
        <v/>
      </c>
      <c r="AO53" s="507">
        <v>1</v>
      </c>
      <c r="AP53" s="557"/>
      <c r="AQ53" s="847">
        <v>12</v>
      </c>
      <c r="AR53" s="512"/>
      <c r="AS53" s="512"/>
      <c r="AT53" s="550"/>
      <c r="AU53" s="512"/>
      <c r="AV53" s="512"/>
      <c r="AW53" s="542">
        <v>1</v>
      </c>
      <c r="AX53" s="545"/>
      <c r="AY53" s="516" t="str">
        <f>IF(AI54+AI55=0," ",IF($AI54+$AI55=43,IF($AO53=$AO54,"résultat",IF($AO53&gt;$AO54,$AN53,$AN54)),(IF($AI54+$AI55=42,IF($AO53=$AO54,"résultat",IF($AO53&gt;$AO54,$AN53,$AN54)),(IF($AI54+$AI55=32,IF($AO53=$AO54,"résultat",IF($AO53&gt;$AO54,$AN53,$AN54))))))))</f>
        <v xml:space="preserve"> </v>
      </c>
      <c r="AZ53" s="185"/>
      <c r="BA53" s="560"/>
      <c r="BB53" s="560"/>
      <c r="BC53" s="560"/>
      <c r="BD53" s="560"/>
      <c r="BE53" s="560"/>
      <c r="BF53" s="560"/>
      <c r="BG53" s="560"/>
      <c r="BI53" s="560"/>
      <c r="BJ53" s="560"/>
      <c r="BK53" s="560"/>
      <c r="BL53" s="560"/>
      <c r="BM53" s="560"/>
      <c r="BN53" s="560"/>
      <c r="BO53" s="560"/>
      <c r="BP53" s="560"/>
      <c r="BQ53" s="560"/>
      <c r="BR53" s="560"/>
      <c r="BS53" s="633"/>
      <c r="BT53" s="593"/>
      <c r="BU53" s="593"/>
      <c r="BV53" s="593"/>
      <c r="BW53" s="580" t="s">
        <v>62</v>
      </c>
      <c r="BX53" s="375"/>
      <c r="BY53" s="579"/>
      <c r="CA53" s="592"/>
      <c r="CB53" s="634"/>
      <c r="CC53" s="297"/>
      <c r="CD53" s="297"/>
      <c r="CE53" s="297"/>
      <c r="CH53" s="290"/>
      <c r="CI53" s="565"/>
      <c r="CK53" s="290"/>
      <c r="CN53" s="718"/>
      <c r="CO53" s="798" t="str">
        <f>IF(OR(CL36=CL37),"Gagnant 1/4 D",IF(AND(CL36&lt;CL37),CI36,CI37))</f>
        <v>C9</v>
      </c>
      <c r="CP53" s="799"/>
      <c r="CQ53" s="800"/>
      <c r="CR53" s="589">
        <v>0</v>
      </c>
      <c r="CS53" s="596" t="str">
        <f>IF(CR52=CR53,"résultat",IF(CR52&lt;CR53,CO52,CO53))</f>
        <v>C9</v>
      </c>
      <c r="CT53" s="718"/>
      <c r="CU53" s="795" t="str">
        <f>IF(OR(BA4=0),"OFFICE",IF(AND(CR52=CR53),"P. 1ère Part. Rep. B",IF(AND(CZ7+CZ8&gt;6,CZ7+CZ8&lt;9),CS53," ")))</f>
        <v xml:space="preserve"> </v>
      </c>
      <c r="CV53" s="796"/>
      <c r="CW53" s="797"/>
      <c r="CX53" s="589">
        <v>2</v>
      </c>
      <c r="CY53" s="596" t="str">
        <f>IF(CX52=CX53,"résultat",IF(CX52&lt;CX53,CU52,CU53))</f>
        <v xml:space="preserve"> </v>
      </c>
      <c r="CZ53" s="290"/>
      <c r="DB53" s="290"/>
      <c r="DF53"/>
      <c r="DL53"/>
      <c r="DN53"/>
      <c r="DU53"/>
      <c r="DY53"/>
      <c r="EC53"/>
    </row>
    <row r="54" spans="1:133" ht="21.95" customHeight="1" thickTop="1" thickBot="1">
      <c r="A54" s="54"/>
      <c r="B54" s="54"/>
      <c r="C54" s="54"/>
      <c r="D54" s="54"/>
      <c r="E54" s="297"/>
      <c r="F54" s="297"/>
      <c r="G54" s="297"/>
      <c r="H54" s="297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291">
        <v>46</v>
      </c>
      <c r="X54" s="292"/>
      <c r="Y54" s="421" t="s">
        <v>119</v>
      </c>
      <c r="Z54" s="336"/>
      <c r="AA54" s="291">
        <v>46</v>
      </c>
      <c r="AB54" s="54"/>
      <c r="AC54" s="295">
        <f>IF(OR(AND($J$10&gt;450,$J$10&lt;460)),44,IF(OR(AND($J$10&gt;460,$J$10&lt;470)),45,IF(OR(AND($J$10&gt;470,$J$10&lt;490)),46,IF(OR(AND($J$10&gt;490,$J$10&lt;500)),45,IF(OR(AND($J$10&gt;500,$J$10&lt;650)),46,0)))))</f>
        <v>0</v>
      </c>
      <c r="AD54" s="706"/>
      <c r="AE54" s="709"/>
      <c r="AF54" s="296" t="s">
        <v>11</v>
      </c>
      <c r="AG54" s="310" t="str">
        <f>IF(ISNA(MATCH(AC54,$AA$9:$AA$72,0)),"",INDEX($Y$9:$Y$70,MATCH(AC54,$AA$9:$AA$72,0)))</f>
        <v/>
      </c>
      <c r="AH54" s="485">
        <v>0</v>
      </c>
      <c r="AI54" s="563" t="str">
        <f>CONCATENATE(P17,P18)</f>
        <v>00</v>
      </c>
      <c r="AJ54" s="486"/>
      <c r="AK54" s="845"/>
      <c r="AL54" s="825"/>
      <c r="AM54" s="487"/>
      <c r="AN54" s="488" t="str">
        <f>IF(AH55=AH56,"résultat",IF(AH55&gt;AH56,AG55,AG56))</f>
        <v/>
      </c>
      <c r="AO54" s="504">
        <v>0</v>
      </c>
      <c r="AP54" s="557"/>
      <c r="AQ54" s="848"/>
      <c r="AR54" s="824"/>
      <c r="AS54" s="517"/>
      <c r="AT54" s="530" t="str">
        <f>IF(AI54+AI55=0," ",IF(AI54+AI55=43,"&amp;",(IF($AI$54+AI55=42,IF(AO53=AO54,"résultat",IF(AO53&lt;AO54,AN53,AN54)),IF($AI$54+AI55=32,IF(AO53=AO54,"résultat",IF(AO53&lt;AO54,AN53,AN54)))))))</f>
        <v xml:space="preserve"> </v>
      </c>
      <c r="AU54" s="481">
        <v>1</v>
      </c>
      <c r="AV54" s="526"/>
      <c r="AW54" s="540">
        <v>2</v>
      </c>
      <c r="AX54" s="545"/>
      <c r="AY54" s="520" t="str">
        <f>IF(AI54+AI55=0," ",IF($AI54+$AI55=43,IF(AO53=AO54,"résultat",IF(AO53&lt;AO54,AN53,AN54)),(IF($AI54+$AI55=42,IF($AU54=$AU55,"résultat",IF($AU54&gt;$AU55,$AT54,$AT55)),(IF($AI54+$AI55=32,IF($AU54=$AU55,"résultat",IF($AU54&gt;$AU55,$AT54,$AT55))))))))</f>
        <v xml:space="preserve"> </v>
      </c>
      <c r="AZ54" s="3"/>
      <c r="BA54" s="560"/>
      <c r="BB54" s="560"/>
      <c r="BC54" s="698" t="s">
        <v>229</v>
      </c>
      <c r="BD54" s="698"/>
      <c r="BE54" s="698"/>
      <c r="BF54" s="733" t="s">
        <v>233</v>
      </c>
      <c r="BG54" s="734"/>
      <c r="BH54" s="734"/>
      <c r="BI54" s="734"/>
      <c r="BJ54" s="734"/>
      <c r="BK54" s="734"/>
      <c r="BL54" s="734"/>
      <c r="BM54" s="734"/>
      <c r="BN54" s="734"/>
      <c r="BO54" s="734"/>
      <c r="BP54" s="734"/>
      <c r="BQ54" s="734"/>
      <c r="BR54" s="734"/>
      <c r="BS54" s="735"/>
      <c r="BT54" s="826">
        <v>12</v>
      </c>
      <c r="BU54" s="611"/>
      <c r="BV54" s="868" t="str">
        <f>IF(AND(J10&gt;330,J10&lt;570),AY22,IF(AND(J10&gt;570,J10&lt;650),AY65,0))</f>
        <v>C4</v>
      </c>
      <c r="BW54" s="869"/>
      <c r="BX54" s="870"/>
      <c r="BY54" s="586">
        <v>2</v>
      </c>
      <c r="CA54" s="526"/>
      <c r="CB54" s="636"/>
      <c r="CC54" s="536"/>
      <c r="CD54" s="536"/>
      <c r="CE54" s="536"/>
      <c r="CH54" s="290"/>
      <c r="CI54" s="565"/>
      <c r="CK54" s="290"/>
      <c r="CN54" s="577"/>
      <c r="CO54" s="577"/>
      <c r="CP54" s="577"/>
      <c r="CQ54" s="578"/>
      <c r="CW54" s="547"/>
      <c r="CZ54" s="290"/>
      <c r="DB54" s="290"/>
      <c r="DF54"/>
      <c r="DL54"/>
      <c r="DN54"/>
      <c r="DU54"/>
      <c r="DY54"/>
      <c r="EC54"/>
    </row>
    <row r="55" spans="1:133" ht="21.95" customHeight="1" thickBot="1">
      <c r="A55" s="54"/>
      <c r="B55" s="54"/>
      <c r="C55" s="54"/>
      <c r="D55" s="54"/>
      <c r="E55" s="297"/>
      <c r="F55" s="297"/>
      <c r="G55" s="297"/>
      <c r="H55" s="297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338">
        <v>47</v>
      </c>
      <c r="X55" s="335"/>
      <c r="Y55" s="335" t="s">
        <v>120</v>
      </c>
      <c r="Z55" s="1"/>
      <c r="AA55" s="291">
        <v>47</v>
      </c>
      <c r="AB55" s="54"/>
      <c r="AC55" s="295">
        <f>IF(OR(AND($J$10&gt;450,$J$10&lt;460)),45,IF(OR(AND($J$10&gt;460,$J$10&lt;470)),46,IF(OR(AND($J$10&gt;470,$J$10&lt;490)),47,IF(OR(AND($J$10&gt;490,$J$10&lt;500)),46,IF(OR(AND($J$10&gt;500,$J$10&lt;650)),47,0)))))</f>
        <v>0</v>
      </c>
      <c r="AD55" s="706"/>
      <c r="AE55" s="710" t="str">
        <f>IF(OR(AND(J10&gt;330,J10&lt;450))," ",IF(OR(AND(J10&gt;450,J10&lt;480))," ",IF(OR(AND($J$10&gt;480,J10&lt;490)),24,IF(OR(AND(J10&gt;490,$J$10&lt;510))," ",IF(OR(AND(J10&gt;510,J10&lt;530)),24,IF(OR(AND(J10&gt;530,J10&lt;540))," ",IF(OR(AND(J10&gt;540,J10&lt;650)),24,0)))))))</f>
        <v xml:space="preserve"> </v>
      </c>
      <c r="AF55" s="303" t="s">
        <v>57</v>
      </c>
      <c r="AG55" s="345" t="str">
        <f>IF(ISNA(MATCH(AC55,$AA$9:$AA$72,0)),"",INDEX($Y$9:$Y$70,MATCH(AC55,$AA$9:$AA$72,0)))</f>
        <v/>
      </c>
      <c r="AH55" s="489">
        <v>1</v>
      </c>
      <c r="AJ55" s="486"/>
      <c r="AK55" s="845"/>
      <c r="AL55" s="824">
        <v>27</v>
      </c>
      <c r="AM55" s="497"/>
      <c r="AN55" s="491" t="str">
        <f>IF(AH53=AH54,"résultat",IF(AH53&lt;AH54,AG53,AG54))</f>
        <v/>
      </c>
      <c r="AO55" s="505">
        <v>1</v>
      </c>
      <c r="AP55" s="557"/>
      <c r="AQ55" s="848"/>
      <c r="AR55" s="825"/>
      <c r="AS55" s="521"/>
      <c r="AT55" s="546" t="str">
        <f>IF(AI54+AI55=0," ",IF(AI54+AI55=43,"&amp;",IF(AI54+AI55=42,IF(AO55=AO56,"résultat",IF(AO55&gt;AO56,AN55,AN56)),(IF(AI54+AI55=32,IF(AO55=AO56,"résultat",IF(AO55&gt;AO56,AN55,AN56)))))))</f>
        <v xml:space="preserve"> </v>
      </c>
      <c r="AU55" s="485">
        <v>0</v>
      </c>
      <c r="AV55" s="526"/>
      <c r="AW55" s="543">
        <v>3</v>
      </c>
      <c r="AX55" s="545"/>
      <c r="AY55" s="310" t="str">
        <f>IF(AI54+AI55=0," ",IF(AI54+AI55=32," ",IF($AI22+$AI23=43,IF(AO55=AO56,"résultat",IF(AO55&gt;AO56,AN55,AN56)),(IF($AI22+$AI23=42," ")))))</f>
        <v xml:space="preserve"> </v>
      </c>
      <c r="AZ55" s="3"/>
      <c r="BA55" s="560"/>
      <c r="BB55" s="560"/>
      <c r="BC55" s="699" t="s">
        <v>232</v>
      </c>
      <c r="BD55" s="699"/>
      <c r="BE55" s="699"/>
      <c r="BF55" s="699"/>
      <c r="BG55" s="699"/>
      <c r="BH55" s="699"/>
      <c r="BI55" s="699"/>
      <c r="BJ55" s="699"/>
      <c r="BK55" s="699"/>
      <c r="BL55" s="699"/>
      <c r="BM55" s="699"/>
      <c r="BN55" s="699"/>
      <c r="BO55" s="699"/>
      <c r="BP55" s="699"/>
      <c r="BQ55" s="699"/>
      <c r="BR55" s="699"/>
      <c r="BS55" s="700"/>
      <c r="BT55" s="827"/>
      <c r="BU55" s="615"/>
      <c r="BV55" s="831" t="str">
        <f>IF(AND(J10&gt;330,J10&lt;6500),AY26,0)</f>
        <v>C5</v>
      </c>
      <c r="BW55" s="832"/>
      <c r="BX55" s="833"/>
      <c r="BY55" s="589">
        <v>1</v>
      </c>
      <c r="CA55" s="526"/>
      <c r="CB55" s="634"/>
      <c r="CC55" s="536"/>
      <c r="CD55" s="536"/>
      <c r="CE55" s="536"/>
      <c r="CH55" s="290"/>
      <c r="CI55" s="565"/>
      <c r="CK55" s="290"/>
      <c r="CN55" s="577"/>
      <c r="CO55" s="577"/>
      <c r="CP55" s="577"/>
      <c r="CQ55" s="578"/>
      <c r="CR55" s="577"/>
      <c r="CW55" s="547"/>
      <c r="CZ55" s="290"/>
      <c r="DB55" s="290"/>
      <c r="DF55"/>
      <c r="DL55"/>
      <c r="DN55"/>
      <c r="DU55"/>
      <c r="DY55"/>
      <c r="EC55"/>
    </row>
    <row r="56" spans="1:133" ht="21.95" customHeight="1" thickBot="1">
      <c r="A56" s="54"/>
      <c r="B56" s="54"/>
      <c r="C56" s="54"/>
      <c r="D56" s="54"/>
      <c r="E56" s="297"/>
      <c r="F56" s="297"/>
      <c r="G56" s="297"/>
      <c r="H56" s="297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291">
        <v>48</v>
      </c>
      <c r="X56" s="292"/>
      <c r="Y56" s="292" t="s">
        <v>121</v>
      </c>
      <c r="Z56" s="1"/>
      <c r="AA56" s="291">
        <v>48</v>
      </c>
      <c r="AB56" s="54"/>
      <c r="AC56" s="342">
        <f>IF(OR(AND($J$10&gt;480,$J$10&lt;490)),48,IF(OR(AND($J$10&gt;510,$J$10&lt;530)),48,IF(OR(AND($J$10&gt;540,$J$10&lt;650)),48,0)))</f>
        <v>0</v>
      </c>
      <c r="AD56" s="707"/>
      <c r="AE56" s="709"/>
      <c r="AF56" s="296" t="str">
        <f>IF(AG56="Office"," ","D")</f>
        <v xml:space="preserve"> </v>
      </c>
      <c r="AG56" s="310" t="str">
        <f>IF(ISNA(MATCH(AC56,$AA$9:$AA$72,0)),"OFFICE",INDEX($Y$9:$Y$70,MATCH(AC56,$AA$9:$AA$72,0)))</f>
        <v>OFFICE</v>
      </c>
      <c r="AH56" s="492">
        <v>0</v>
      </c>
      <c r="AJ56" s="493"/>
      <c r="AK56" s="846"/>
      <c r="AL56" s="849"/>
      <c r="AM56" s="498"/>
      <c r="AN56" s="495" t="str">
        <f>IF(AH55=AH56,"résultat",IF(AH55&lt;AH56,AG55,AG56))</f>
        <v>OFFICE</v>
      </c>
      <c r="AO56" s="506">
        <v>0</v>
      </c>
      <c r="AP56" s="558"/>
      <c r="AQ56" s="849"/>
      <c r="AR56" s="479"/>
      <c r="AS56" s="479"/>
      <c r="AT56" s="551"/>
      <c r="AU56" s="479"/>
      <c r="AV56" s="479"/>
      <c r="AW56" s="479"/>
      <c r="AX56" s="479"/>
      <c r="AY56" s="479"/>
      <c r="AZ56" s="186"/>
      <c r="BA56" s="560"/>
      <c r="BB56" s="560"/>
      <c r="BC56" s="560"/>
      <c r="BD56" s="560"/>
      <c r="BE56" s="560"/>
      <c r="BF56" s="560"/>
      <c r="BG56" s="560"/>
      <c r="BI56" s="560"/>
      <c r="BJ56" s="560"/>
      <c r="BK56" s="560"/>
      <c r="BL56" s="560"/>
      <c r="BM56" s="560"/>
      <c r="BN56" s="560"/>
      <c r="BO56" s="560"/>
      <c r="BP56" s="560"/>
      <c r="BQ56" s="560"/>
      <c r="BR56" s="560"/>
      <c r="BS56" s="597"/>
      <c r="BT56" s="617"/>
      <c r="BU56" s="597"/>
      <c r="BV56" s="597"/>
      <c r="BW56" s="571"/>
      <c r="BX56" s="571"/>
      <c r="BY56" s="526"/>
      <c r="CA56" s="526"/>
      <c r="CB56" s="634"/>
      <c r="CC56" s="536"/>
      <c r="CD56" s="536"/>
      <c r="CE56" s="536"/>
      <c r="CH56" s="290"/>
      <c r="CI56" s="565"/>
      <c r="CK56" s="290"/>
      <c r="CN56" s="290"/>
      <c r="CP56" s="290"/>
      <c r="CQ56" s="547"/>
      <c r="CW56" s="547"/>
      <c r="CZ56" s="290"/>
      <c r="DB56" s="290"/>
      <c r="DF56"/>
      <c r="DL56"/>
      <c r="DN56"/>
      <c r="DU56"/>
      <c r="DY56"/>
      <c r="EC56"/>
    </row>
    <row r="57" spans="1:133" ht="21.95" customHeight="1" thickTop="1" thickBot="1">
      <c r="A57" s="54"/>
      <c r="B57" s="54"/>
      <c r="C57" s="54"/>
      <c r="D57" s="54"/>
      <c r="E57" s="297"/>
      <c r="F57" s="297"/>
      <c r="G57" s="297"/>
      <c r="H57" s="297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338">
        <v>49</v>
      </c>
      <c r="X57" s="335"/>
      <c r="Y57" s="335" t="s">
        <v>122</v>
      </c>
      <c r="Z57" s="339"/>
      <c r="AA57" s="291">
        <v>49</v>
      </c>
      <c r="AB57" s="54"/>
      <c r="AC57" s="343">
        <f>IF(OR(AND($J$10&gt;490,$J$10&lt;500)),47,IF(OR(AND($J$10&gt;500,$J$10&lt;510)),48,IF(OR(AND($J$10&gt;510,$J$10&lt;530)),49,IF(OR(AND($J$10&gt;530,$J$10&lt;540)),48,IF(OR(AND($J$10&gt;540,$J$10&lt;650)),49,0)))))</f>
        <v>0</v>
      </c>
      <c r="AD57" s="711" t="s">
        <v>28</v>
      </c>
      <c r="AE57" s="710" t="str">
        <f>IF(OR(AND(J10&gt;330,J10&lt;490))," ",IF(OR(AND(J10&gt;490,J10&lt;500)),23,IF(OR(AND($J$10&gt;500,J10&lt;510)),24,IF(OR(AND(J10&gt;510,$J$10&lt;530)),25,IF(OR(AND(J10&gt;530,J10&lt;540)),24,IF(OR(AND(J10&gt;540,J10&lt;650)),25,0))))))</f>
        <v xml:space="preserve"> </v>
      </c>
      <c r="AF57" s="303" t="s">
        <v>10</v>
      </c>
      <c r="AG57" s="304" t="str">
        <f>IF(ISNA(MATCH(AC57,$AA$9:$AA$72,0)),"",INDEX($Y$9:$Y$70,MATCH(AC57,$AA$9:$AA$72,0)))</f>
        <v/>
      </c>
      <c r="AH57" s="481">
        <v>1</v>
      </c>
      <c r="AJ57" s="486"/>
      <c r="AK57" s="844">
        <v>13</v>
      </c>
      <c r="AL57" s="847">
        <v>28</v>
      </c>
      <c r="AM57" s="483"/>
      <c r="AN57" s="484" t="str">
        <f>IF(AH57=AH58,"résultat",IF(AH57&gt;AH58,AG57,AG58))</f>
        <v/>
      </c>
      <c r="AO57" s="507">
        <v>1</v>
      </c>
      <c r="AP57" s="557"/>
      <c r="AQ57" s="847">
        <v>13</v>
      </c>
      <c r="AR57" s="512"/>
      <c r="AS57" s="512"/>
      <c r="AT57" s="539"/>
      <c r="AU57" s="512"/>
      <c r="AV57" s="512"/>
      <c r="AW57" s="542">
        <v>1</v>
      </c>
      <c r="AX57" s="545"/>
      <c r="AY57" s="516" t="str">
        <f>IF(AI58+AI59=0," ",IF($AI58+$AI59=43,IF($AO57=$AO58,"résultat",IF($AO57&gt;$AO58,$AN57,$AN58)),(IF($AI58+$AI59=42,IF($AO57=$AO58,"résultat",IF($AO57&gt;$AO58,$AN57,$AN58)),(IF($AI58+$AI59=32,IF($AO57=$AO58,"résultat",IF($AO57&gt;$AO58,$AN57,$AN58))))))))</f>
        <v xml:space="preserve"> </v>
      </c>
      <c r="AZ57" s="185"/>
      <c r="BA57" s="560"/>
      <c r="BB57" s="560"/>
      <c r="BC57" s="560"/>
      <c r="BD57" s="560"/>
      <c r="BE57" s="560"/>
      <c r="BF57" s="560"/>
      <c r="BG57" s="560"/>
      <c r="BI57" s="560"/>
      <c r="BJ57" s="560"/>
      <c r="BK57" s="560"/>
      <c r="BL57" s="560"/>
      <c r="BM57" s="560"/>
      <c r="BN57" s="560"/>
      <c r="BO57" s="574"/>
      <c r="BP57" s="560"/>
      <c r="BQ57" s="560"/>
      <c r="BR57" s="560"/>
      <c r="BS57" s="633"/>
      <c r="BT57" s="578"/>
      <c r="BU57" s="593"/>
      <c r="BV57" s="578"/>
      <c r="BW57" s="580" t="s">
        <v>63</v>
      </c>
      <c r="BX57" s="375"/>
      <c r="BY57" s="593"/>
      <c r="CA57" s="592"/>
      <c r="CB57" s="634"/>
      <c r="CC57" s="297"/>
      <c r="CD57" s="297"/>
      <c r="CE57" s="297"/>
      <c r="CH57" s="290"/>
      <c r="CI57" s="565"/>
      <c r="CK57" s="290"/>
      <c r="CN57" s="290"/>
      <c r="CP57" s="290"/>
      <c r="CQ57" s="547"/>
      <c r="CW57" s="547"/>
      <c r="CZ57" s="290"/>
      <c r="DB57" s="290"/>
      <c r="DF57"/>
      <c r="DL57"/>
      <c r="DN57"/>
      <c r="DU57"/>
      <c r="DY57"/>
      <c r="EC57"/>
    </row>
    <row r="58" spans="1:133" ht="21.95" customHeight="1" thickTop="1" thickBot="1">
      <c r="A58" s="54"/>
      <c r="B58" s="54"/>
      <c r="C58" s="57"/>
      <c r="D58" s="54"/>
      <c r="E58" s="297"/>
      <c r="F58" s="297"/>
      <c r="G58" s="297"/>
      <c r="H58" s="297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291">
        <v>50</v>
      </c>
      <c r="X58" s="292"/>
      <c r="Y58" s="421" t="s">
        <v>123</v>
      </c>
      <c r="Z58" s="336"/>
      <c r="AA58" s="291">
        <v>50</v>
      </c>
      <c r="AB58" s="54"/>
      <c r="AC58" s="295">
        <f>IF(OR(AND($J$10&gt;490,$J$10&lt;500)),48,IF(OR(AND($J$10&gt;500,$J$10&lt;510)),49,IF(OR(AND($J$10&gt;510,$J$10&lt;530)),50,IF(OR(AND($J$10&gt;530,$J$10&lt;540)),49,IF(OR(AND($J$10&gt;540,$J$10&lt;650)),50,0)))))</f>
        <v>0</v>
      </c>
      <c r="AD58" s="706"/>
      <c r="AE58" s="709"/>
      <c r="AF58" s="296" t="s">
        <v>11</v>
      </c>
      <c r="AG58" s="310" t="str">
        <f>IF(ISNA(MATCH(AC58,$AA$9:$AA$72,0)),"",INDEX($Y$9:$Y$70,MATCH(AC58,$AA$9:$AA$72,0)))</f>
        <v/>
      </c>
      <c r="AH58" s="485">
        <v>0</v>
      </c>
      <c r="AI58" s="563" t="str">
        <f>CONCATENATE(Q17,Q18)</f>
        <v>00</v>
      </c>
      <c r="AJ58" s="486"/>
      <c r="AK58" s="845"/>
      <c r="AL58" s="825"/>
      <c r="AM58" s="487"/>
      <c r="AN58" s="488" t="str">
        <f>IF(AH59=AH60,"résultat",IF(AH59&gt;AH60,AG59,AG60))</f>
        <v/>
      </c>
      <c r="AO58" s="504">
        <v>0</v>
      </c>
      <c r="AP58" s="557"/>
      <c r="AQ58" s="848"/>
      <c r="AR58" s="824"/>
      <c r="AS58" s="517"/>
      <c r="AT58" s="530" t="str">
        <f>IF(AI58+AI59=0," ",IF(AI58+AI59=43,"&amp;",(IF($AI$58+AI59=42,IF(AO57=AO58,"résultat",IF(AO57&lt;AO58,AN57,AN58)),IF($AI58+AI59=32,IF(AO57=AO58,"résultat",IF(AO57&lt;AO58,AN57,AN58)))))))</f>
        <v xml:space="preserve"> </v>
      </c>
      <c r="AU58" s="481">
        <v>1</v>
      </c>
      <c r="AV58" s="526"/>
      <c r="AW58" s="540">
        <v>2</v>
      </c>
      <c r="AX58" s="545"/>
      <c r="AY58" s="520" t="str">
        <f>IF(AI58+AI59=0," ",IF($AI58+$AI59=43,IF(AO57=AO58,"résultat",IF(AO57&lt;AO58,AN57,AN58)),(IF($AI58+$AI59=42,IF($AU58=$AU59,"résultat",IF($AU58&gt;$AU59,$AT58,$AT59)),(IF($AI58+$AI59=32,IF($AU58=$AU59,"résultat",IF($AU58&gt;$AU59,$AT58,$AT59))))))))</f>
        <v xml:space="preserve"> </v>
      </c>
      <c r="AZ58" s="3"/>
      <c r="BA58" s="560"/>
      <c r="BB58" s="560"/>
      <c r="BC58" s="698" t="s">
        <v>221</v>
      </c>
      <c r="BD58" s="698"/>
      <c r="BE58" s="698"/>
      <c r="BF58" s="698"/>
      <c r="BG58" s="698"/>
      <c r="BH58" s="698"/>
      <c r="BI58" s="698"/>
      <c r="BJ58" s="698"/>
      <c r="BK58" s="698"/>
      <c r="BL58" s="698"/>
      <c r="BM58" s="698"/>
      <c r="BN58" s="698"/>
      <c r="BO58" s="698"/>
      <c r="BP58" s="694" t="s">
        <v>298</v>
      </c>
      <c r="BQ58" s="694"/>
      <c r="BR58" s="692" t="s">
        <v>210</v>
      </c>
      <c r="BS58" s="693"/>
      <c r="BT58" s="826">
        <v>13</v>
      </c>
      <c r="BU58" s="600"/>
      <c r="BV58" s="821" t="str">
        <f>IF(OR(D18&lt;26),"OFFICE",IF(AND(J10&gt;330,J10&lt;370),AY39,IF(AND(J10&gt;370,J10&lt;650),AY45,IF(AND(J10&gt;0,J10&lt;0),0))))</f>
        <v>OFFICE</v>
      </c>
      <c r="BW58" s="822"/>
      <c r="BX58" s="823"/>
      <c r="BY58" s="586">
        <v>0</v>
      </c>
      <c r="CA58" s="526"/>
      <c r="CB58" s="636"/>
      <c r="CC58" s="536"/>
      <c r="CD58" s="536"/>
      <c r="CE58" s="536"/>
      <c r="CH58" s="290"/>
      <c r="CI58" s="565"/>
      <c r="CK58" s="290"/>
      <c r="CN58" s="290"/>
      <c r="CP58" s="290"/>
      <c r="CQ58" s="547"/>
      <c r="CW58" s="547"/>
      <c r="CZ58" s="290"/>
      <c r="DB58" s="290"/>
      <c r="DF58"/>
      <c r="DL58"/>
      <c r="DN58"/>
      <c r="DU58"/>
      <c r="DY58"/>
      <c r="EC58"/>
    </row>
    <row r="59" spans="1:133" ht="21.95" customHeight="1" thickBot="1">
      <c r="A59" s="54"/>
      <c r="B59" s="54"/>
      <c r="C59" s="54"/>
      <c r="D59" s="54"/>
      <c r="E59" s="297"/>
      <c r="F59" s="297"/>
      <c r="G59" s="297"/>
      <c r="H59" s="297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338">
        <v>51</v>
      </c>
      <c r="X59" s="335"/>
      <c r="Y59" s="292" t="s">
        <v>124</v>
      </c>
      <c r="Z59" s="1"/>
      <c r="AA59" s="291">
        <v>51</v>
      </c>
      <c r="AB59" s="54"/>
      <c r="AC59" s="295">
        <f>IF(OR(AND($J$10&gt;490,$J$10&lt;500)),49,IF(OR(AND($J$10&gt;500,$J$10&lt;510)),50,IF(OR(AND($J$10&gt;510,$J$10&lt;530)),51,IF(OR(AND($J$10&gt;530,$J$10&lt;540)),50,IF(OR(AND($J$10&gt;540,$J$10&lt;650)),51,IF(OR(AND($J$7&gt;0,$J$7&lt;0)),0,0))))))</f>
        <v>0</v>
      </c>
      <c r="AD59" s="706"/>
      <c r="AE59" s="710" t="str">
        <f>IF(OR(AND(J10&gt;330,J10&lt;520))," ",IF(OR(AND($J$10&gt;520,J10&lt;530)),26,IF(OR(AND(J10&gt;530,$J$10&lt;550))," ",IF(OR(AND(J10&gt;550,J10&lt;570)),26,IF(OR(AND(J10&gt;570,J10&lt;580))," ",IF(OR(AND(J10&gt;580,J10&lt;650)),26,0))))))</f>
        <v xml:space="preserve"> </v>
      </c>
      <c r="AF59" s="303" t="s">
        <v>57</v>
      </c>
      <c r="AG59" s="345" t="str">
        <f>IF(ISNA(MATCH(AC59,$AA$9:$AA$72,0)),"",INDEX($Y$9:$Y$70,MATCH(AC59,$AA$9:$AA$72,0)))</f>
        <v/>
      </c>
      <c r="AH59" s="489">
        <v>1</v>
      </c>
      <c r="AJ59" s="486"/>
      <c r="AK59" s="845"/>
      <c r="AL59" s="824">
        <v>29</v>
      </c>
      <c r="AM59" s="497"/>
      <c r="AN59" s="491" t="str">
        <f>IF(AH57=AH58,"résultat",IF(AH57&lt;AH58,AG57,AG58))</f>
        <v/>
      </c>
      <c r="AO59" s="505">
        <v>1</v>
      </c>
      <c r="AP59" s="557"/>
      <c r="AQ59" s="848"/>
      <c r="AR59" s="825"/>
      <c r="AS59" s="521"/>
      <c r="AT59" s="546" t="str">
        <f>IF(AI58+AI59=0," ",IF(AI58+AI59=43,"&amp;",IF(AI58+AI59=42,IF(AO59=AO60,"résultat",IF(AO59&lt;AO60,AN59,AN60)),(IF(AI58+AI59=32,IF(AO59=AO60,"résultat",IF(AO59&gt;AO60,AN59,AN60)))))))</f>
        <v xml:space="preserve"> </v>
      </c>
      <c r="AU59" s="485">
        <v>0</v>
      </c>
      <c r="AV59" s="526"/>
      <c r="AW59" s="543">
        <v>3</v>
      </c>
      <c r="AX59" s="545"/>
      <c r="AY59" s="310" t="str">
        <f>IF(AI58+AI59=0," ",IF(AI58+AI59=32," ",IF($AI26+$AI27=43,IF(AO59=AO60,"résultat",IF(AO59&gt;AO60,AN59,AN60)),(IF($AI26+$AI27=42," ")))))</f>
        <v xml:space="preserve"> </v>
      </c>
      <c r="AZ59" s="3"/>
      <c r="BA59" s="560"/>
      <c r="BB59" s="560"/>
      <c r="BC59" s="699" t="s">
        <v>231</v>
      </c>
      <c r="BD59" s="699"/>
      <c r="BE59" s="699"/>
      <c r="BF59" s="699"/>
      <c r="BG59" s="699"/>
      <c r="BH59" s="699"/>
      <c r="BI59" s="699"/>
      <c r="BJ59" s="699"/>
      <c r="BK59" s="699"/>
      <c r="BL59" s="699"/>
      <c r="BM59" s="699"/>
      <c r="BN59" s="699"/>
      <c r="BO59" s="699"/>
      <c r="BP59" s="699"/>
      <c r="BQ59" s="699"/>
      <c r="BR59" s="699"/>
      <c r="BS59" s="700"/>
      <c r="BT59" s="827"/>
      <c r="BU59" s="602"/>
      <c r="BV59" s="831" t="str">
        <f>IF(AND(J10&gt;330,J10&lt;650),AY30,0)</f>
        <v>C6</v>
      </c>
      <c r="BW59" s="832"/>
      <c r="BX59" s="833"/>
      <c r="BY59" s="589">
        <v>1</v>
      </c>
      <c r="CA59" s="526"/>
      <c r="CB59" s="634"/>
      <c r="CC59" s="536"/>
      <c r="CD59" s="536"/>
      <c r="CE59" s="536"/>
      <c r="CH59" s="290"/>
      <c r="CI59" s="565"/>
      <c r="CK59" s="290"/>
      <c r="CN59" s="290"/>
      <c r="CP59" s="290"/>
      <c r="CZ59" s="290"/>
      <c r="DB59" s="290"/>
      <c r="DF59"/>
      <c r="DL59"/>
      <c r="DN59"/>
      <c r="DU59"/>
      <c r="DY59"/>
      <c r="EC59"/>
    </row>
    <row r="60" spans="1:133" ht="21.95" customHeight="1" thickBot="1">
      <c r="A60" s="54"/>
      <c r="B60" s="54"/>
      <c r="C60" s="54"/>
      <c r="D60" s="346"/>
      <c r="E60" s="297"/>
      <c r="F60" s="297"/>
      <c r="G60" s="297"/>
      <c r="H60" s="297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291">
        <v>52</v>
      </c>
      <c r="X60" s="292"/>
      <c r="Y60" s="335" t="s">
        <v>125</v>
      </c>
      <c r="Z60" s="54"/>
      <c r="AA60" s="291">
        <v>52</v>
      </c>
      <c r="AB60" s="54"/>
      <c r="AC60" s="342">
        <f>IF(OR(AND($J$10&gt;520,$J$10&lt;530)),52,IF(OR(AND($J$10&gt;550,$J$10&lt;570)),52,IF(OR(AND($J$10&gt;580,$J$10&lt;650)),52,IF(OR(AND($J$7&gt;0,$J$7&lt;0)),0,0))))</f>
        <v>0</v>
      </c>
      <c r="AD60" s="707"/>
      <c r="AE60" s="709"/>
      <c r="AF60" s="296" t="str">
        <f>IF(AG60="Office"," ","D")</f>
        <v xml:space="preserve"> </v>
      </c>
      <c r="AG60" s="310" t="str">
        <f>IF(ISNA(MATCH(AC60,$AA$9:$AA$72,0)),"OFFICE",INDEX($Y$9:$Y$70,MATCH(AC60,$AA$9:$AA$72,0)))</f>
        <v>OFFICE</v>
      </c>
      <c r="AH60" s="492">
        <v>0</v>
      </c>
      <c r="AJ60" s="493"/>
      <c r="AK60" s="846"/>
      <c r="AL60" s="849"/>
      <c r="AM60" s="498"/>
      <c r="AN60" s="495" t="str">
        <f>IF(AH59=AH60,"résultat",IF(AH59&lt;AH60,AG59,AG60))</f>
        <v>OFFICE</v>
      </c>
      <c r="AO60" s="506">
        <v>0</v>
      </c>
      <c r="AP60" s="558"/>
      <c r="AQ60" s="849"/>
      <c r="AR60" s="479"/>
      <c r="AS60" s="479"/>
      <c r="AT60" s="549"/>
      <c r="AU60" s="479"/>
      <c r="AV60" s="479"/>
      <c r="AW60" s="479"/>
      <c r="AX60" s="479"/>
      <c r="AY60" s="526"/>
      <c r="AZ60" s="186"/>
      <c r="BA60" s="560"/>
      <c r="BB60" s="560"/>
      <c r="BC60" s="560"/>
      <c r="BD60" s="560"/>
      <c r="BE60" s="560"/>
      <c r="BF60" s="560"/>
      <c r="BG60" s="560"/>
      <c r="BI60" s="560"/>
      <c r="BJ60" s="560"/>
      <c r="BK60" s="560"/>
      <c r="BL60" s="560"/>
      <c r="BM60" s="560"/>
      <c r="BN60" s="560"/>
      <c r="BO60" s="574"/>
      <c r="BP60" s="560"/>
      <c r="BQ60" s="560"/>
      <c r="BR60" s="560"/>
      <c r="BS60" s="597"/>
      <c r="BT60" s="617"/>
      <c r="BU60" s="597"/>
      <c r="BV60" s="597"/>
      <c r="BW60" s="572"/>
      <c r="BX60" s="572"/>
      <c r="BY60" s="526"/>
      <c r="CA60" s="526"/>
      <c r="CB60" s="634"/>
      <c r="CC60" s="536"/>
      <c r="CD60" s="536"/>
      <c r="CE60" s="536"/>
      <c r="CH60" s="290"/>
      <c r="CI60" s="565"/>
      <c r="CK60" s="290"/>
      <c r="CN60" s="290"/>
      <c r="CP60" s="290"/>
      <c r="CZ60" s="290"/>
      <c r="DB60" s="290"/>
      <c r="DF60"/>
      <c r="DL60"/>
      <c r="DN60"/>
      <c r="DU60"/>
      <c r="DY60"/>
      <c r="EC60"/>
    </row>
    <row r="61" spans="1:133" ht="21.95" customHeight="1" thickTop="1" thickBot="1">
      <c r="A61" s="54"/>
      <c r="B61" s="54"/>
      <c r="C61" s="54"/>
      <c r="D61" s="54"/>
      <c r="E61" s="297"/>
      <c r="F61" s="297"/>
      <c r="G61" s="297"/>
      <c r="H61" s="297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338">
        <v>53</v>
      </c>
      <c r="X61" s="335"/>
      <c r="Y61" s="292" t="s">
        <v>126</v>
      </c>
      <c r="Z61" s="339"/>
      <c r="AA61" s="291">
        <v>53</v>
      </c>
      <c r="AB61" s="54"/>
      <c r="AC61" s="343">
        <f>IF(OR(AND($J$10&gt;530,$J$10&lt;540)),51,IF(OR(AND($J$10&gt;540,$J$10&lt;550)),52,IF(OR(AND($J$10&gt;550,$J$10&lt;570)),53,IF(OR(AND($J$10&gt;570,$J$10&lt;580)),52,IF(OR(AND($J$10&gt;580,$J$10&lt;650)),53,IF(OR(AND($J$7&gt;0,$J$7&lt;0)),0,0))))))</f>
        <v>0</v>
      </c>
      <c r="AD61" s="711" t="s">
        <v>29</v>
      </c>
      <c r="AE61" s="710" t="str">
        <f>IF(OR(AND(J10&gt;330,J10&lt;530))," ",IF(OR(AND(J10&gt;530,J10&lt;540)),25,IF(OR(AND($J$10&gt;540,J10&lt;550)),26,IF(OR(AND(J10&gt;550,$J$10&lt;570)),27,IF(OR(AND(J10&gt;570,J10&lt;580)),26,IF(OR(AND(J10&gt;580,J10&lt;650)),27,0))))))</f>
        <v xml:space="preserve"> </v>
      </c>
      <c r="AF61" s="303" t="s">
        <v>10</v>
      </c>
      <c r="AG61" s="304" t="str">
        <f>IF(ISNA(MATCH(AC61,$AA$9:$AA$72,0)),"",INDEX($Y$9:$Y$70,MATCH(AC61,$AA$9:$AA$72,0)))</f>
        <v/>
      </c>
      <c r="AH61" s="481">
        <v>1</v>
      </c>
      <c r="AJ61" s="486"/>
      <c r="AK61" s="844">
        <v>14</v>
      </c>
      <c r="AL61" s="847">
        <v>30</v>
      </c>
      <c r="AM61" s="483"/>
      <c r="AN61" s="484" t="str">
        <f>IF(AH61=AH62,"résultat",IF(AH61&gt;AH62,AG61,AG62))</f>
        <v/>
      </c>
      <c r="AO61" s="507">
        <v>1</v>
      </c>
      <c r="AP61" s="557"/>
      <c r="AQ61" s="847">
        <v>14</v>
      </c>
      <c r="AR61" s="512"/>
      <c r="AS61" s="512"/>
      <c r="AT61" s="550"/>
      <c r="AU61" s="512"/>
      <c r="AV61" s="512"/>
      <c r="AW61" s="542">
        <v>1</v>
      </c>
      <c r="AX61" s="545"/>
      <c r="AY61" s="516" t="str">
        <f>IF(AI62+AI63=0," ",IF($AI62+$AI63=43,IF($AO61=$AO62,"résultat",IF($AO61&gt;$AO62,$AN61,$AN62)),(IF($AI62+$AI63=42,IF($AO61=$AO62,"résultat",IF($AO61&gt;$AO62,$AN61,$AN62)),(IF($AI62+$AI63=32,IF($AO61=$AO62,"résultat",IF($AO61&gt;$AO62,$AN61,$AN62))))))))</f>
        <v xml:space="preserve"> </v>
      </c>
      <c r="AZ61" s="185"/>
      <c r="BA61" s="560"/>
      <c r="BB61" s="560"/>
      <c r="BC61" s="560"/>
      <c r="BD61" s="560"/>
      <c r="BE61" s="560"/>
      <c r="BF61" s="560"/>
      <c r="BG61" s="560"/>
      <c r="BI61" s="560"/>
      <c r="BJ61" s="560"/>
      <c r="BK61" s="560"/>
      <c r="BL61" s="560"/>
      <c r="BM61" s="560"/>
      <c r="BN61" s="560"/>
      <c r="BO61" s="574"/>
      <c r="BP61" s="560"/>
      <c r="BQ61" s="560"/>
      <c r="BR61" s="560"/>
      <c r="BS61" s="633"/>
      <c r="BT61" s="593"/>
      <c r="BU61" s="593"/>
      <c r="BV61" s="593"/>
      <c r="BW61" s="580" t="s">
        <v>64</v>
      </c>
      <c r="BX61" s="375"/>
      <c r="BY61" s="579"/>
      <c r="CA61" s="592"/>
      <c r="CB61" s="634"/>
      <c r="CC61" s="297"/>
      <c r="CD61" s="297"/>
      <c r="CE61" s="297"/>
      <c r="CH61" s="290"/>
      <c r="CI61" s="565"/>
      <c r="CK61" s="290"/>
      <c r="CN61" s="290"/>
      <c r="CP61" s="290"/>
      <c r="CZ61" s="290"/>
      <c r="DB61" s="290"/>
      <c r="DF61"/>
      <c r="DL61"/>
      <c r="DN61"/>
      <c r="DU61"/>
      <c r="DY61"/>
      <c r="EC61"/>
    </row>
    <row r="62" spans="1:133" ht="21.95" customHeight="1" thickTop="1" thickBot="1">
      <c r="A62" s="54"/>
      <c r="B62" s="54"/>
      <c r="C62" s="54"/>
      <c r="D62" s="54"/>
      <c r="E62" s="297"/>
      <c r="F62" s="297"/>
      <c r="G62" s="297"/>
      <c r="H62" s="297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291">
        <v>54</v>
      </c>
      <c r="X62" s="292"/>
      <c r="Y62" s="421" t="s">
        <v>127</v>
      </c>
      <c r="Z62" s="336"/>
      <c r="AA62" s="291">
        <v>54</v>
      </c>
      <c r="AB62" s="54"/>
      <c r="AC62" s="295">
        <f>IF(OR(AND($J$10&gt;530,$J$10&lt;540)),52,IF(OR(AND($J$10&gt;540,$J$10&lt;550)),53,IF(OR(AND($J$10&gt;550,$J$10&lt;570)),54,IF(OR(AND($J$10&gt;570,$J$10&lt;580)),53,IF(OR(AND($J$10&gt;580,$J$10&lt;650)),54,IF(OR(AND($J$7&gt;0,$J$7&lt;0)),0,0))))))</f>
        <v>0</v>
      </c>
      <c r="AD62" s="706"/>
      <c r="AE62" s="709"/>
      <c r="AF62" s="296" t="s">
        <v>11</v>
      </c>
      <c r="AG62" s="310" t="str">
        <f>IF(ISNA(MATCH(AC62,$AA$9:$AA$72,0)),"",INDEX($Y$9:$Y$70,MATCH(AC62,$AA$9:$AA$72,0)))</f>
        <v/>
      </c>
      <c r="AH62" s="485">
        <v>0</v>
      </c>
      <c r="AI62" s="563" t="str">
        <f>CONCATENATE(R17,R18)</f>
        <v>00</v>
      </c>
      <c r="AJ62" s="486"/>
      <c r="AK62" s="845"/>
      <c r="AL62" s="825"/>
      <c r="AM62" s="487"/>
      <c r="AN62" s="488" t="str">
        <f>IF(AH63=AH64,"résultat",IF(AH63&gt;AH64,AG63,AG64))</f>
        <v/>
      </c>
      <c r="AO62" s="504">
        <v>0</v>
      </c>
      <c r="AP62" s="557"/>
      <c r="AQ62" s="848"/>
      <c r="AR62" s="824"/>
      <c r="AS62" s="517"/>
      <c r="AT62" s="530" t="str">
        <f>IF(AI62+AI63=0," ",IF(AI62+AI63=43,"&amp;",(IF($AI$62+AI63=42,IF(AO61=AO62,"résultat",IF(AO61&lt;AO62,AN61,AN62)),IF($AI62+AI63=32,IF(AO61=AO62,"résultat",IF(AO61&lt;AO62,AN61,AN62)))))))</f>
        <v xml:space="preserve"> </v>
      </c>
      <c r="AU62" s="481">
        <v>1</v>
      </c>
      <c r="AV62" s="526"/>
      <c r="AW62" s="540">
        <v>2</v>
      </c>
      <c r="AX62" s="545"/>
      <c r="AY62" s="520" t="str">
        <f>IF(AI62+AI63=0," ",IF($AI62+$AI63=43,IF(AO61=AO62,"résultat",IF(AO61&lt;AO62,AN61,AN62)),(IF($AI62+$AI63=42,IF($AU62=$AU63,"résultat",IF($AU62&gt;$AU63,$AT62,$AT63)),(IF($AI62+$AI63=32,IF($AU62=$AU63,"résultat",IF($AU62&gt;$AU63,$AT62,$AT63))))))))</f>
        <v xml:space="preserve"> </v>
      </c>
      <c r="AZ62" s="3"/>
      <c r="BA62" s="560"/>
      <c r="BB62" s="560"/>
      <c r="BC62" s="698" t="s">
        <v>228</v>
      </c>
      <c r="BD62" s="698"/>
      <c r="BE62" s="698"/>
      <c r="BF62" s="698"/>
      <c r="BG62" s="695" t="s">
        <v>223</v>
      </c>
      <c r="BH62" s="696"/>
      <c r="BI62" s="696"/>
      <c r="BJ62" s="696"/>
      <c r="BK62" s="696"/>
      <c r="BL62" s="696"/>
      <c r="BM62" s="696"/>
      <c r="BN62" s="696"/>
      <c r="BO62" s="697"/>
      <c r="BP62" s="648" t="s">
        <v>309</v>
      </c>
      <c r="BQ62" s="692" t="s">
        <v>210</v>
      </c>
      <c r="BR62" s="692"/>
      <c r="BS62" s="693"/>
      <c r="BT62" s="826">
        <v>14</v>
      </c>
      <c r="BU62" s="611"/>
      <c r="BV62" s="868" t="str">
        <f>IF(OR(D18&lt;27),"OFFICE",IF(AND(J10&gt;360,J10&lt;370),AY43,IF(AND(J10&gt;370,J10&lt;530),AY46,IF(AND(J10&gt;530,J10&lt;650),AY61))))</f>
        <v>OFFICE</v>
      </c>
      <c r="BW62" s="869"/>
      <c r="BX62" s="870"/>
      <c r="BY62" s="586">
        <v>0</v>
      </c>
      <c r="CA62" s="526"/>
      <c r="CB62" s="636"/>
      <c r="CC62" s="536"/>
      <c r="CD62" s="536"/>
      <c r="CE62" s="536"/>
      <c r="CH62" s="290"/>
      <c r="CI62" s="565"/>
      <c r="CK62" s="290"/>
      <c r="CN62" s="290"/>
      <c r="CP62" s="290"/>
      <c r="CQ62" s="565"/>
      <c r="CZ62" s="290"/>
      <c r="DB62" s="290"/>
      <c r="DF62"/>
      <c r="DL62"/>
      <c r="DN62"/>
      <c r="DU62"/>
      <c r="DY62"/>
      <c r="EC62"/>
    </row>
    <row r="63" spans="1:133" ht="21.95" customHeight="1" thickBot="1">
      <c r="A63" s="54"/>
      <c r="B63" s="54"/>
      <c r="C63" s="54"/>
      <c r="D63" s="54"/>
      <c r="E63" s="297"/>
      <c r="F63" s="297"/>
      <c r="G63" s="297"/>
      <c r="H63" s="297"/>
      <c r="I63" s="54"/>
      <c r="J63" s="54"/>
      <c r="K63" s="346"/>
      <c r="L63" s="346"/>
      <c r="M63" s="346"/>
      <c r="N63" s="346"/>
      <c r="O63" s="54"/>
      <c r="P63" s="54"/>
      <c r="Q63" s="54"/>
      <c r="R63" s="54"/>
      <c r="S63" s="54"/>
      <c r="T63" s="54"/>
      <c r="U63" s="54"/>
      <c r="V63" s="54"/>
      <c r="W63" s="338">
        <v>55</v>
      </c>
      <c r="X63" s="335"/>
      <c r="Y63" s="335" t="s">
        <v>128</v>
      </c>
      <c r="Z63" s="1"/>
      <c r="AA63" s="291">
        <v>55</v>
      </c>
      <c r="AB63" s="54"/>
      <c r="AC63" s="295">
        <f>IF(OR(AND(J10&gt;530,J10&lt;540)),53,IF(OR(AND($J$10&gt;540,$J$10&lt;550)),54,IF(OR(AND($J$10&gt;550,$J$10&lt;570)),55,IF(OR(AND($J$10&gt;570,$J$10&lt;580)),54,IF(OR(AND($J$10&gt;580,$J$10&lt;650)),55,0)))))</f>
        <v>0</v>
      </c>
      <c r="AD63" s="706"/>
      <c r="AE63" s="710" t="str">
        <f>IF(OR(AND(J10&gt;330,J10&lt;530))," ",IF(OR(AND(J10&gt;530,J10&lt;540))," ",IF(OR(AND($J$7&gt;540,J10&lt;590))," ",IF(OR(AND(J10&gt;560,$J$10&lt;570)),28,IF(OR(AND(J10&gt;590,$J$10&lt;610)),28,IF(OR(AND(J10&gt;610,J10&lt;620))," ",IF(OR(AND(J10&gt;620,J10&lt;650)),28," ")))))))</f>
        <v xml:space="preserve"> </v>
      </c>
      <c r="AF63" s="303" t="s">
        <v>57</v>
      </c>
      <c r="AG63" s="345" t="str">
        <f>IF(ISNA(MATCH(AC63,$AA$9:$AA$72,0)),"",INDEX($Y$9:$Y$70,MATCH(AC63,$AA$9:$AA$72,0)))</f>
        <v/>
      </c>
      <c r="AH63" s="489">
        <v>1</v>
      </c>
      <c r="AJ63" s="486"/>
      <c r="AK63" s="845"/>
      <c r="AL63" s="824">
        <v>31</v>
      </c>
      <c r="AM63" s="497"/>
      <c r="AN63" s="491" t="str">
        <f>IF(AH61=AH62,"résultat",IF(AH61&lt;AH62,AG61,AG62))</f>
        <v/>
      </c>
      <c r="AO63" s="505">
        <v>1</v>
      </c>
      <c r="AP63" s="557"/>
      <c r="AQ63" s="848"/>
      <c r="AR63" s="825"/>
      <c r="AS63" s="521"/>
      <c r="AT63" s="546" t="str">
        <f>IF(AI62+AI63=0," ",IF(AI62+AI63=43,"&amp;",IF(AI62+AI63=42,IF(AO63=AO64,"résultat",IF(AO63&lt;AO64,AN63,AN64)),(IF(AI62+AI63=32,IF(AO63=AO64,"résultat",IF(AO63&gt;AO64,AN63,AN64)))))))</f>
        <v xml:space="preserve"> </v>
      </c>
      <c r="AU63" s="485">
        <v>0</v>
      </c>
      <c r="AV63" s="526"/>
      <c r="AW63" s="543">
        <v>3</v>
      </c>
      <c r="AX63" s="545"/>
      <c r="AY63" s="310" t="str">
        <f>IF(AI62+AI63=0," ",IF($AI30+$AI31=43,IF(AO63=AO64,"résultat",IF(AO63&gt;AO64,AN63,AN64)),(IF($AI30+$AI31=42," ",(IF(AI62+AI63=32," "))))))</f>
        <v xml:space="preserve"> </v>
      </c>
      <c r="AZ63" s="3"/>
      <c r="BA63" s="560"/>
      <c r="BB63" s="560"/>
      <c r="BC63" s="699" t="s">
        <v>213</v>
      </c>
      <c r="BD63" s="699"/>
      <c r="BE63" s="699"/>
      <c r="BF63" s="699"/>
      <c r="BG63" s="699"/>
      <c r="BH63" s="699"/>
      <c r="BI63" s="699"/>
      <c r="BJ63" s="699"/>
      <c r="BK63" s="699"/>
      <c r="BL63" s="699"/>
      <c r="BM63" s="699"/>
      <c r="BN63" s="699"/>
      <c r="BO63" s="699"/>
      <c r="BP63" s="699"/>
      <c r="BQ63" s="699"/>
      <c r="BR63" s="699"/>
      <c r="BS63" s="700"/>
      <c r="BT63" s="827"/>
      <c r="BU63" s="615"/>
      <c r="BV63" s="831" t="str">
        <f>IF(AND(J10&gt;330,J10&lt;650),AY34,0)</f>
        <v>C7</v>
      </c>
      <c r="BW63" s="832"/>
      <c r="BX63" s="833"/>
      <c r="BY63" s="589">
        <v>1</v>
      </c>
      <c r="CA63" s="526"/>
      <c r="CB63" s="634"/>
      <c r="CC63" s="536"/>
      <c r="CD63" s="536"/>
      <c r="CE63" s="536"/>
      <c r="CH63" s="290"/>
      <c r="CI63" s="565"/>
      <c r="CK63" s="290"/>
      <c r="CN63" s="290"/>
      <c r="CP63" s="290"/>
      <c r="CQ63" s="565"/>
      <c r="CZ63" s="290"/>
      <c r="DB63" s="290"/>
      <c r="DF63"/>
      <c r="DL63"/>
      <c r="DN63"/>
      <c r="DU63"/>
      <c r="DY63"/>
      <c r="EC63"/>
    </row>
    <row r="64" spans="1:133" ht="21.95" customHeight="1" thickBot="1">
      <c r="A64" s="54"/>
      <c r="B64" s="54"/>
      <c r="C64" s="54"/>
      <c r="D64" s="54"/>
      <c r="E64" s="297"/>
      <c r="F64" s="297"/>
      <c r="G64" s="297"/>
      <c r="H64" s="297"/>
      <c r="I64" s="346"/>
      <c r="J64" s="346"/>
      <c r="K64" s="54"/>
      <c r="L64" s="54"/>
      <c r="M64" s="54"/>
      <c r="N64" s="54"/>
      <c r="O64" s="346"/>
      <c r="P64" s="346"/>
      <c r="Q64" s="346"/>
      <c r="R64" s="346"/>
      <c r="S64" s="346"/>
      <c r="T64" s="346"/>
      <c r="U64" s="346"/>
      <c r="V64" s="54"/>
      <c r="W64" s="291">
        <v>56</v>
      </c>
      <c r="X64" s="292"/>
      <c r="Y64" s="292" t="s">
        <v>129</v>
      </c>
      <c r="Z64" s="1"/>
      <c r="AA64" s="291">
        <v>56</v>
      </c>
      <c r="AB64" s="54"/>
      <c r="AC64" s="342">
        <f>IF(OR(AND($J$10&gt;560,$J$10&lt;570)),56,IF(OR(AND($J$10&gt;590,$J$10&lt;610)),56,IF(OR(AND($J$10&gt;620,$J$10&lt;650)),56,0)))</f>
        <v>0</v>
      </c>
      <c r="AD64" s="707"/>
      <c r="AE64" s="709"/>
      <c r="AF64" s="296" t="str">
        <f>IF(AG64="Office"," ","D")</f>
        <v xml:space="preserve"> </v>
      </c>
      <c r="AG64" s="310" t="str">
        <f>IF(ISNA(MATCH(AC64,$AA$9:$AA$72,0)),"OFFICE",INDEX($Y$9:$Y$70,MATCH(AC64,$AA$9:$AA$72,0)))</f>
        <v>OFFICE</v>
      </c>
      <c r="AH64" s="492">
        <v>0</v>
      </c>
      <c r="AJ64" s="493"/>
      <c r="AK64" s="846"/>
      <c r="AL64" s="849"/>
      <c r="AM64" s="498"/>
      <c r="AN64" s="495" t="str">
        <f>IF(AH63=AH64,"résultat",IF(AH63&lt;AH64,AG63,AG64))</f>
        <v>OFFICE</v>
      </c>
      <c r="AO64" s="506">
        <v>0</v>
      </c>
      <c r="AP64" s="558"/>
      <c r="AQ64" s="849"/>
      <c r="AR64" s="479"/>
      <c r="AS64" s="479"/>
      <c r="AT64" s="549"/>
      <c r="AU64" s="479"/>
      <c r="AV64" s="479"/>
      <c r="AW64" s="479"/>
      <c r="AX64" s="479"/>
      <c r="AY64" s="479"/>
      <c r="AZ64" s="186"/>
      <c r="BA64" s="560"/>
      <c r="BB64" s="560"/>
      <c r="BC64" s="560"/>
      <c r="BD64" s="560"/>
      <c r="BE64" s="560"/>
      <c r="BF64" s="560"/>
      <c r="BG64" s="560"/>
      <c r="BI64" s="560"/>
      <c r="BJ64" s="560"/>
      <c r="BK64" s="560"/>
      <c r="BL64" s="560"/>
      <c r="BM64" s="560"/>
      <c r="BN64" s="560"/>
      <c r="BO64" s="560"/>
      <c r="BP64" s="560"/>
      <c r="BQ64" s="560"/>
      <c r="BR64" s="560"/>
      <c r="BS64" s="597"/>
      <c r="BT64" s="592"/>
      <c r="BU64" s="597"/>
      <c r="BV64" s="597"/>
      <c r="BW64" s="572"/>
      <c r="BX64" s="572"/>
      <c r="BY64" s="526"/>
      <c r="CA64" s="526"/>
      <c r="CB64" s="634"/>
      <c r="CC64" s="536"/>
      <c r="CD64" s="536"/>
      <c r="CE64" s="536"/>
      <c r="CH64" s="290"/>
      <c r="CI64" s="565"/>
      <c r="CK64" s="290"/>
      <c r="CN64" s="290"/>
      <c r="CP64" s="290"/>
      <c r="CQ64" s="565"/>
      <c r="CZ64" s="290"/>
      <c r="DB64" s="290"/>
      <c r="DF64"/>
      <c r="DL64"/>
      <c r="DN64"/>
      <c r="DU64"/>
      <c r="DY64"/>
      <c r="EC64"/>
    </row>
    <row r="65" spans="1:133" ht="21.95" customHeight="1" thickTop="1" thickBot="1">
      <c r="A65" s="54"/>
      <c r="B65" s="54"/>
      <c r="C65" s="54"/>
      <c r="D65" s="54"/>
      <c r="E65" s="297"/>
      <c r="F65" s="297"/>
      <c r="G65" s="297"/>
      <c r="H65" s="297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338">
        <v>57</v>
      </c>
      <c r="X65" s="335"/>
      <c r="Y65" s="335" t="s">
        <v>130</v>
      </c>
      <c r="Z65" s="339"/>
      <c r="AA65" s="291">
        <v>57</v>
      </c>
      <c r="AB65" s="54"/>
      <c r="AC65" s="295">
        <f>IF(OR(AND($J$10&gt;570,$J$10&lt;580)),55,IF(OR(AND($J$10&gt;580,$J$10&lt;590)),56,IF(OR(AND($J$10&gt;590,$J$10&lt;610)),57,IF(OR(AND($J$10&gt;610,$J$10&lt;620)),56,IF(OR(AND($J$10&gt;620,$J$10&lt;650)),57,0)))))</f>
        <v>0</v>
      </c>
      <c r="AD65" s="706" t="s">
        <v>30</v>
      </c>
      <c r="AE65" s="708" t="str">
        <f>IF(OR(AND(J10&gt;330,J10&lt;570))," ",IF(OR(AND(J10&gt;570,J10&lt;580)),27,IF(OR(AND($J$10&gt;580,J10&lt;590)),28,IF(OR(AND(J10&gt;590,$J$10&lt;610)),29,IF(OR(AND(J10&gt;610,J10&lt;620)),28,IF(OR(AND(J10&gt;620,J10&lt;650)),29," "))))))</f>
        <v xml:space="preserve"> </v>
      </c>
      <c r="AF65" s="425" t="s">
        <v>10</v>
      </c>
      <c r="AG65" s="304" t="str">
        <f>IF(ISNA(MATCH(AC65,$AA$9:$AA$72,0)),"",INDEX($Y$9:$Y$70,MATCH(AC65,$AA$9:$AA$72,0)))</f>
        <v/>
      </c>
      <c r="AH65" s="481">
        <v>1</v>
      </c>
      <c r="AJ65" s="486"/>
      <c r="AK65" s="844">
        <v>15</v>
      </c>
      <c r="AL65" s="847">
        <v>32</v>
      </c>
      <c r="AM65" s="483"/>
      <c r="AN65" s="484" t="str">
        <f>IF(AH65=AH66,"résultat",IF(AH65&gt;AH66,AG65,AG66))</f>
        <v/>
      </c>
      <c r="AO65" s="507">
        <v>1</v>
      </c>
      <c r="AP65" s="557"/>
      <c r="AQ65" s="847">
        <v>15</v>
      </c>
      <c r="AR65" s="512"/>
      <c r="AS65" s="512"/>
      <c r="AT65" s="550"/>
      <c r="AU65" s="512"/>
      <c r="AV65" s="512"/>
      <c r="AW65" s="542">
        <v>1</v>
      </c>
      <c r="AX65" s="545"/>
      <c r="AY65" s="516" t="str">
        <f>IF(AI66+AI67=0," ",IF($AI66+$AI67=43,IF($AO65=$AO66,"résultat",IF($AO65&gt;$AO66,$AN65,$AN66)),(IF($AI66+$AI67=42,IF($AO65=$AO66,"résultat",IF($AO65&gt;$AO66,$AN65,$AN66)),(IF($AI66+$AI67=32,IF($AO65=$AO66,"résultat",IF($AO65&gt;$AO66,$AN65,$AN66))))))))</f>
        <v xml:space="preserve"> </v>
      </c>
      <c r="AZ65" s="185"/>
      <c r="BA65" s="560"/>
      <c r="BB65" s="560"/>
      <c r="BC65" s="560"/>
      <c r="BD65" s="560"/>
      <c r="BE65" s="560"/>
      <c r="BF65" s="560"/>
      <c r="BG65" s="560"/>
      <c r="BI65" s="560"/>
      <c r="BJ65" s="560"/>
      <c r="BK65" s="560"/>
      <c r="BL65" s="560"/>
      <c r="BM65" s="560"/>
      <c r="BN65" s="560"/>
      <c r="BO65" s="560"/>
      <c r="BP65" s="560"/>
      <c r="BQ65" s="560"/>
      <c r="BR65" s="560"/>
      <c r="BS65" s="633"/>
      <c r="BT65" s="578"/>
      <c r="BU65" s="593"/>
      <c r="BV65" s="578"/>
      <c r="BW65" s="580" t="s">
        <v>199</v>
      </c>
      <c r="BX65" s="375"/>
      <c r="BY65" s="593"/>
      <c r="CA65" s="592"/>
      <c r="CB65" s="634"/>
      <c r="CC65" s="297"/>
      <c r="CD65" s="297"/>
      <c r="CE65" s="297"/>
      <c r="CH65" s="290"/>
      <c r="CI65" s="565"/>
      <c r="CK65" s="290"/>
      <c r="CN65" s="290"/>
      <c r="CP65" s="290"/>
      <c r="CQ65" s="565"/>
      <c r="CZ65" s="290"/>
      <c r="DB65" s="290"/>
      <c r="DF65"/>
      <c r="DL65"/>
      <c r="DN65"/>
      <c r="DU65"/>
      <c r="DY65"/>
      <c r="EC65"/>
    </row>
    <row r="66" spans="1:133" ht="21.95" customHeight="1" thickTop="1" thickBot="1">
      <c r="A66" s="54"/>
      <c r="B66" s="54"/>
      <c r="C66" s="54"/>
      <c r="D66" s="54"/>
      <c r="E66" s="297"/>
      <c r="F66" s="297"/>
      <c r="G66" s="297"/>
      <c r="H66" s="297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291">
        <v>58</v>
      </c>
      <c r="X66" s="292"/>
      <c r="Y66" s="421" t="s">
        <v>131</v>
      </c>
      <c r="Z66" s="336"/>
      <c r="AA66" s="291">
        <v>58</v>
      </c>
      <c r="AB66" s="54"/>
      <c r="AC66" s="295">
        <f>IF(OR(AND($J$10&gt;570,$J$10&lt;580)),56,IF(OR(AND($J$10&gt;580,$J$10&lt;590)),57,IF(OR(AND($J$10&gt;590,$J$10&lt;610)),58,IF(OR(AND($J$10&gt;610,$J$10&lt;620)),57,IF(OR(AND($J$10&gt;620,$J$10&lt;650)),58,0)))))</f>
        <v>0</v>
      </c>
      <c r="AD66" s="706"/>
      <c r="AE66" s="709"/>
      <c r="AF66" s="296" t="s">
        <v>11</v>
      </c>
      <c r="AG66" s="310" t="str">
        <f>IF(ISNA(MATCH(AC66,$AA$9:$AA$72,0)),"",INDEX($Y$9:$Y$70,MATCH(AC66,$AA$9:$AA$72,0)))</f>
        <v/>
      </c>
      <c r="AH66" s="485">
        <v>0</v>
      </c>
      <c r="AI66" s="563" t="str">
        <f>CONCATENATE(S17,S18)</f>
        <v>00</v>
      </c>
      <c r="AJ66" s="486"/>
      <c r="AK66" s="845"/>
      <c r="AL66" s="825"/>
      <c r="AM66" s="487"/>
      <c r="AN66" s="488" t="str">
        <f>IF(AH67=AH68,"résultat",IF(AH67&gt;AH68,AG67,AG68))</f>
        <v/>
      </c>
      <c r="AO66" s="504">
        <v>0</v>
      </c>
      <c r="AP66" s="557"/>
      <c r="AQ66" s="848"/>
      <c r="AR66" s="824"/>
      <c r="AS66" s="517"/>
      <c r="AT66" s="530" t="str">
        <f>IF(AI66+AI67=0," ",IF(AI66+AI67=43,"&amp;",(IF($AI$66+AI67=42,IF(AO65=AO66,"résultat",IF(AO65&lt;AO66,AN65,AN66)),IF($AI66+AI67=32,IF(AO65=AO66,"résultat",IF(AO65&lt;AO66,AN65,AN66)))))))</f>
        <v xml:space="preserve"> </v>
      </c>
      <c r="AU66" s="481">
        <v>1</v>
      </c>
      <c r="AV66" s="526"/>
      <c r="AW66" s="540">
        <v>2</v>
      </c>
      <c r="AX66" s="545"/>
      <c r="AY66" s="520" t="str">
        <f>IF(AI66+AI67=0," ",IF($AI66+$AI67=43,IF(AO65=AO66,"résultat",IF(AO65&lt;AO66,AN65,AN66)),(IF($AI66+$AI67=42,IF($AU66=$AU67,"résultat",IF($AU66&gt;$AU67,$AT66,$AT67)),(IF($AI66+$AI67=32,IF($AU66=$AU67,"résultat",IF($AU66&gt;$AU67,$AT66,$AT67))))))))</f>
        <v xml:space="preserve"> </v>
      </c>
      <c r="AZ66" s="3"/>
      <c r="BA66" s="560"/>
      <c r="BB66" s="560"/>
      <c r="BC66" s="698" t="s">
        <v>224</v>
      </c>
      <c r="BD66" s="698"/>
      <c r="BE66" s="698"/>
      <c r="BF66" s="698"/>
      <c r="BG66" s="698"/>
      <c r="BH66" s="698"/>
      <c r="BI66" s="698"/>
      <c r="BJ66" s="698"/>
      <c r="BK66" s="698"/>
      <c r="BL66" s="694" t="s">
        <v>309</v>
      </c>
      <c r="BM66" s="694"/>
      <c r="BN66" s="692" t="s">
        <v>210</v>
      </c>
      <c r="BO66" s="692"/>
      <c r="BP66" s="692"/>
      <c r="BQ66" s="692"/>
      <c r="BR66" s="692"/>
      <c r="BS66" s="693"/>
      <c r="BT66" s="826">
        <v>15</v>
      </c>
      <c r="BU66" s="600"/>
      <c r="BV66" s="868" t="str">
        <f>IF(OR(D18&lt;29),"OFFICE",IF(AND(J10&gt;390,J10&lt;410),AY43,IF(AND(J10&gt;410,J10&lt;650),AY49)))</f>
        <v>OFFICE</v>
      </c>
      <c r="BW66" s="869"/>
      <c r="BX66" s="870"/>
      <c r="BY66" s="586">
        <v>0</v>
      </c>
      <c r="CA66" s="526"/>
      <c r="CB66" s="636"/>
      <c r="CC66" s="536"/>
      <c r="CD66" s="536"/>
      <c r="CE66" s="536"/>
      <c r="CH66" s="290"/>
      <c r="CI66" s="565"/>
      <c r="CK66" s="290"/>
      <c r="CN66" s="290"/>
      <c r="CP66" s="290"/>
      <c r="CQ66" s="565"/>
      <c r="CZ66" s="290"/>
      <c r="DB66" s="290"/>
      <c r="DF66"/>
      <c r="DL66"/>
      <c r="DN66"/>
      <c r="DU66"/>
      <c r="DY66"/>
      <c r="EC66"/>
    </row>
    <row r="67" spans="1:133" ht="21.95" customHeight="1" thickBot="1">
      <c r="A67" s="54"/>
      <c r="B67" s="54"/>
      <c r="C67" s="54"/>
      <c r="D67" s="54"/>
      <c r="E67" s="297"/>
      <c r="F67" s="297"/>
      <c r="G67" s="297"/>
      <c r="H67" s="297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346"/>
      <c r="W67" s="338">
        <v>59</v>
      </c>
      <c r="X67" s="335"/>
      <c r="Y67" s="292" t="s">
        <v>132</v>
      </c>
      <c r="Z67" s="1"/>
      <c r="AA67" s="291">
        <v>59</v>
      </c>
      <c r="AB67" s="54"/>
      <c r="AC67" s="295">
        <f>IF(OR(AND(J10&gt;570,J10&lt;580)),57,IF(OR(AND($J$10&gt;580,$J$10&lt;590)),58,IF(OR(AND($J$10&gt;590,$J$10&lt;610)),59,IF(OR(AND($J$10&gt;610,$J$10&lt;620)),58,IF(OR(AND($J$10&gt;620,$J$10&lt;650)),59,0)))))</f>
        <v>0</v>
      </c>
      <c r="AD67" s="706"/>
      <c r="AE67" s="710" t="str">
        <f>IF(OR(AND(J10&gt;170,J10&lt;590))," ",IF(OR(AND(J10&gt;570,J10&lt;580))," ",IF(OR(AND($J$10&gt;590,J10&lt;600))," ",IF(OR(AND(J10&gt;600,$J$10&lt;610)),30,IF(OR(AND(J10&gt;610,J10&lt;630))," ",IF(OR(AND(J10&gt;630,J10&lt;650)),30," "))))))</f>
        <v xml:space="preserve"> </v>
      </c>
      <c r="AF67" s="303" t="s">
        <v>57</v>
      </c>
      <c r="AG67" s="345" t="str">
        <f>IF(ISNA(MATCH(AC67,$AA$9:$AA$72,0)),"",INDEX($Y$9:$Y$70,MATCH(AC67,$AA$9:$AA$72,0)))</f>
        <v/>
      </c>
      <c r="AH67" s="489">
        <v>1</v>
      </c>
      <c r="AJ67" s="486"/>
      <c r="AK67" s="845"/>
      <c r="AL67" s="824">
        <v>33</v>
      </c>
      <c r="AM67" s="497"/>
      <c r="AN67" s="491" t="str">
        <f>IF(AH65=AH66,"résultat",IF(AH65&lt;AH66,AG65,AG66))</f>
        <v/>
      </c>
      <c r="AO67" s="505">
        <v>1</v>
      </c>
      <c r="AP67" s="557"/>
      <c r="AQ67" s="848"/>
      <c r="AR67" s="825"/>
      <c r="AS67" s="521"/>
      <c r="AT67" s="546" t="str">
        <f>IF(AI66+AI67=0," ",IF(AI66+AI67=43,"&amp;",IF(AI66+AI67=42,IF(AO67=AO68,"résultat",IF(AO67&lt;AO68,AN67,AN68)),(IF(AI66+AI67=32,IF(AO67=AO68,"résultat",IF(AO67&gt;AO68,AN67,AN68)))))))</f>
        <v xml:space="preserve"> </v>
      </c>
      <c r="AU67" s="485">
        <v>0</v>
      </c>
      <c r="AV67" s="526"/>
      <c r="AW67" s="543">
        <v>3</v>
      </c>
      <c r="AX67" s="545"/>
      <c r="AY67" s="310" t="str">
        <f>IF(AI66+AI67=0," ",IF($AI34+$AI35=43,IF(AO67=AO68,"résultat",IF(AO67&gt;AO68,AN67,AN68)),(IF($AI34+$AI35=42," ",(IF(AI66+AI67=32," "))))))</f>
        <v xml:space="preserve"> </v>
      </c>
      <c r="AZ67" s="3"/>
      <c r="BA67" s="560"/>
      <c r="BB67" s="560"/>
      <c r="BC67" s="699" t="s">
        <v>235</v>
      </c>
      <c r="BD67" s="699"/>
      <c r="BE67" s="699"/>
      <c r="BF67" s="699"/>
      <c r="BG67" s="699"/>
      <c r="BH67" s="699"/>
      <c r="BI67" s="699"/>
      <c r="BJ67" s="699"/>
      <c r="BK67" s="699"/>
      <c r="BL67" s="699"/>
      <c r="BM67" s="699"/>
      <c r="BN67" s="699"/>
      <c r="BO67" s="699"/>
      <c r="BP67" s="699"/>
      <c r="BQ67" s="699"/>
      <c r="BR67" s="699"/>
      <c r="BS67" s="700"/>
      <c r="BT67" s="827"/>
      <c r="BU67" s="602"/>
      <c r="BV67" s="831" t="str">
        <f>IF(AND(J10&gt;330,J10&lt;650),AY38,0)</f>
        <v>C8</v>
      </c>
      <c r="BW67" s="832"/>
      <c r="BX67" s="833"/>
      <c r="BY67" s="589">
        <v>1</v>
      </c>
      <c r="CA67" s="526"/>
      <c r="CB67" s="634"/>
      <c r="CC67" s="536"/>
      <c r="CD67" s="536"/>
      <c r="CE67" s="536"/>
      <c r="CH67" s="290"/>
      <c r="CI67" s="565"/>
      <c r="CK67" s="290"/>
      <c r="CN67" s="290"/>
      <c r="CP67" s="290"/>
      <c r="CQ67" s="565"/>
      <c r="CZ67" s="290"/>
      <c r="DB67" s="290"/>
      <c r="DF67"/>
      <c r="DL67"/>
      <c r="DN67"/>
      <c r="DU67"/>
      <c r="DY67"/>
      <c r="EC67"/>
    </row>
    <row r="68" spans="1:133" ht="21.95" customHeight="1" thickBot="1">
      <c r="A68" s="347"/>
      <c r="B68" s="346"/>
      <c r="C68" s="346"/>
      <c r="D68" s="54"/>
      <c r="E68" s="297"/>
      <c r="F68" s="297"/>
      <c r="G68" s="297"/>
      <c r="H68" s="297"/>
      <c r="I68" s="54"/>
      <c r="J68" s="54"/>
      <c r="O68" s="54"/>
      <c r="P68" s="54"/>
      <c r="Q68" s="54"/>
      <c r="R68" s="54"/>
      <c r="S68" s="54"/>
      <c r="T68" s="54"/>
      <c r="U68" s="54"/>
      <c r="V68" s="54"/>
      <c r="W68" s="291">
        <v>60</v>
      </c>
      <c r="X68" s="292"/>
      <c r="Y68" s="335" t="s">
        <v>133</v>
      </c>
      <c r="Z68" s="54"/>
      <c r="AA68" s="291">
        <v>60</v>
      </c>
      <c r="AB68" s="54"/>
      <c r="AC68" s="342">
        <f>IF(OR(AND($J$10&gt;600,$J$10&lt;610)),60,IF(OR(AND($J$10&gt;630,$J$10&lt;650)),60,IF(OR(AND($J$7&gt;0,$J$7&lt;0)),0,IF(OR(AND($J$7&gt;0,$J$7&lt;0)),0,0))))</f>
        <v>0</v>
      </c>
      <c r="AD68" s="707"/>
      <c r="AE68" s="709"/>
      <c r="AF68" s="296" t="str">
        <f>IF(AG68="Office"," ","D")</f>
        <v xml:space="preserve"> </v>
      </c>
      <c r="AG68" s="310" t="str">
        <f>IF(ISNA(MATCH(AC68,$AA$9:$AA$72,0)),"OFFICE",INDEX($Y$9:$Y$70,MATCH(AC68,$AA$9:$AA$72,0)))</f>
        <v>OFFICE</v>
      </c>
      <c r="AH68" s="492">
        <v>0</v>
      </c>
      <c r="AJ68" s="493"/>
      <c r="AK68" s="846"/>
      <c r="AL68" s="849"/>
      <c r="AM68" s="498"/>
      <c r="AN68" s="495" t="str">
        <f>IF(AH67=AH68,"résultat",IF(AH67&lt;AH68,AG67,AG68))</f>
        <v>OFFICE</v>
      </c>
      <c r="AO68" s="506">
        <v>0</v>
      </c>
      <c r="AP68" s="558"/>
      <c r="AQ68" s="849"/>
      <c r="AR68" s="479"/>
      <c r="AS68" s="479"/>
      <c r="AT68" s="549"/>
      <c r="AU68" s="479"/>
      <c r="AV68" s="479"/>
      <c r="AW68" s="479"/>
      <c r="AX68" s="479"/>
      <c r="AY68" s="479"/>
      <c r="AZ68" s="186"/>
      <c r="BA68" s="560"/>
      <c r="BB68" s="560"/>
      <c r="BC68" s="560"/>
      <c r="BD68" s="560"/>
      <c r="BE68" s="560"/>
      <c r="BF68" s="560"/>
      <c r="BG68" s="560"/>
      <c r="BI68" s="560"/>
      <c r="BJ68" s="560"/>
      <c r="BK68" s="560"/>
      <c r="BL68" s="560"/>
      <c r="BM68" s="560"/>
      <c r="BN68" s="560"/>
      <c r="BO68" s="560"/>
      <c r="BP68" s="560"/>
      <c r="BQ68" s="560"/>
      <c r="BR68" s="560"/>
      <c r="BS68" s="597"/>
      <c r="BT68" s="592"/>
      <c r="BU68" s="597"/>
      <c r="BV68" s="597"/>
      <c r="BW68" s="572"/>
      <c r="BX68" s="572"/>
      <c r="BY68" s="526"/>
      <c r="CA68" s="526"/>
      <c r="CB68" s="634"/>
      <c r="CC68" s="536"/>
      <c r="CD68" s="536"/>
      <c r="CE68" s="536"/>
      <c r="CH68" s="290"/>
      <c r="CI68" s="565"/>
      <c r="CK68" s="290"/>
      <c r="CN68" s="290"/>
      <c r="CP68" s="290"/>
      <c r="CQ68" s="565"/>
      <c r="CZ68" s="290"/>
      <c r="DB68" s="290"/>
      <c r="DF68"/>
      <c r="DL68"/>
      <c r="DN68"/>
      <c r="DU68"/>
      <c r="DY68"/>
      <c r="EC68"/>
    </row>
    <row r="69" spans="1:133" ht="21.95" customHeight="1" thickTop="1" thickBot="1">
      <c r="V69" s="54"/>
      <c r="W69" s="338">
        <v>61</v>
      </c>
      <c r="X69" s="335"/>
      <c r="Y69" s="292" t="s">
        <v>134</v>
      </c>
      <c r="Z69" s="339"/>
      <c r="AA69" s="291">
        <v>61</v>
      </c>
      <c r="AB69" s="54"/>
      <c r="AC69" s="343">
        <f>IF(OR(AND($J$10&gt;610,$J$10&lt;620)),59,IF(OR(AND($J$10&gt;620,$J$10&lt;630)),60,IF(OR(AND($J$10&gt;630,$J$10&lt;650)),61,0)))</f>
        <v>0</v>
      </c>
      <c r="AD69" s="711" t="s">
        <v>31</v>
      </c>
      <c r="AE69" s="710" t="str">
        <f>IF(OR(AND(J10&gt;330,J10&lt;600))," ",IF(OR(AND(J10&gt;610,J10&lt;620)),29,IF(OR(AND($J$10&gt;620,J10&lt;630)),30,IF(OR(AND(J10&gt;630,$J$10&lt;650)),31," "))))</f>
        <v xml:space="preserve"> </v>
      </c>
      <c r="AF69" s="303" t="s">
        <v>10</v>
      </c>
      <c r="AG69" s="304" t="str">
        <f>IF(ISNA(MATCH(AC69,$AA$9:$AA$72,0)),"",INDEX($Y$9:$Y$70,MATCH(AC69,$AA$9:$AA$72,0)))</f>
        <v/>
      </c>
      <c r="AH69" s="481">
        <v>1</v>
      </c>
      <c r="AJ69" s="486"/>
      <c r="AK69" s="844">
        <v>16</v>
      </c>
      <c r="AL69" s="847">
        <v>1</v>
      </c>
      <c r="AM69" s="483"/>
      <c r="AN69" s="484" t="str">
        <f>IF(AH69=AH70,"résultat",IF(AH69&gt;AH70,AG69,AG70))</f>
        <v/>
      </c>
      <c r="AO69" s="507">
        <v>1</v>
      </c>
      <c r="AP69" s="557"/>
      <c r="AQ69" s="847">
        <v>16</v>
      </c>
      <c r="AR69" s="512"/>
      <c r="AS69" s="512"/>
      <c r="AT69" s="550"/>
      <c r="AU69" s="512"/>
      <c r="AV69" s="512"/>
      <c r="AW69" s="542">
        <v>1</v>
      </c>
      <c r="AX69" s="545"/>
      <c r="AY69" s="516" t="str">
        <f>IF(AI70+AI71=0," ",IF($AI70+$AI71=43,IF($AO69=$AO70,"résultat",IF($AO69&gt;$AO70,$AN69,$AN70)),(IF($AI70+$AI71=42,IF($AO69=$AO70,"résultat",IF($AO69&gt;$AO70,$AN69,$AN70)),(IF($AI70+$AI71=32,IF($AO69=$AO70,"résultat",IF($AO69&gt;$AO70,$AN69,$AN70))))))))</f>
        <v xml:space="preserve"> </v>
      </c>
      <c r="AZ69" s="185"/>
      <c r="BA69" s="560"/>
      <c r="BB69" s="560"/>
      <c r="BC69" s="560"/>
      <c r="BD69" s="560"/>
      <c r="BE69" s="560"/>
      <c r="BF69" s="560"/>
      <c r="BG69" s="560"/>
      <c r="BI69" s="560"/>
      <c r="BJ69" s="560"/>
      <c r="BK69" s="560"/>
      <c r="BL69" s="560"/>
      <c r="BM69" s="560"/>
      <c r="BN69" s="560"/>
      <c r="BO69" s="560"/>
      <c r="BP69" s="560"/>
      <c r="BQ69" s="560"/>
      <c r="BR69" s="560"/>
      <c r="BS69" s="633"/>
      <c r="BT69" s="593"/>
      <c r="BU69" s="593"/>
      <c r="BV69" s="593"/>
      <c r="BW69" s="580" t="s">
        <v>65</v>
      </c>
      <c r="BX69" s="375"/>
      <c r="BY69" s="579"/>
      <c r="CA69" s="592"/>
      <c r="CB69" s="634"/>
      <c r="CC69" s="297"/>
      <c r="CD69" s="297"/>
      <c r="CE69" s="297"/>
      <c r="CH69" s="290"/>
      <c r="CI69" s="565"/>
      <c r="CK69" s="290"/>
      <c r="CN69" s="290"/>
      <c r="CP69" s="290"/>
      <c r="CQ69" s="565"/>
      <c r="CZ69" s="290"/>
      <c r="DB69" s="290"/>
      <c r="DF69"/>
      <c r="DL69"/>
      <c r="DN69"/>
      <c r="DU69"/>
      <c r="DY69"/>
      <c r="EC69"/>
    </row>
    <row r="70" spans="1:133" ht="21.95" customHeight="1" thickTop="1" thickBot="1">
      <c r="V70" s="54"/>
      <c r="W70" s="291">
        <v>62</v>
      </c>
      <c r="X70" s="292"/>
      <c r="Y70" s="462" t="s">
        <v>135</v>
      </c>
      <c r="Z70" s="336"/>
      <c r="AA70" s="291">
        <v>62</v>
      </c>
      <c r="AB70" s="54"/>
      <c r="AC70" s="295">
        <f>IF(OR(AND($J$10&gt;610,$J$10&lt;620)),60,IF(OR(AND($J$10&gt;620,$J$10&lt;630)),61,IF(OR(AND($J$10&gt;630,$J$10&lt;650)),62,IF(OR(AND($J$7&gt;0,$J$7&lt;0)),0,0))))</f>
        <v>0</v>
      </c>
      <c r="AD70" s="706"/>
      <c r="AE70" s="709"/>
      <c r="AF70" s="296" t="s">
        <v>11</v>
      </c>
      <c r="AG70" s="310" t="str">
        <f>IF(ISNA(MATCH(AC70,$AA$9:$AA$72,0)),"",INDEX($Y$9:$Y$70,MATCH(AC70,$AA$9:$AA$72,0)))</f>
        <v/>
      </c>
      <c r="AH70" s="485">
        <v>0</v>
      </c>
      <c r="AI70" s="563" t="str">
        <f>CONCATENATE(T17,T18)</f>
        <v>00</v>
      </c>
      <c r="AJ70" s="486"/>
      <c r="AK70" s="845"/>
      <c r="AL70" s="825"/>
      <c r="AM70" s="487"/>
      <c r="AN70" s="488" t="str">
        <f>IF(AH71=AH72,"résultat",IF(AH71&gt;AH72,AG71,AG72))</f>
        <v/>
      </c>
      <c r="AO70" s="504">
        <v>0</v>
      </c>
      <c r="AP70" s="557"/>
      <c r="AQ70" s="848"/>
      <c r="AR70" s="824"/>
      <c r="AS70" s="517"/>
      <c r="AT70" s="530" t="str">
        <f>IF(AI70+AI71=0," ",IF(AI70+AI71=43,"&amp;",(IF($AI70+AI71=42,IF(AO69=AO70,"résultat",IF(AO69&lt;AO70,AN69,AN70)),IF($AI70+AI71=32,IF(AO69=AO70,"résultat",IF(AO69&lt;AO70,AN69,AN70)))))))</f>
        <v xml:space="preserve"> </v>
      </c>
      <c r="AU70" s="481">
        <v>1</v>
      </c>
      <c r="AV70" s="526"/>
      <c r="AW70" s="540">
        <v>2</v>
      </c>
      <c r="AX70" s="545"/>
      <c r="AY70" s="520" t="str">
        <f>IF(AI70+AI71=0," ",IF($AI70+$AI71=43,IF(AO69=AO70,"résultat",IF(AO69&lt;AO70,AN69,AN70)),(IF($AI70+$AI71=42,IF($AU70=$AU71,"résultat",IF($AU70&gt;$AU71,$AT70,$AT71)),(IF($AI70+$AI71=32,IF($AU70=$AU71,"résultat",IF($AU70&gt;$AU71,$AT70,$AT71))))))))</f>
        <v xml:space="preserve"> </v>
      </c>
      <c r="AZ70" s="3"/>
      <c r="BA70" s="560"/>
      <c r="BB70" s="560"/>
      <c r="BC70" s="727" t="s">
        <v>226</v>
      </c>
      <c r="BD70" s="727"/>
      <c r="BE70" s="727"/>
      <c r="BF70" s="727"/>
      <c r="BG70" s="727"/>
      <c r="BH70" s="727"/>
      <c r="BI70" s="694" t="s">
        <v>309</v>
      </c>
      <c r="BJ70" s="694"/>
      <c r="BK70" s="692" t="s">
        <v>210</v>
      </c>
      <c r="BL70" s="692"/>
      <c r="BM70" s="692"/>
      <c r="BN70" s="692"/>
      <c r="BO70" s="692"/>
      <c r="BP70" s="692"/>
      <c r="BQ70" s="692"/>
      <c r="BR70" s="692"/>
      <c r="BS70" s="693"/>
      <c r="BT70" s="826">
        <v>16</v>
      </c>
      <c r="BU70" s="611"/>
      <c r="BV70" s="868" t="str">
        <f>IF(OR($D18&lt;31),"OFFICE",IF(AND(J10&gt;420,J10&lt;450),AY43,IF(AND(J10&gt;450,J10&lt;650),AY53)))</f>
        <v>OFFICE</v>
      </c>
      <c r="BW70" s="869"/>
      <c r="BX70" s="870"/>
      <c r="BY70" s="586">
        <v>0</v>
      </c>
      <c r="CA70" s="526"/>
      <c r="CB70" s="636"/>
      <c r="CC70" s="536"/>
      <c r="CD70" s="536"/>
      <c r="CE70" s="536"/>
      <c r="CH70" s="290"/>
      <c r="CI70" s="565"/>
      <c r="CK70" s="290"/>
      <c r="CN70" s="290"/>
      <c r="CP70" s="290"/>
      <c r="CQ70" s="565"/>
      <c r="CZ70" s="290"/>
      <c r="DB70" s="290"/>
      <c r="DF70"/>
      <c r="DL70"/>
      <c r="DN70"/>
      <c r="DU70"/>
      <c r="DY70"/>
      <c r="EC70"/>
    </row>
    <row r="71" spans="1:133" ht="21.95" customHeight="1" thickBot="1">
      <c r="V71" s="54"/>
      <c r="W71" s="338">
        <v>63</v>
      </c>
      <c r="X71" s="335"/>
      <c r="Z71" s="339"/>
      <c r="AA71" s="291">
        <v>63</v>
      </c>
      <c r="AB71" s="54"/>
      <c r="AC71" s="295">
        <f>IF(OR(AND($J$10&gt;610,$J$10&lt;620)),61,IF(OR(AND($J$10&gt;620,$J$10&lt;630)),62,IF(OR(AND($J$10&gt;630,$J$10&lt;650)),63,IF(OR(AND($J$7&gt;0,$J$7&lt;0)),0,0))))</f>
        <v>0</v>
      </c>
      <c r="AD71" s="706"/>
      <c r="AE71" s="710" t="str">
        <f>IF(OR(AND(J10&gt;330,J10&lt;640))," ",IF(OR(AND(J10&gt;640,J10&lt;650)),32,IF(OR(AND($J$7&gt;0,J10&lt;0)),0,0)))</f>
        <v xml:space="preserve"> </v>
      </c>
      <c r="AF71" s="303" t="s">
        <v>57</v>
      </c>
      <c r="AG71" s="345" t="str">
        <f>IF(ISNA(MATCH(AC71,$AA$9:$AA$72,0)),"",INDEX($Y$9:$Y$70,MATCH(AC71,$AA$9:$AA$72,0)))</f>
        <v/>
      </c>
      <c r="AH71" s="489">
        <v>1</v>
      </c>
      <c r="AJ71" s="486"/>
      <c r="AK71" s="845"/>
      <c r="AL71" s="824">
        <v>2</v>
      </c>
      <c r="AM71" s="497"/>
      <c r="AN71" s="491" t="str">
        <f>IF(AH69=AH70,"résultat",IF(AH69&lt;AH70,AG69,AG70))</f>
        <v/>
      </c>
      <c r="AO71" s="505">
        <v>1</v>
      </c>
      <c r="AP71" s="557"/>
      <c r="AQ71" s="848"/>
      <c r="AR71" s="825"/>
      <c r="AS71" s="521"/>
      <c r="AT71" s="546" t="str">
        <f>IF(AI70+AI71=0," ",IF(AI70+AI71=43,"&amp;",IF(AI70+AI71=42,IF(AO71=AO72,"résultat",IF(AO71&gt;AO72,AN71,AN72)),(IF(AI70+AI71=32,IF(AO71=AO72,"résultat",IF(AO71&gt;AO72,AN71,AN72)))))))</f>
        <v xml:space="preserve"> </v>
      </c>
      <c r="AU71" s="485">
        <v>0</v>
      </c>
      <c r="AV71" s="526"/>
      <c r="AW71" s="543">
        <v>3</v>
      </c>
      <c r="AX71" s="545"/>
      <c r="AY71" s="310" t="str">
        <f>IF(AI70+AI71=0," ",IF($AI38+$AI39=43,IF(AO71=AO72,"résultat",IF(AO71&gt;AO72,AN71,AN72)),(IF($AI38+$AI39=42," ",(IF(AI70+AI71=32," "))))))</f>
        <v xml:space="preserve"> </v>
      </c>
      <c r="AZ71" s="3"/>
      <c r="BA71" s="560"/>
      <c r="BB71" s="560"/>
      <c r="BC71" s="699" t="s">
        <v>222</v>
      </c>
      <c r="BD71" s="699"/>
      <c r="BE71" s="699"/>
      <c r="BF71" s="699"/>
      <c r="BG71" s="699"/>
      <c r="BH71" s="699"/>
      <c r="BI71" s="699"/>
      <c r="BJ71" s="699"/>
      <c r="BK71" s="699"/>
      <c r="BL71" s="699"/>
      <c r="BM71" s="699"/>
      <c r="BN71" s="699"/>
      <c r="BO71" s="699"/>
      <c r="BP71" s="699"/>
      <c r="BQ71" s="699"/>
      <c r="BR71" s="699"/>
      <c r="BS71" s="700"/>
      <c r="BT71" s="827"/>
      <c r="BU71" s="615"/>
      <c r="BV71" s="831" t="str">
        <f>IF(AND(J10&gt;330,J10&lt;6500),AY42,0)</f>
        <v>C9</v>
      </c>
      <c r="BW71" s="832"/>
      <c r="BX71" s="833"/>
      <c r="BY71" s="589">
        <v>1</v>
      </c>
      <c r="CA71" s="526"/>
      <c r="CB71" s="634"/>
      <c r="CC71" s="536"/>
      <c r="CD71" s="536"/>
      <c r="CE71" s="536"/>
      <c r="CH71" s="290"/>
      <c r="CI71" s="565"/>
      <c r="CK71" s="290"/>
      <c r="CN71" s="290"/>
      <c r="CP71" s="290"/>
      <c r="CQ71" s="565"/>
      <c r="CZ71" s="290"/>
      <c r="DB71" s="290"/>
      <c r="DF71"/>
      <c r="DL71"/>
      <c r="DN71"/>
      <c r="DU71"/>
      <c r="DY71"/>
      <c r="EC71"/>
    </row>
    <row r="72" spans="1:133" ht="21.95" customHeight="1" thickBot="1">
      <c r="W72" s="348">
        <v>64</v>
      </c>
      <c r="X72" s="349"/>
      <c r="Z72" s="350"/>
      <c r="AA72" s="348">
        <v>64</v>
      </c>
      <c r="AB72" s="54"/>
      <c r="AC72" s="342">
        <f>IF(OR(AND($J$10&gt;640,$J$10&lt;650)),64,0)</f>
        <v>0</v>
      </c>
      <c r="AD72" s="707"/>
      <c r="AE72" s="709"/>
      <c r="AF72" s="423" t="str">
        <f>IF(AG72="Office"," ","D")</f>
        <v xml:space="preserve"> </v>
      </c>
      <c r="AG72" s="310" t="str">
        <f>IF(ISNA(MATCH(AC72,$AA$9:$AA$72,0)),"OFFICE",INDEX($Y$9:$Y$70,MATCH(AC72,$AA$9:$AA$72,0)))</f>
        <v>OFFICE</v>
      </c>
      <c r="AH72" s="492">
        <v>0</v>
      </c>
      <c r="AJ72" s="493"/>
      <c r="AK72" s="846"/>
      <c r="AL72" s="849"/>
      <c r="AM72" s="498"/>
      <c r="AN72" s="495" t="str">
        <f>IF(AH71=AH72,"résultat",IF(AH71&lt;AH72,AG71,AG72))</f>
        <v>OFFICE</v>
      </c>
      <c r="AO72" s="506">
        <v>0</v>
      </c>
      <c r="AP72" s="558"/>
      <c r="AQ72" s="849"/>
      <c r="AR72" s="479"/>
      <c r="AS72" s="479"/>
      <c r="AT72" s="479"/>
      <c r="AU72" s="479"/>
      <c r="AV72" s="479"/>
      <c r="AW72" s="479"/>
      <c r="AX72" s="479"/>
      <c r="AY72" s="479"/>
      <c r="AZ72" s="186"/>
      <c r="BA72" s="560"/>
      <c r="BB72" s="560"/>
      <c r="BC72" s="560"/>
      <c r="BD72" s="560"/>
      <c r="BE72" s="560"/>
      <c r="BF72" s="560"/>
      <c r="BG72" s="560"/>
      <c r="BI72" s="560"/>
      <c r="BJ72" s="560"/>
      <c r="BK72" s="560"/>
      <c r="BL72" s="560"/>
      <c r="BM72" s="560"/>
      <c r="BN72" s="560"/>
      <c r="BO72" s="560"/>
      <c r="BP72" s="560"/>
      <c r="BQ72" s="560"/>
      <c r="BR72" s="560"/>
      <c r="BT72" s="536"/>
      <c r="BU72" s="536"/>
      <c r="BV72" s="526"/>
      <c r="BW72" s="536"/>
      <c r="BX72" s="536"/>
      <c r="BY72" s="536"/>
      <c r="BZ72" s="536"/>
      <c r="CB72" s="547"/>
      <c r="CE72" s="290"/>
      <c r="CG72" s="583"/>
      <c r="CH72" s="584"/>
      <c r="CI72" s="583"/>
      <c r="CJ72" s="634"/>
      <c r="CK72" s="583"/>
      <c r="CL72" s="583"/>
      <c r="CN72" s="290"/>
      <c r="CP72" s="290"/>
      <c r="CQ72" s="565"/>
      <c r="CZ72" s="290"/>
      <c r="DB72" s="290"/>
      <c r="DF72"/>
      <c r="DL72"/>
      <c r="DN72"/>
      <c r="DU72"/>
      <c r="DY72"/>
      <c r="EC72"/>
    </row>
    <row r="73" spans="1:133" ht="21.95" customHeight="1" thickTop="1">
      <c r="AU73" s="552"/>
      <c r="AV73" s="512"/>
      <c r="AW73" s="512"/>
      <c r="AX73" s="553"/>
      <c r="CD73" s="536"/>
      <c r="CG73" s="547"/>
      <c r="CH73" s="560"/>
      <c r="CJ73" s="577"/>
      <c r="CK73" s="577"/>
      <c r="CL73" s="577"/>
      <c r="CN73" s="290"/>
      <c r="CP73" s="290"/>
      <c r="CQ73" s="565"/>
      <c r="CZ73" s="578"/>
      <c r="DA73" s="577"/>
      <c r="DB73" s="577"/>
      <c r="DF73"/>
      <c r="DL73"/>
      <c r="DN73"/>
      <c r="DU73"/>
      <c r="DY73"/>
      <c r="EC73"/>
    </row>
    <row r="74" spans="1:133" ht="21.95" customHeight="1">
      <c r="BJ74" s="560"/>
      <c r="CD74" s="536"/>
      <c r="CN74" s="290"/>
      <c r="CP74" s="290"/>
      <c r="CQ74" s="565"/>
      <c r="CZ74" s="578"/>
      <c r="DA74" s="577"/>
      <c r="DB74" s="577"/>
      <c r="DF74"/>
      <c r="DL74"/>
      <c r="DN74"/>
      <c r="DU74"/>
      <c r="DY74"/>
      <c r="EC74"/>
    </row>
    <row r="75" spans="1:133" ht="21.75" customHeight="1">
      <c r="BS75" s="577"/>
      <c r="BT75" s="577"/>
      <c r="BU75" s="577"/>
      <c r="BV75" s="578"/>
      <c r="BW75" s="577"/>
      <c r="BX75" s="577"/>
      <c r="BZ75" s="577"/>
      <c r="CA75" s="578"/>
      <c r="CB75" s="577"/>
      <c r="CD75" s="645"/>
      <c r="CN75" s="290"/>
      <c r="CP75" s="290"/>
      <c r="CQ75" s="565"/>
      <c r="CZ75" s="578"/>
      <c r="DA75" s="577"/>
      <c r="DB75" s="577"/>
      <c r="DF75"/>
      <c r="DL75"/>
      <c r="DN75"/>
      <c r="DU75"/>
      <c r="DY75"/>
      <c r="EC75"/>
    </row>
    <row r="76" spans="1:133" ht="16.5" customHeight="1">
      <c r="BS76" s="577"/>
      <c r="BT76" s="577"/>
      <c r="BU76" s="577"/>
      <c r="BV76" s="578"/>
      <c r="BW76" s="577"/>
      <c r="BX76" s="577"/>
      <c r="BZ76" s="577"/>
      <c r="CA76" s="578"/>
      <c r="CB76" s="577"/>
      <c r="CD76" s="646"/>
      <c r="CN76" s="290"/>
      <c r="CP76" s="290"/>
      <c r="CQ76" s="565"/>
      <c r="CZ76" s="578"/>
      <c r="DA76" s="577"/>
      <c r="DB76" s="577"/>
      <c r="DC76" s="184"/>
      <c r="DD76" s="184"/>
      <c r="DE76" s="184"/>
      <c r="DF76" s="370"/>
      <c r="DG76" s="184"/>
      <c r="DH76" s="431"/>
      <c r="DI76" s="184"/>
      <c r="DJ76" s="184"/>
      <c r="DK76" s="184"/>
      <c r="DL76"/>
      <c r="DN76"/>
      <c r="DO76" s="280"/>
      <c r="DS76" s="280"/>
      <c r="DU76"/>
      <c r="DW76" s="280"/>
      <c r="DY76"/>
      <c r="EC76"/>
    </row>
    <row r="77" spans="1:133">
      <c r="BS77" s="577"/>
      <c r="BT77" s="577"/>
      <c r="BU77" s="577"/>
      <c r="BV77" s="578"/>
      <c r="BW77" s="577"/>
      <c r="BX77" s="577"/>
      <c r="BZ77" s="577"/>
      <c r="CA77" s="578"/>
      <c r="CB77" s="577"/>
      <c r="CD77" s="536"/>
      <c r="CE77" s="578"/>
      <c r="CF77" s="577"/>
      <c r="CG77" s="577"/>
      <c r="CH77" s="536"/>
      <c r="CI77" s="577"/>
      <c r="CJ77" s="577"/>
      <c r="CK77" s="578"/>
      <c r="CL77" s="577"/>
      <c r="CN77" s="290"/>
      <c r="CP77" s="290"/>
      <c r="CQ77" s="565"/>
      <c r="CZ77" s="578"/>
      <c r="DA77" s="577"/>
      <c r="DB77" s="577"/>
      <c r="DC77" s="184"/>
      <c r="DD77" s="184"/>
      <c r="DE77" s="184"/>
      <c r="DF77" s="370"/>
      <c r="DG77" s="184"/>
      <c r="DH77" s="184"/>
      <c r="DI77" s="184"/>
      <c r="DJ77" s="184"/>
      <c r="DK77" s="184"/>
      <c r="DL77" s="370"/>
      <c r="DM77" s="184"/>
      <c r="DN77" s="430"/>
      <c r="DO77" s="184"/>
      <c r="DP77" s="184"/>
      <c r="DQ77" s="184"/>
    </row>
    <row r="78" spans="1:133">
      <c r="BS78" s="577"/>
      <c r="BT78" s="577"/>
      <c r="BU78" s="577"/>
      <c r="BV78" s="578"/>
      <c r="BW78" s="577"/>
      <c r="BX78" s="577"/>
      <c r="BZ78" s="577"/>
      <c r="CA78" s="578"/>
      <c r="CB78" s="577"/>
      <c r="CD78" s="536"/>
      <c r="CE78" s="578"/>
      <c r="CF78" s="577"/>
      <c r="CG78" s="577"/>
      <c r="CH78" s="536"/>
      <c r="CI78" s="577"/>
      <c r="CJ78" s="577"/>
      <c r="CK78" s="578"/>
      <c r="CL78" s="577"/>
      <c r="CN78" s="290"/>
      <c r="CP78" s="290"/>
      <c r="CQ78" s="565"/>
      <c r="CZ78" s="578"/>
      <c r="DA78" s="577"/>
      <c r="DB78" s="577"/>
      <c r="DC78" s="184"/>
      <c r="DD78" s="184"/>
      <c r="DE78" s="184"/>
      <c r="DF78" s="370"/>
      <c r="DG78" s="184"/>
      <c r="DH78" s="184"/>
      <c r="DI78" s="184"/>
      <c r="DJ78" s="184"/>
      <c r="DK78" s="184"/>
      <c r="DL78" s="370"/>
      <c r="DM78" s="184"/>
      <c r="DN78" s="430"/>
      <c r="DO78" s="184"/>
      <c r="DP78" s="184"/>
      <c r="DQ78" s="184"/>
    </row>
    <row r="79" spans="1:133">
      <c r="BS79" s="577"/>
      <c r="BT79" s="577"/>
      <c r="BU79" s="577"/>
      <c r="BV79" s="578"/>
      <c r="BW79" s="577"/>
      <c r="BX79" s="577"/>
      <c r="BZ79" s="577"/>
      <c r="CA79" s="578"/>
      <c r="CB79" s="577"/>
      <c r="CD79" s="645"/>
      <c r="CE79" s="578"/>
      <c r="CF79" s="577"/>
      <c r="CG79" s="577"/>
      <c r="CH79" s="536"/>
      <c r="CI79" s="577"/>
      <c r="CJ79" s="577"/>
      <c r="CK79" s="578"/>
      <c r="CL79" s="577"/>
      <c r="CN79" s="290"/>
      <c r="CP79" s="290"/>
      <c r="CQ79" s="565"/>
      <c r="CZ79" s="578"/>
      <c r="DA79" s="577"/>
      <c r="DB79" s="577"/>
      <c r="DC79" s="184"/>
      <c r="DD79" s="184"/>
      <c r="DE79" s="184"/>
      <c r="DF79" s="370"/>
      <c r="DG79" s="184"/>
      <c r="DH79" s="184"/>
      <c r="DI79" s="184"/>
      <c r="DJ79" s="184"/>
      <c r="DK79" s="184"/>
      <c r="DL79" s="370"/>
      <c r="DM79" s="184"/>
      <c r="DN79" s="430"/>
      <c r="DO79" s="184"/>
      <c r="DP79" s="184"/>
      <c r="DQ79" s="184"/>
    </row>
    <row r="80" spans="1:133">
      <c r="CD80" s="646"/>
      <c r="CN80" s="290"/>
      <c r="CP80" s="290"/>
      <c r="CQ80" s="565"/>
      <c r="DC80" s="184"/>
      <c r="DD80" s="184"/>
      <c r="DE80" s="184"/>
      <c r="DF80" s="370"/>
      <c r="DG80" s="184"/>
      <c r="DH80" s="184"/>
      <c r="DI80" s="184"/>
      <c r="DJ80" s="184"/>
      <c r="DK80" s="184"/>
      <c r="DL80" s="370"/>
      <c r="DM80" s="184"/>
      <c r="DN80" s="430"/>
      <c r="DO80" s="184"/>
      <c r="DP80" s="184"/>
      <c r="DQ80" s="184"/>
    </row>
    <row r="81" spans="82:121">
      <c r="CD81" s="536"/>
      <c r="CN81" s="290"/>
      <c r="CP81" s="290"/>
      <c r="CQ81" s="565"/>
      <c r="DC81" s="184"/>
      <c r="DD81" s="184"/>
      <c r="DE81" s="184"/>
      <c r="DF81" s="370"/>
      <c r="DG81" s="184"/>
      <c r="DH81" s="184"/>
      <c r="DI81" s="184"/>
      <c r="DJ81" s="184"/>
      <c r="DK81" s="184"/>
      <c r="DL81" s="370"/>
      <c r="DM81" s="184"/>
      <c r="DN81" s="430"/>
      <c r="DO81" s="184"/>
      <c r="DP81" s="184"/>
      <c r="DQ81" s="184"/>
    </row>
    <row r="82" spans="82:121">
      <c r="CD82" s="536"/>
      <c r="CN82" s="290"/>
      <c r="CP82" s="290"/>
      <c r="CQ82" s="565"/>
      <c r="DC82" s="184"/>
      <c r="DD82" s="184"/>
      <c r="DE82" s="184"/>
      <c r="DF82" s="370"/>
      <c r="DG82" s="184"/>
      <c r="DH82" s="184"/>
      <c r="DI82" s="184"/>
      <c r="DJ82" s="184"/>
      <c r="DK82" s="184"/>
      <c r="DL82" s="370"/>
      <c r="DM82" s="184"/>
      <c r="DN82" s="430"/>
      <c r="DO82" s="184"/>
      <c r="DP82" s="184"/>
      <c r="DQ82" s="184"/>
    </row>
    <row r="83" spans="82:121">
      <c r="CD83" s="645"/>
      <c r="CN83" s="290"/>
      <c r="CP83" s="290"/>
      <c r="CQ83" s="565"/>
      <c r="DN83" s="430"/>
    </row>
    <row r="84" spans="82:121">
      <c r="CD84" s="646"/>
      <c r="CN84" s="290"/>
      <c r="CP84" s="290"/>
      <c r="CQ84" s="565"/>
    </row>
    <row r="85" spans="82:121">
      <c r="CD85" s="536"/>
      <c r="CN85" s="290"/>
      <c r="CP85" s="290"/>
      <c r="CQ85" s="565"/>
    </row>
    <row r="86" spans="82:121">
      <c r="CD86" s="536"/>
      <c r="CN86" s="290"/>
      <c r="CP86" s="290"/>
      <c r="CQ86" s="565"/>
    </row>
    <row r="87" spans="82:121">
      <c r="CD87" s="536"/>
      <c r="CN87" s="290"/>
      <c r="CP87" s="290"/>
      <c r="CQ87" s="565"/>
    </row>
    <row r="88" spans="82:121">
      <c r="CD88" s="544"/>
      <c r="CN88" s="290"/>
      <c r="CP88" s="290"/>
      <c r="CQ88" s="565"/>
    </row>
    <row r="89" spans="82:121">
      <c r="CD89" s="536"/>
      <c r="CN89" s="290"/>
      <c r="CP89" s="290"/>
      <c r="CQ89" s="565"/>
    </row>
    <row r="90" spans="82:121">
      <c r="CD90" s="536"/>
      <c r="CN90" s="290"/>
      <c r="CP90" s="290"/>
      <c r="CQ90" s="565"/>
      <c r="CU90" s="565"/>
    </row>
    <row r="91" spans="82:121">
      <c r="CD91" s="645"/>
      <c r="CN91" s="577"/>
      <c r="CO91" s="577"/>
      <c r="CP91" s="577"/>
      <c r="CQ91" s="577"/>
      <c r="CR91" s="577"/>
      <c r="CS91" s="647"/>
      <c r="CT91" s="578"/>
      <c r="CU91" s="577"/>
      <c r="CV91" s="577"/>
      <c r="CW91" s="577"/>
      <c r="CX91" s="577"/>
      <c r="CY91" s="647"/>
    </row>
    <row r="92" spans="82:121">
      <c r="CD92" s="646"/>
      <c r="CP92" s="577"/>
      <c r="CQ92" s="577"/>
      <c r="CR92" s="577"/>
      <c r="CS92" s="647"/>
      <c r="CT92" s="577"/>
      <c r="CU92" s="577"/>
      <c r="CV92" s="577"/>
      <c r="CW92" s="577"/>
      <c r="CX92" s="577"/>
      <c r="CY92" s="647"/>
    </row>
    <row r="93" spans="82:121">
      <c r="CD93" s="536"/>
      <c r="CP93" s="577"/>
      <c r="CQ93" s="577"/>
      <c r="CR93" s="577"/>
      <c r="CS93" s="647"/>
      <c r="CT93" s="577"/>
      <c r="CU93" s="577"/>
      <c r="CV93" s="577"/>
      <c r="CW93" s="577"/>
      <c r="CX93" s="577"/>
      <c r="CY93" s="647"/>
    </row>
    <row r="94" spans="82:121">
      <c r="CD94" s="536"/>
      <c r="CP94" s="577"/>
      <c r="CQ94" s="577"/>
      <c r="CR94" s="577"/>
      <c r="CS94" s="647"/>
      <c r="CT94" s="577"/>
      <c r="CU94" s="577"/>
      <c r="CV94" s="577"/>
      <c r="CW94" s="577"/>
      <c r="CX94" s="577"/>
      <c r="CY94" s="647"/>
    </row>
    <row r="95" spans="82:121">
      <c r="CD95" s="645"/>
      <c r="CP95" s="577"/>
      <c r="CQ95" s="577"/>
      <c r="CR95" s="577"/>
      <c r="CS95" s="647"/>
      <c r="CT95" s="577"/>
      <c r="CU95" s="577"/>
      <c r="CV95" s="577"/>
      <c r="CW95" s="577"/>
      <c r="CX95" s="577"/>
      <c r="CY95" s="647"/>
    </row>
    <row r="96" spans="82:121">
      <c r="CD96" s="646"/>
      <c r="CP96" s="577"/>
      <c r="CQ96" s="577"/>
      <c r="CR96" s="577"/>
      <c r="CS96" s="647"/>
      <c r="CT96" s="577"/>
      <c r="CU96" s="577"/>
      <c r="CV96" s="577"/>
      <c r="CW96" s="577"/>
      <c r="CX96" s="577"/>
      <c r="CY96" s="647"/>
    </row>
    <row r="97" spans="63:103">
      <c r="CD97" s="536"/>
      <c r="CP97" s="577"/>
      <c r="CQ97" s="577"/>
      <c r="CR97" s="577"/>
      <c r="CS97" s="647"/>
      <c r="CT97" s="577"/>
      <c r="CU97" s="577"/>
      <c r="CV97" s="577"/>
      <c r="CW97" s="577"/>
      <c r="CX97" s="577"/>
      <c r="CY97" s="647"/>
    </row>
    <row r="98" spans="63:103">
      <c r="CD98" s="536"/>
    </row>
    <row r="99" spans="63:103">
      <c r="CD99" s="645"/>
    </row>
    <row r="100" spans="63:103">
      <c r="CD100" s="646"/>
    </row>
    <row r="101" spans="63:103">
      <c r="CD101" s="536"/>
    </row>
    <row r="102" spans="63:103">
      <c r="CD102" s="536"/>
    </row>
    <row r="103" spans="63:103">
      <c r="CD103" s="536"/>
    </row>
    <row r="107" spans="63:103">
      <c r="BK107" s="577"/>
      <c r="BL107" s="526"/>
      <c r="BM107" s="526"/>
      <c r="BN107" s="526"/>
      <c r="BO107" s="526"/>
      <c r="BP107" s="526"/>
      <c r="BQ107" s="526"/>
      <c r="BR107" s="526"/>
    </row>
    <row r="108" spans="63:103">
      <c r="BK108" s="577"/>
      <c r="BL108" s="526"/>
      <c r="BM108" s="526"/>
      <c r="BN108" s="526"/>
      <c r="BO108" s="526"/>
      <c r="BP108" s="526"/>
      <c r="BQ108" s="526"/>
      <c r="BR108" s="526"/>
      <c r="CD108" s="577"/>
    </row>
    <row r="109" spans="63:103">
      <c r="BK109" s="577"/>
      <c r="BL109" s="526"/>
      <c r="BM109" s="526"/>
      <c r="BN109" s="526"/>
      <c r="BO109" s="526"/>
      <c r="BP109" s="526"/>
      <c r="BQ109" s="526"/>
      <c r="BR109" s="526"/>
      <c r="CD109" s="577"/>
    </row>
    <row r="110" spans="63:103">
      <c r="BK110" s="577"/>
      <c r="BL110" s="526"/>
      <c r="BM110" s="526"/>
      <c r="BN110" s="526"/>
      <c r="BO110" s="526"/>
      <c r="BP110" s="526"/>
      <c r="BQ110" s="526"/>
      <c r="BR110" s="526"/>
      <c r="CD110" s="577"/>
    </row>
    <row r="111" spans="63:103">
      <c r="BK111" s="577"/>
      <c r="BL111" s="526"/>
      <c r="BM111" s="526"/>
      <c r="BN111" s="526"/>
      <c r="BO111" s="526"/>
      <c r="BP111" s="526"/>
      <c r="BQ111" s="526"/>
      <c r="BR111" s="526"/>
    </row>
  </sheetData>
  <sheetProtection password="CFC3" sheet="1" objects="1" scenarios="1" formatCells="0" formatColumns="0" formatRows="0" insertColumns="0" insertRows="0" insertHyperlinks="0" deleteColumns="0" deleteRows="0" sort="0"/>
  <mergeCells count="325">
    <mergeCell ref="H3:I3"/>
    <mergeCell ref="J3:L3"/>
    <mergeCell ref="A3:B3"/>
    <mergeCell ref="CZ15:DB15"/>
    <mergeCell ref="CN52:CN53"/>
    <mergeCell ref="BT18:BT19"/>
    <mergeCell ref="CI20:CK20"/>
    <mergeCell ref="CT52:CT53"/>
    <mergeCell ref="CT34:CX34"/>
    <mergeCell ref="AL19:AL20"/>
    <mergeCell ref="CB14:CB15"/>
    <mergeCell ref="CB34:CB35"/>
    <mergeCell ref="BV14:BX14"/>
    <mergeCell ref="CC10:CE10"/>
    <mergeCell ref="CC11:CE11"/>
    <mergeCell ref="CC15:CE15"/>
    <mergeCell ref="CC19:CE19"/>
    <mergeCell ref="CC23:CE23"/>
    <mergeCell ref="CC14:CE14"/>
    <mergeCell ref="CC18:CE18"/>
    <mergeCell ref="CC26:CE26"/>
    <mergeCell ref="CC27:CE27"/>
    <mergeCell ref="CC30:CE30"/>
    <mergeCell ref="CC31:CE31"/>
    <mergeCell ref="CC34:CE34"/>
    <mergeCell ref="CC22:CE22"/>
    <mergeCell ref="BT58:BT59"/>
    <mergeCell ref="CB30:CB31"/>
    <mergeCell ref="CB26:CB27"/>
    <mergeCell ref="AL33:AL34"/>
    <mergeCell ref="BV47:BX47"/>
    <mergeCell ref="AQ29:AQ32"/>
    <mergeCell ref="AR58:AR59"/>
    <mergeCell ref="BV58:BX58"/>
    <mergeCell ref="BV59:BX59"/>
    <mergeCell ref="CB38:CB39"/>
    <mergeCell ref="BC55:BS55"/>
    <mergeCell ref="AL53:AL54"/>
    <mergeCell ref="BV51:BX51"/>
    <mergeCell ref="BV22:BX22"/>
    <mergeCell ref="BV23:BX23"/>
    <mergeCell ref="BV30:BX30"/>
    <mergeCell ref="BT30:BT31"/>
    <mergeCell ref="AR26:AR27"/>
    <mergeCell ref="BV34:BX34"/>
    <mergeCell ref="BV35:BX35"/>
    <mergeCell ref="BV27:BX27"/>
    <mergeCell ref="AK65:AK68"/>
    <mergeCell ref="AQ33:AQ36"/>
    <mergeCell ref="AQ21:AQ24"/>
    <mergeCell ref="BT10:BT11"/>
    <mergeCell ref="AR42:AR43"/>
    <mergeCell ref="AR46:AR47"/>
    <mergeCell ref="AR50:AR51"/>
    <mergeCell ref="AR54:AR55"/>
    <mergeCell ref="BT70:BT71"/>
    <mergeCell ref="AL39:AL40"/>
    <mergeCell ref="AL69:AL70"/>
    <mergeCell ref="AQ37:AQ40"/>
    <mergeCell ref="BT62:BT63"/>
    <mergeCell ref="AK69:AK72"/>
    <mergeCell ref="AR66:AR67"/>
    <mergeCell ref="AR70:AR71"/>
    <mergeCell ref="AQ13:AQ16"/>
    <mergeCell ref="AQ17:AQ20"/>
    <mergeCell ref="AR18:AR19"/>
    <mergeCell ref="AL17:AL18"/>
    <mergeCell ref="AK49:AK52"/>
    <mergeCell ref="AK53:AK56"/>
    <mergeCell ref="AK57:AK60"/>
    <mergeCell ref="AK61:AK64"/>
    <mergeCell ref="AL63:AL64"/>
    <mergeCell ref="AR34:AR35"/>
    <mergeCell ref="AL27:AL28"/>
    <mergeCell ref="AQ57:AQ60"/>
    <mergeCell ref="AQ61:AQ64"/>
    <mergeCell ref="AQ65:AQ68"/>
    <mergeCell ref="AQ69:AQ72"/>
    <mergeCell ref="AL71:AL72"/>
    <mergeCell ref="AL37:AL38"/>
    <mergeCell ref="AR38:AR39"/>
    <mergeCell ref="AQ45:AQ48"/>
    <mergeCell ref="AL41:AL42"/>
    <mergeCell ref="AR30:AR31"/>
    <mergeCell ref="AL31:AL32"/>
    <mergeCell ref="AL35:AL36"/>
    <mergeCell ref="AL55:AL56"/>
    <mergeCell ref="AL65:AL66"/>
    <mergeCell ref="AL67:AL68"/>
    <mergeCell ref="AL57:AL58"/>
    <mergeCell ref="AL59:AL60"/>
    <mergeCell ref="AL61:AL62"/>
    <mergeCell ref="AL29:AL30"/>
    <mergeCell ref="AQ53:AQ56"/>
    <mergeCell ref="AQ25:AQ28"/>
    <mergeCell ref="BT66:BT67"/>
    <mergeCell ref="BV70:BX70"/>
    <mergeCell ref="CC38:CE38"/>
    <mergeCell ref="CC39:CE39"/>
    <mergeCell ref="BV71:BX71"/>
    <mergeCell ref="BV42:BX42"/>
    <mergeCell ref="BV43:BX43"/>
    <mergeCell ref="BV18:BX18"/>
    <mergeCell ref="BV19:BX19"/>
    <mergeCell ref="BV54:BX54"/>
    <mergeCell ref="BV26:BX26"/>
    <mergeCell ref="BT38:BT39"/>
    <mergeCell ref="BV46:BX46"/>
    <mergeCell ref="BV38:BX38"/>
    <mergeCell ref="BV39:BX39"/>
    <mergeCell ref="CB22:CB23"/>
    <mergeCell ref="BT26:BT27"/>
    <mergeCell ref="BV66:BX66"/>
    <mergeCell ref="BT46:BT47"/>
    <mergeCell ref="BV31:BX31"/>
    <mergeCell ref="BV67:BX67"/>
    <mergeCell ref="BT54:BT55"/>
    <mergeCell ref="BV62:BX62"/>
    <mergeCell ref="BV50:BX50"/>
    <mergeCell ref="BV11:BX11"/>
    <mergeCell ref="BH19:BN19"/>
    <mergeCell ref="BE27:BR27"/>
    <mergeCell ref="BC10:BS10"/>
    <mergeCell ref="BJ11:BS11"/>
    <mergeCell ref="AQ7:AU7"/>
    <mergeCell ref="AK7:AO7"/>
    <mergeCell ref="AQ9:AQ12"/>
    <mergeCell ref="AK13:AK16"/>
    <mergeCell ref="AK17:AK20"/>
    <mergeCell ref="AK21:AK24"/>
    <mergeCell ref="BC11:BH11"/>
    <mergeCell ref="BC14:BS14"/>
    <mergeCell ref="BC15:BK15"/>
    <mergeCell ref="BC18:BS18"/>
    <mergeCell ref="BC19:BG19"/>
    <mergeCell ref="BC22:BS22"/>
    <mergeCell ref="BC23:BF23"/>
    <mergeCell ref="BC26:BS26"/>
    <mergeCell ref="BH23:BR23"/>
    <mergeCell ref="AL15:AL16"/>
    <mergeCell ref="BV15:BX15"/>
    <mergeCell ref="AK45:AK48"/>
    <mergeCell ref="AQ49:AQ52"/>
    <mergeCell ref="AR22:AR23"/>
    <mergeCell ref="AL21:AL22"/>
    <mergeCell ref="AL23:AL24"/>
    <mergeCell ref="AQ41:AQ44"/>
    <mergeCell ref="AL9:AL10"/>
    <mergeCell ref="AR10:AR11"/>
    <mergeCell ref="AL11:AL12"/>
    <mergeCell ref="AL25:AL26"/>
    <mergeCell ref="AK37:AK40"/>
    <mergeCell ref="AK33:AK36"/>
    <mergeCell ref="AK9:AK12"/>
    <mergeCell ref="AK25:AK28"/>
    <mergeCell ref="AK29:AK32"/>
    <mergeCell ref="AL43:AL44"/>
    <mergeCell ref="AK41:AK44"/>
    <mergeCell ref="AL13:AL14"/>
    <mergeCell ref="AL45:AL46"/>
    <mergeCell ref="AL47:AL48"/>
    <mergeCell ref="AL49:AL50"/>
    <mergeCell ref="AL51:AL52"/>
    <mergeCell ref="AR62:AR63"/>
    <mergeCell ref="CT7:CX7"/>
    <mergeCell ref="CT20:CT21"/>
    <mergeCell ref="BT42:BT43"/>
    <mergeCell ref="BT14:BT15"/>
    <mergeCell ref="BT50:BT51"/>
    <mergeCell ref="BT22:BT23"/>
    <mergeCell ref="CB18:CB19"/>
    <mergeCell ref="CB10:CB11"/>
    <mergeCell ref="CB7:CF7"/>
    <mergeCell ref="CH7:CL7"/>
    <mergeCell ref="CN7:CR7"/>
    <mergeCell ref="BT34:BT35"/>
    <mergeCell ref="AR14:AR15"/>
    <mergeCell ref="BV55:BX55"/>
    <mergeCell ref="BV63:BX63"/>
    <mergeCell ref="CT15:CX15"/>
    <mergeCell ref="CO46:CQ46"/>
    <mergeCell ref="CO52:CQ52"/>
    <mergeCell ref="CU20:CW20"/>
    <mergeCell ref="CU36:CW36"/>
    <mergeCell ref="CU46:CW46"/>
    <mergeCell ref="CU52:CW52"/>
    <mergeCell ref="CI28:CK28"/>
    <mergeCell ref="BU4:BW4"/>
    <mergeCell ref="CI36:CK36"/>
    <mergeCell ref="CU21:CW21"/>
    <mergeCell ref="CU37:CW37"/>
    <mergeCell ref="CU47:CW47"/>
    <mergeCell ref="CU53:CW53"/>
    <mergeCell ref="CO53:CQ53"/>
    <mergeCell ref="CO47:CQ47"/>
    <mergeCell ref="CC35:CE35"/>
    <mergeCell ref="CT44:CX44"/>
    <mergeCell ref="CT50:CX50"/>
    <mergeCell ref="CI12:CK12"/>
    <mergeCell ref="CO44:CQ44"/>
    <mergeCell ref="CI13:CK13"/>
    <mergeCell ref="CI29:CK29"/>
    <mergeCell ref="CN46:CN47"/>
    <mergeCell ref="CN24:CN25"/>
    <mergeCell ref="CN16:CN17"/>
    <mergeCell ref="CO16:CQ16"/>
    <mergeCell ref="CO17:CQ17"/>
    <mergeCell ref="CO24:CQ24"/>
    <mergeCell ref="CO25:CQ25"/>
    <mergeCell ref="BT7:BY7"/>
    <mergeCell ref="BV10:BX10"/>
    <mergeCell ref="C15:D15"/>
    <mergeCell ref="AE19:AE20"/>
    <mergeCell ref="A17:C17"/>
    <mergeCell ref="AD21:AD24"/>
    <mergeCell ref="AE21:AE22"/>
    <mergeCell ref="A18:C18"/>
    <mergeCell ref="AE23:AE24"/>
    <mergeCell ref="D3:E3"/>
    <mergeCell ref="J5:L5"/>
    <mergeCell ref="AD9:AD12"/>
    <mergeCell ref="AE9:AE10"/>
    <mergeCell ref="AE11:AE12"/>
    <mergeCell ref="P8:S8"/>
    <mergeCell ref="AE7:AH7"/>
    <mergeCell ref="A10:F10"/>
    <mergeCell ref="J10:K11"/>
    <mergeCell ref="P10:Q11"/>
    <mergeCell ref="R10:S11"/>
    <mergeCell ref="A11:F11"/>
    <mergeCell ref="O6:Q6"/>
    <mergeCell ref="AD13:AD16"/>
    <mergeCell ref="B5:C5"/>
    <mergeCell ref="D5:F5"/>
    <mergeCell ref="H5:I5"/>
    <mergeCell ref="AE31:AE32"/>
    <mergeCell ref="AD33:AD36"/>
    <mergeCell ref="AE33:AE34"/>
    <mergeCell ref="AE35:AE36"/>
    <mergeCell ref="AD37:AD40"/>
    <mergeCell ref="AE37:AE38"/>
    <mergeCell ref="AE15:AE16"/>
    <mergeCell ref="AD17:AD20"/>
    <mergeCell ref="AE17:AE18"/>
    <mergeCell ref="AX4:AZ4"/>
    <mergeCell ref="AD53:AD56"/>
    <mergeCell ref="AE53:AE54"/>
    <mergeCell ref="AE55:AE56"/>
    <mergeCell ref="AD57:AD60"/>
    <mergeCell ref="AE57:AE58"/>
    <mergeCell ref="AE59:AE60"/>
    <mergeCell ref="AD61:AD64"/>
    <mergeCell ref="AE61:AE62"/>
    <mergeCell ref="AE63:AE64"/>
    <mergeCell ref="AD41:AD44"/>
    <mergeCell ref="AE41:AE42"/>
    <mergeCell ref="AE43:AE44"/>
    <mergeCell ref="AD25:AD28"/>
    <mergeCell ref="AE25:AE26"/>
    <mergeCell ref="AE27:AE28"/>
    <mergeCell ref="AE13:AE14"/>
    <mergeCell ref="AD45:AD48"/>
    <mergeCell ref="AE45:AE46"/>
    <mergeCell ref="AE47:AE48"/>
    <mergeCell ref="AD49:AD52"/>
    <mergeCell ref="AE49:AE50"/>
    <mergeCell ref="AD29:AD32"/>
    <mergeCell ref="AE29:AE30"/>
    <mergeCell ref="BC71:BS71"/>
    <mergeCell ref="BE31:BS31"/>
    <mergeCell ref="BC27:BD27"/>
    <mergeCell ref="BC30:BS30"/>
    <mergeCell ref="BC31:BD31"/>
    <mergeCell ref="BC34:BS34"/>
    <mergeCell ref="BC35:BE35"/>
    <mergeCell ref="BC38:BS38"/>
    <mergeCell ref="BG43:BS43"/>
    <mergeCell ref="BF35:BS35"/>
    <mergeCell ref="BF39:BS39"/>
    <mergeCell ref="BI70:BJ70"/>
    <mergeCell ref="BF54:BS54"/>
    <mergeCell ref="BH47:BS47"/>
    <mergeCell ref="BE50:BS50"/>
    <mergeCell ref="BC39:BE39"/>
    <mergeCell ref="BC42:BS42"/>
    <mergeCell ref="BC43:BF43"/>
    <mergeCell ref="BC46:BS46"/>
    <mergeCell ref="BC47:BG47"/>
    <mergeCell ref="BC50:BD50"/>
    <mergeCell ref="BC51:BS51"/>
    <mergeCell ref="BC54:BE54"/>
    <mergeCell ref="BC70:BH70"/>
    <mergeCell ref="CH12:CH13"/>
    <mergeCell ref="CH20:CH21"/>
    <mergeCell ref="CH28:CH29"/>
    <mergeCell ref="CH36:CH37"/>
    <mergeCell ref="CI21:CK21"/>
    <mergeCell ref="CI37:CK37"/>
    <mergeCell ref="CT46:CT47"/>
    <mergeCell ref="CT36:CT37"/>
    <mergeCell ref="CN42:CX42"/>
    <mergeCell ref="F1:L1"/>
    <mergeCell ref="A1:E1"/>
    <mergeCell ref="BN66:BS66"/>
    <mergeCell ref="BL66:BM66"/>
    <mergeCell ref="BK70:BS70"/>
    <mergeCell ref="BQ62:BS62"/>
    <mergeCell ref="BR58:BS58"/>
    <mergeCell ref="BP58:BQ58"/>
    <mergeCell ref="BG62:BO62"/>
    <mergeCell ref="BC58:BO58"/>
    <mergeCell ref="BC59:BS59"/>
    <mergeCell ref="BC62:BF62"/>
    <mergeCell ref="BC63:BS63"/>
    <mergeCell ref="B20:E20"/>
    <mergeCell ref="BM15:BS15"/>
    <mergeCell ref="BO19:BS19"/>
    <mergeCell ref="BC66:BK66"/>
    <mergeCell ref="BC67:BS67"/>
    <mergeCell ref="AD65:AD68"/>
    <mergeCell ref="AE65:AE66"/>
    <mergeCell ref="AE67:AE68"/>
    <mergeCell ref="AD69:AD72"/>
    <mergeCell ref="AE69:AE70"/>
    <mergeCell ref="AE71:AE72"/>
  </mergeCells>
  <conditionalFormatting sqref="CF10:CF11">
    <cfRule type="duplicateValues" dxfId="999" priority="1459"/>
    <cfRule type="iconSet" priority="1460">
      <iconSet>
        <cfvo type="percent" val="0"/>
        <cfvo type="percent" val="12"/>
        <cfvo type="percent" val="13"/>
      </iconSet>
    </cfRule>
  </conditionalFormatting>
  <conditionalFormatting sqref="CL12:CL15 CG16:CL16">
    <cfRule type="duplicateValues" dxfId="998" priority="1457"/>
    <cfRule type="iconSet" priority="1458">
      <iconSet>
        <cfvo type="percent" val="0"/>
        <cfvo type="percent" val="12"/>
        <cfvo type="percent" val="13"/>
      </iconSet>
    </cfRule>
  </conditionalFormatting>
  <conditionalFormatting sqref="CR16:CR20">
    <cfRule type="duplicateValues" dxfId="997" priority="1455"/>
    <cfRule type="iconSet" priority="1456">
      <iconSet>
        <cfvo type="percent" val="0"/>
        <cfvo type="percent" val="12"/>
        <cfvo type="percent" val="13"/>
      </iconSet>
    </cfRule>
  </conditionalFormatting>
  <conditionalFormatting sqref="CL20:CL21">
    <cfRule type="duplicateValues" dxfId="996" priority="1439"/>
    <cfRule type="iconSet" priority="1440">
      <iconSet>
        <cfvo type="percent" val="0"/>
        <cfvo type="percent" val="12"/>
        <cfvo type="percent" val="13"/>
      </iconSet>
    </cfRule>
  </conditionalFormatting>
  <conditionalFormatting sqref="CL28:CL29">
    <cfRule type="duplicateValues" dxfId="995" priority="1413"/>
    <cfRule type="iconSet" priority="1414">
      <iconSet>
        <cfvo type="percent" val="0"/>
        <cfvo type="percent" val="12"/>
        <cfvo type="percent" val="13"/>
      </iconSet>
    </cfRule>
  </conditionalFormatting>
  <conditionalFormatting sqref="CL36:CL37">
    <cfRule type="duplicateValues" dxfId="994" priority="1411"/>
    <cfRule type="iconSet" priority="1412">
      <iconSet>
        <cfvo type="percent" val="0"/>
        <cfvo type="percent" val="12"/>
        <cfvo type="percent" val="13"/>
      </iconSet>
    </cfRule>
  </conditionalFormatting>
  <conditionalFormatting sqref="CR24:CR29">
    <cfRule type="duplicateValues" dxfId="993" priority="1409"/>
    <cfRule type="iconSet" priority="1410">
      <iconSet>
        <cfvo type="percent" val="0"/>
        <cfvo type="percent" val="12"/>
        <cfvo type="percent" val="13"/>
      </iconSet>
    </cfRule>
  </conditionalFormatting>
  <conditionalFormatting sqref="AK41:AK42">
    <cfRule type="duplicateValues" dxfId="992" priority="1350"/>
  </conditionalFormatting>
  <conditionalFormatting sqref="AK43:AK44">
    <cfRule type="duplicateValues" dxfId="991" priority="1348"/>
    <cfRule type="duplicateValues" dxfId="990" priority="1349"/>
  </conditionalFormatting>
  <conditionalFormatting sqref="AK45:AK46">
    <cfRule type="duplicateValues" dxfId="989" priority="1347"/>
  </conditionalFormatting>
  <conditionalFormatting sqref="AK47:AK48">
    <cfRule type="duplicateValues" dxfId="988" priority="1345"/>
    <cfRule type="duplicateValues" dxfId="987" priority="1346"/>
  </conditionalFormatting>
  <conditionalFormatting sqref="AK49:AK50">
    <cfRule type="duplicateValues" dxfId="986" priority="1344"/>
  </conditionalFormatting>
  <conditionalFormatting sqref="AK51:AK52">
    <cfRule type="duplicateValues" dxfId="985" priority="1342"/>
    <cfRule type="duplicateValues" dxfId="984" priority="1343"/>
  </conditionalFormatting>
  <conditionalFormatting sqref="AK53:AK54">
    <cfRule type="duplicateValues" dxfId="983" priority="1341"/>
  </conditionalFormatting>
  <conditionalFormatting sqref="AK55:AK56">
    <cfRule type="duplicateValues" dxfId="982" priority="1339"/>
    <cfRule type="duplicateValues" dxfId="981" priority="1340"/>
  </conditionalFormatting>
  <conditionalFormatting sqref="AK57:AK58">
    <cfRule type="duplicateValues" dxfId="980" priority="1338"/>
  </conditionalFormatting>
  <conditionalFormatting sqref="AK59:AK60">
    <cfRule type="duplicateValues" dxfId="979" priority="1336"/>
    <cfRule type="duplicateValues" dxfId="978" priority="1337"/>
  </conditionalFormatting>
  <conditionalFormatting sqref="AK61:AK62">
    <cfRule type="duplicateValues" dxfId="977" priority="1335"/>
  </conditionalFormatting>
  <conditionalFormatting sqref="AK63:AK64">
    <cfRule type="duplicateValues" dxfId="976" priority="1333"/>
    <cfRule type="duplicateValues" dxfId="975" priority="1334"/>
  </conditionalFormatting>
  <conditionalFormatting sqref="AK65:AK66">
    <cfRule type="duplicateValues" dxfId="974" priority="1332"/>
  </conditionalFormatting>
  <conditionalFormatting sqref="AK67:AK68">
    <cfRule type="duplicateValues" dxfId="973" priority="1330"/>
    <cfRule type="duplicateValues" dxfId="972" priority="1331"/>
  </conditionalFormatting>
  <conditionalFormatting sqref="AK69:AK70">
    <cfRule type="duplicateValues" dxfId="971" priority="1329"/>
  </conditionalFormatting>
  <conditionalFormatting sqref="AK71:AK72">
    <cfRule type="duplicateValues" dxfId="970" priority="1327"/>
    <cfRule type="duplicateValues" dxfId="969" priority="1328"/>
  </conditionalFormatting>
  <conditionalFormatting sqref="CX20:CX29">
    <cfRule type="duplicateValues" dxfId="968" priority="1277"/>
    <cfRule type="iconSet" priority="1278">
      <iconSet>
        <cfvo type="percent" val="0"/>
        <cfvo type="percent" val="12"/>
        <cfvo type="percent" val="13"/>
      </iconSet>
    </cfRule>
  </conditionalFormatting>
  <conditionalFormatting sqref="AT42:AT43 AT46:AT47 AT50:AT51 AT54:AT55 AT58:AT59 AT62:AT63 AT66:AT67 AT70:AT71 AT10:AT11 AT14:AT15 AT18:AT19 AT22:AT23 AT26:AT27 AT30:AT31 AT34:AT35 AT38:AT39 AN9:AN72">
    <cfRule type="containsText" dxfId="967" priority="1247" operator="containsText" text="résultat">
      <formula>NOT(ISERROR(SEARCH("résultat",AN9)))</formula>
    </cfRule>
    <cfRule type="containsText" dxfId="966" priority="1250" operator="containsText" text="OFFICE">
      <formula>NOT(ISERROR(SEARCH("OFFICE",AN9)))</formula>
    </cfRule>
  </conditionalFormatting>
  <conditionalFormatting sqref="AT42:AT43 AT46:AT47 AT50:AT51 AT54:AT55 AT58:AT59 AT62:AT63 AT66:AT67 AT70:AT71 AT10:AT11 AT14:AT15 AT18:AT19 AT22:AT23 AT26:AT27 AT30:AT31 AT34:AT35 AT38:AT39 AN41:AN72">
    <cfRule type="containsText" dxfId="965" priority="1246" operator="containsText" text="résultat">
      <formula>NOT(ISERROR(SEARCH("résultat",AN10)))</formula>
    </cfRule>
  </conditionalFormatting>
  <conditionalFormatting sqref="CX36:CX37">
    <cfRule type="duplicateValues" dxfId="964" priority="1241"/>
    <cfRule type="iconSet" priority="1242">
      <iconSet>
        <cfvo type="percent" val="0"/>
        <cfvo type="percent" val="12"/>
        <cfvo type="percent" val="13"/>
      </iconSet>
    </cfRule>
  </conditionalFormatting>
  <conditionalFormatting sqref="DB18">
    <cfRule type="expression" dxfId="963" priority="553">
      <formula>(OR(CZ7+CZ8=9,CZ7+CZ8=8,CZ7+CZ8=7,CZ7+CZ8=6,CZ7+CZ8=5,CZ7+CZ8=4,CZ7+CZ8=3,CZ7+CZ8=2))</formula>
    </cfRule>
  </conditionalFormatting>
  <conditionalFormatting sqref="DB20">
    <cfRule type="expression" dxfId="962" priority="1238">
      <formula>(OR(CZ7+CZ8=9,CZ7+CZ8=8,CZ7+CZ8=7,CZ7+CZ8=6,CZ7+CZ8=5,CZ7+CZ8=4))</formula>
    </cfRule>
  </conditionalFormatting>
  <conditionalFormatting sqref="DB21">
    <cfRule type="expression" dxfId="961" priority="1237">
      <formula>(OR(CZ7+CZ8=9,CZ7+CZ8=8,CZ7+CZ8=7,CZ7+CZ8=6,CZ7+CZ8=5))</formula>
    </cfRule>
  </conditionalFormatting>
  <conditionalFormatting sqref="DB23">
    <cfRule type="expression" dxfId="960" priority="1235">
      <formula>(OR(CZ7+CZ8=9,CZ7+CZ8=8,CZ7+CZ8=7))</formula>
    </cfRule>
  </conditionalFormatting>
  <conditionalFormatting sqref="DB24">
    <cfRule type="expression" dxfId="959" priority="1234">
      <formula>(OR(CZ7+CZ8=9,CZ7+CZ8=8))</formula>
    </cfRule>
  </conditionalFormatting>
  <conditionalFormatting sqref="DB19">
    <cfRule type="expression" dxfId="958" priority="1233">
      <formula>-(OR(CZ7+CZ8=9,CZ7+CZ8=8,CZ7+CZ8=7,CZ7+CZ8=6,CZ7+CZ8=5,CZ7+CZ8=4,CZ7+CZ8=3))</formula>
    </cfRule>
  </conditionalFormatting>
  <conditionalFormatting sqref="CZ17:CZ24">
    <cfRule type="expression" dxfId="957" priority="1232">
      <formula>"SI(OU(AG3=9;AG3=8;AG3=7;AG3=6;AG3=5;AG3=4;AG3=3;AG3=2))"</formula>
    </cfRule>
  </conditionalFormatting>
  <conditionalFormatting sqref="CZ17">
    <cfRule type="expression" dxfId="956" priority="1231">
      <formula>(OR(#REF!=9,#REF!=8,#REF!=7,#REF!=6,#REF!=5,#REF!=4,#REF!=3,#REF!=2,#REF!=1))</formula>
    </cfRule>
  </conditionalFormatting>
  <conditionalFormatting sqref="CZ18">
    <cfRule type="expression" dxfId="955" priority="1230">
      <formula>(OR(#REF!=9,#REF!=8,#REF!=7,#REF!=6,#REF!=5,#REF!=4,#REF!=3,#REF!=2))</formula>
    </cfRule>
  </conditionalFormatting>
  <conditionalFormatting sqref="CZ19">
    <cfRule type="expression" dxfId="954" priority="1229">
      <formula>(OR(#REF!=9,#REF!=8,#REF!=7,#REF!=6,#REF!=5,#REF!=4,#REF!=3))</formula>
    </cfRule>
  </conditionalFormatting>
  <conditionalFormatting sqref="CZ20">
    <cfRule type="expression" dxfId="953" priority="1228">
      <formula>(OR(#REF!=9,#REF!=8,#REF!=7,#REF!=6,#REF!=5,#REF!=4))</formula>
    </cfRule>
  </conditionalFormatting>
  <conditionalFormatting sqref="CZ21">
    <cfRule type="expression" dxfId="952" priority="1227">
      <formula>(OR(#REF!=9,#REF!=8,#REF!=7,#REF!=6,#REF!=5))</formula>
    </cfRule>
  </conditionalFormatting>
  <conditionalFormatting sqref="CZ22">
    <cfRule type="expression" dxfId="951" priority="1226">
      <formula>(OR(#REF!=9,#REF!=8,#REF!=7,#REF!=6))</formula>
    </cfRule>
  </conditionalFormatting>
  <conditionalFormatting sqref="CZ23">
    <cfRule type="expression" dxfId="950" priority="1225">
      <formula>(OR(#REF!=9,#REF!=8,#REF!=7))</formula>
    </cfRule>
  </conditionalFormatting>
  <conditionalFormatting sqref="CZ24">
    <cfRule type="expression" dxfId="949" priority="1224">
      <formula>(OR(#REF!=9,#REF!=8))</formula>
    </cfRule>
  </conditionalFormatting>
  <conditionalFormatting sqref="CZ17">
    <cfRule type="expression" dxfId="948" priority="1215">
      <formula>(OR(#REF!=9,#REF!=8,#REF!=7,#REF!=6,#REF!=5,#REF!=4,#REF!=3,#REF!=2,#REF!=1))</formula>
    </cfRule>
  </conditionalFormatting>
  <conditionalFormatting sqref="CZ18">
    <cfRule type="expression" dxfId="947" priority="1214">
      <formula>(OR(#REF!=9,#REF!=8,#REF!=7,#REF!=6,#REF!=5,#REF!=4,#REF!=3,#REF!=2))</formula>
    </cfRule>
  </conditionalFormatting>
  <conditionalFormatting sqref="CZ19">
    <cfRule type="expression" dxfId="946" priority="1213">
      <formula>(OR(#REF!=9,#REF!=8,#REF!=7,#REF!=6,#REF!=5,#REF!=4,#REF!=3))</formula>
    </cfRule>
  </conditionalFormatting>
  <conditionalFormatting sqref="CZ20">
    <cfRule type="expression" dxfId="945" priority="1212">
      <formula>(OR(#REF!=9,#REF!=8,#REF!=7,#REF!=6,#REF!=5,#REF!=4))</formula>
    </cfRule>
  </conditionalFormatting>
  <conditionalFormatting sqref="CZ21">
    <cfRule type="expression" dxfId="944" priority="1211">
      <formula>(OR(#REF!=9,#REF!=8,#REF!=7,#REF!=6,#REF!=5))</formula>
    </cfRule>
  </conditionalFormatting>
  <conditionalFormatting sqref="CZ22">
    <cfRule type="expression" dxfId="943" priority="1210">
      <formula>(OR(#REF!=9,#REF!=8,#REF!=7,#REF!=6))</formula>
    </cfRule>
  </conditionalFormatting>
  <conditionalFormatting sqref="AO9:AO10">
    <cfRule type="iconSet" priority="1208">
      <iconSet iconSet="3Signs">
        <cfvo type="percent" val="0"/>
        <cfvo type="percent" val="12"/>
        <cfvo type="percent" val="13" gte="0"/>
      </iconSet>
    </cfRule>
  </conditionalFormatting>
  <conditionalFormatting sqref="AO11:AO12">
    <cfRule type="iconSet" priority="1207">
      <iconSet iconSet="3Signs">
        <cfvo type="percent" val="0"/>
        <cfvo type="percent" val="12"/>
        <cfvo type="percent" val="13" gte="0"/>
      </iconSet>
    </cfRule>
  </conditionalFormatting>
  <conditionalFormatting sqref="AO13:AO14">
    <cfRule type="iconSet" priority="1206">
      <iconSet iconSet="3Signs">
        <cfvo type="percent" val="0"/>
        <cfvo type="percent" val="12"/>
        <cfvo type="percent" val="13" gte="0"/>
      </iconSet>
    </cfRule>
  </conditionalFormatting>
  <conditionalFormatting sqref="AO15:AO16">
    <cfRule type="iconSet" priority="1205">
      <iconSet iconSet="3Signs">
        <cfvo type="percent" val="0"/>
        <cfvo type="percent" val="12"/>
        <cfvo type="percent" val="13" gte="0"/>
      </iconSet>
    </cfRule>
  </conditionalFormatting>
  <conditionalFormatting sqref="AO17:AO18">
    <cfRule type="iconSet" priority="1204">
      <iconSet iconSet="3Signs">
        <cfvo type="percent" val="0"/>
        <cfvo type="percent" val="12"/>
        <cfvo type="percent" val="13" gte="0"/>
      </iconSet>
    </cfRule>
  </conditionalFormatting>
  <conditionalFormatting sqref="AO19:AO20">
    <cfRule type="iconSet" priority="1202">
      <iconSet iconSet="3Signs">
        <cfvo type="percent" val="0"/>
        <cfvo type="percent" val="12"/>
        <cfvo type="percent" val="13" gte="0"/>
      </iconSet>
    </cfRule>
  </conditionalFormatting>
  <conditionalFormatting sqref="AO21:AO22">
    <cfRule type="iconSet" priority="1201">
      <iconSet iconSet="3Signs">
        <cfvo type="percent" val="0"/>
        <cfvo type="percent" val="12"/>
        <cfvo type="percent" val="13" gte="0"/>
      </iconSet>
    </cfRule>
  </conditionalFormatting>
  <conditionalFormatting sqref="AO23:AO24">
    <cfRule type="iconSet" priority="1200">
      <iconSet iconSet="3Signs">
        <cfvo type="percent" val="0"/>
        <cfvo type="percent" val="12"/>
        <cfvo type="percent" val="13" gte="0"/>
      </iconSet>
    </cfRule>
  </conditionalFormatting>
  <conditionalFormatting sqref="AY41">
    <cfRule type="expression" dxfId="942" priority="1199" stopIfTrue="1">
      <formula>(OR(DE1048568="1",DE1048568="2",DE1048568="3"))</formula>
    </cfRule>
  </conditionalFormatting>
  <conditionalFormatting sqref="AY42">
    <cfRule type="expression" dxfId="941" priority="1197">
      <formula>(OR(DE1048568="2",DE1048568="3"))</formula>
    </cfRule>
  </conditionalFormatting>
  <conditionalFormatting sqref="AH11:AH12">
    <cfRule type="iconSet" priority="1091">
      <iconSet iconSet="3Signs">
        <cfvo type="percent" val="0"/>
        <cfvo type="percent" val="12"/>
        <cfvo type="percent" val="13" gte="0"/>
      </iconSet>
    </cfRule>
  </conditionalFormatting>
  <conditionalFormatting sqref="AY33">
    <cfRule type="expression" dxfId="940" priority="1126" stopIfTrue="1">
      <formula>(OR(CA13="1",CA13="2",CA13="3"))</formula>
    </cfRule>
  </conditionalFormatting>
  <conditionalFormatting sqref="AY34">
    <cfRule type="expression" dxfId="939" priority="1125">
      <formula>(OR(CA13="2",CA13="3"))</formula>
    </cfRule>
  </conditionalFormatting>
  <conditionalFormatting sqref="AY35">
    <cfRule type="cellIs" dxfId="938" priority="1123" operator="equal">
      <formula>0</formula>
    </cfRule>
    <cfRule type="expression" dxfId="937" priority="1124">
      <formula>(CA13="3")</formula>
    </cfRule>
    <cfRule type="notContainsBlanks" dxfId="936" priority="5835">
      <formula>LEN(TRIM(AY35))&gt;0</formula>
    </cfRule>
  </conditionalFormatting>
  <conditionalFormatting sqref="AO25:AO26">
    <cfRule type="iconSet" priority="1118">
      <iconSet iconSet="3Signs">
        <cfvo type="percent" val="0"/>
        <cfvo type="percent" val="12"/>
        <cfvo type="percent" val="23" gte="0"/>
      </iconSet>
    </cfRule>
  </conditionalFormatting>
  <conditionalFormatting sqref="AO27:AO28">
    <cfRule type="iconSet" priority="1117">
      <iconSet iconSet="3Signs">
        <cfvo type="percent" val="0"/>
        <cfvo type="percent" val="12"/>
        <cfvo type="percent" val="13" gte="0"/>
      </iconSet>
    </cfRule>
  </conditionalFormatting>
  <conditionalFormatting sqref="AO29:AO30">
    <cfRule type="iconSet" priority="1116">
      <iconSet iconSet="3Signs">
        <cfvo type="percent" val="0"/>
        <cfvo type="percent" val="12"/>
        <cfvo type="percent" val="13" gte="0"/>
      </iconSet>
    </cfRule>
  </conditionalFormatting>
  <conditionalFormatting sqref="AO31:AO32">
    <cfRule type="iconSet" priority="1115">
      <iconSet iconSet="3Signs">
        <cfvo type="percent" val="0"/>
        <cfvo type="percent" val="12"/>
        <cfvo type="percent" val="13" gte="0"/>
      </iconSet>
    </cfRule>
  </conditionalFormatting>
  <conditionalFormatting sqref="AO33:AO34">
    <cfRule type="iconSet" priority="1114">
      <iconSet iconSet="3Signs">
        <cfvo type="percent" val="0"/>
        <cfvo type="percent" val="12"/>
        <cfvo type="percent" val="13" gte="0"/>
      </iconSet>
    </cfRule>
  </conditionalFormatting>
  <conditionalFormatting sqref="AO35:AO36">
    <cfRule type="iconSet" priority="1113">
      <iconSet iconSet="3Signs">
        <cfvo type="percent" val="0"/>
        <cfvo type="percent" val="12"/>
        <cfvo type="percent" val="13" gte="0"/>
      </iconSet>
    </cfRule>
  </conditionalFormatting>
  <conditionalFormatting sqref="AO37:AO38">
    <cfRule type="iconSet" priority="1112">
      <iconSet iconSet="3Signs">
        <cfvo type="percent" val="0"/>
        <cfvo type="percent" val="12"/>
        <cfvo type="percent" val="13" gte="0"/>
      </iconSet>
    </cfRule>
  </conditionalFormatting>
  <conditionalFormatting sqref="AO39:AO40">
    <cfRule type="iconSet" priority="1111">
      <iconSet iconSet="3Signs">
        <cfvo type="percent" val="0"/>
        <cfvo type="percent" val="12"/>
        <cfvo type="percent" val="13" gte="0"/>
      </iconSet>
    </cfRule>
  </conditionalFormatting>
  <conditionalFormatting sqref="AO41:AO42">
    <cfRule type="iconSet" priority="1110">
      <iconSet iconSet="3Signs">
        <cfvo type="percent" val="0"/>
        <cfvo type="percent" val="12"/>
        <cfvo type="percent" val="13" gte="0"/>
      </iconSet>
    </cfRule>
  </conditionalFormatting>
  <conditionalFormatting sqref="AO43:AO44">
    <cfRule type="iconSet" priority="1109">
      <iconSet iconSet="3Signs">
        <cfvo type="percent" val="0"/>
        <cfvo type="percent" val="12"/>
        <cfvo type="percent" val="13" gte="0"/>
      </iconSet>
    </cfRule>
  </conditionalFormatting>
  <conditionalFormatting sqref="AO45:AO46">
    <cfRule type="iconSet" priority="1108">
      <iconSet iconSet="3Signs">
        <cfvo type="percent" val="0"/>
        <cfvo type="percent" val="12"/>
        <cfvo type="percent" val="13" gte="0"/>
      </iconSet>
    </cfRule>
  </conditionalFormatting>
  <conditionalFormatting sqref="AO47:AO48">
    <cfRule type="iconSet" priority="1107">
      <iconSet iconSet="3Signs">
        <cfvo type="percent" val="0"/>
        <cfvo type="percent" val="12"/>
        <cfvo type="percent" val="13" gte="0"/>
      </iconSet>
    </cfRule>
  </conditionalFormatting>
  <conditionalFormatting sqref="AO49:AO50">
    <cfRule type="iconSet" priority="1106">
      <iconSet iconSet="3Signs">
        <cfvo type="percent" val="0"/>
        <cfvo type="percent" val="12"/>
        <cfvo type="percent" val="13" gte="0"/>
      </iconSet>
    </cfRule>
  </conditionalFormatting>
  <conditionalFormatting sqref="AO51:AO52">
    <cfRule type="iconSet" priority="1105">
      <iconSet iconSet="3Signs">
        <cfvo type="percent" val="0"/>
        <cfvo type="percent" val="12"/>
        <cfvo type="percent" val="13" gte="0"/>
      </iconSet>
    </cfRule>
  </conditionalFormatting>
  <conditionalFormatting sqref="AO53:AO54">
    <cfRule type="iconSet" priority="1104">
      <iconSet iconSet="3Signs">
        <cfvo type="percent" val="0"/>
        <cfvo type="percent" val="12"/>
        <cfvo type="percent" val="13" gte="0"/>
      </iconSet>
    </cfRule>
  </conditionalFormatting>
  <conditionalFormatting sqref="AO55:AO56">
    <cfRule type="iconSet" priority="1103">
      <iconSet iconSet="3Signs">
        <cfvo type="percent" val="0"/>
        <cfvo type="percent" val="12"/>
        <cfvo type="percent" val="13" gte="0"/>
      </iconSet>
    </cfRule>
  </conditionalFormatting>
  <conditionalFormatting sqref="AO57:AO58">
    <cfRule type="iconSet" priority="1102">
      <iconSet iconSet="3Signs">
        <cfvo type="percent" val="0"/>
        <cfvo type="percent" val="12"/>
        <cfvo type="percent" val="13" gte="0"/>
      </iconSet>
    </cfRule>
  </conditionalFormatting>
  <conditionalFormatting sqref="AO59:AO60">
    <cfRule type="iconSet" priority="1101">
      <iconSet iconSet="3Signs">
        <cfvo type="percent" val="0"/>
        <cfvo type="percent" val="12"/>
        <cfvo type="percent" val="13" gte="0"/>
      </iconSet>
    </cfRule>
  </conditionalFormatting>
  <conditionalFormatting sqref="AO61:AO62">
    <cfRule type="iconSet" priority="1100">
      <iconSet iconSet="3Signs">
        <cfvo type="percent" val="0"/>
        <cfvo type="percent" val="12"/>
        <cfvo type="percent" val="13" gte="0"/>
      </iconSet>
    </cfRule>
  </conditionalFormatting>
  <conditionalFormatting sqref="AO63:AO64">
    <cfRule type="iconSet" priority="1099">
      <iconSet>
        <cfvo type="percent" val="0"/>
        <cfvo type="percent" val="12"/>
        <cfvo type="percent" val="13" gte="0"/>
      </iconSet>
    </cfRule>
  </conditionalFormatting>
  <conditionalFormatting sqref="AO65:AO66">
    <cfRule type="iconSet" priority="1098">
      <iconSet iconSet="3Signs">
        <cfvo type="percent" val="0"/>
        <cfvo type="percent" val="12"/>
        <cfvo type="percent" val="13" gte="0"/>
      </iconSet>
    </cfRule>
  </conditionalFormatting>
  <conditionalFormatting sqref="AO67:AO68">
    <cfRule type="iconSet" priority="1097">
      <iconSet iconSet="3Signs">
        <cfvo type="percent" val="0"/>
        <cfvo type="percent" val="12"/>
        <cfvo type="percent" val="13" gte="0"/>
      </iconSet>
    </cfRule>
  </conditionalFormatting>
  <conditionalFormatting sqref="AO69:AO70">
    <cfRule type="iconSet" priority="1095">
      <iconSet iconSet="3Signs">
        <cfvo type="percent" val="0"/>
        <cfvo type="percent" val="12"/>
        <cfvo type="percent" val="13" gte="0"/>
      </iconSet>
    </cfRule>
  </conditionalFormatting>
  <conditionalFormatting sqref="AO71:AO72">
    <cfRule type="iconSet" priority="1094">
      <iconSet iconSet="3Signs">
        <cfvo type="percent" val="0"/>
        <cfvo type="percent" val="12"/>
        <cfvo type="percent" val="13" gte="0"/>
      </iconSet>
    </cfRule>
  </conditionalFormatting>
  <conditionalFormatting sqref="AH9:AH10">
    <cfRule type="iconSet" priority="1073">
      <iconSet iconSet="3Signs">
        <cfvo type="percent" val="0"/>
        <cfvo type="percent" val="12"/>
        <cfvo type="percent" val="13" gte="0"/>
      </iconSet>
    </cfRule>
  </conditionalFormatting>
  <conditionalFormatting sqref="AH13:AH14">
    <cfRule type="iconSet" priority="1089">
      <iconSet iconSet="3Signs">
        <cfvo type="percent" val="0"/>
        <cfvo type="percent" val="12"/>
        <cfvo type="percent" val="13" gte="0"/>
      </iconSet>
    </cfRule>
  </conditionalFormatting>
  <conditionalFormatting sqref="AH15:AH16">
    <cfRule type="iconSet" priority="1088">
      <iconSet iconSet="3Signs">
        <cfvo type="percent" val="0"/>
        <cfvo type="percent" val="12"/>
        <cfvo type="percent" val="13" gte="0"/>
      </iconSet>
    </cfRule>
  </conditionalFormatting>
  <conditionalFormatting sqref="AH17:AH18">
    <cfRule type="iconSet" priority="1087">
      <iconSet iconSet="3Signs">
        <cfvo type="percent" val="0"/>
        <cfvo type="percent" val="12"/>
        <cfvo type="percent" val="13" gte="0"/>
      </iconSet>
    </cfRule>
  </conditionalFormatting>
  <conditionalFormatting sqref="AH19:AH20">
    <cfRule type="iconSet" priority="1086">
      <iconSet iconSet="3Signs">
        <cfvo type="percent" val="0"/>
        <cfvo type="percent" val="12"/>
        <cfvo type="percent" val="13" gte="0"/>
      </iconSet>
    </cfRule>
  </conditionalFormatting>
  <conditionalFormatting sqref="AH21:AH22">
    <cfRule type="iconSet" priority="1085">
      <iconSet iconSet="3Signs">
        <cfvo type="percent" val="0"/>
        <cfvo type="percent" val="12"/>
        <cfvo type="percent" val="13" gte="0"/>
      </iconSet>
    </cfRule>
  </conditionalFormatting>
  <conditionalFormatting sqref="AH23:AH24">
    <cfRule type="iconSet" priority="1083">
      <iconSet iconSet="3Signs">
        <cfvo type="percent" val="0"/>
        <cfvo type="percent" val="12"/>
        <cfvo type="percent" val="13" gte="0"/>
      </iconSet>
    </cfRule>
    <cfRule type="iconSet" priority="1084">
      <iconSet iconSet="3Signs">
        <cfvo type="percent" val="0"/>
        <cfvo type="percent" val="12"/>
        <cfvo type="percent" val="13" gte="0"/>
      </iconSet>
    </cfRule>
  </conditionalFormatting>
  <conditionalFormatting sqref="AH25:AH26">
    <cfRule type="iconSet" priority="1082">
      <iconSet iconSet="3Signs">
        <cfvo type="percent" val="0"/>
        <cfvo type="percent" val="12"/>
        <cfvo type="percent" val="13" gte="0"/>
      </iconSet>
    </cfRule>
  </conditionalFormatting>
  <conditionalFormatting sqref="AH27:AH28">
    <cfRule type="iconSet" priority="1080">
      <iconSet iconSet="3Signs">
        <cfvo type="percent" val="0"/>
        <cfvo type="percent" val="12"/>
        <cfvo type="percent" val="13" gte="0"/>
      </iconSet>
    </cfRule>
    <cfRule type="iconSet" priority="1081">
      <iconSet iconSet="3Signs">
        <cfvo type="percent" val="0"/>
        <cfvo type="percent" val="12"/>
        <cfvo type="percent" val="13"/>
      </iconSet>
    </cfRule>
  </conditionalFormatting>
  <conditionalFormatting sqref="AH29:AH30">
    <cfRule type="iconSet" priority="1079">
      <iconSet iconSet="3Signs">
        <cfvo type="percent" val="0"/>
        <cfvo type="percent" val="12"/>
        <cfvo type="percent" val="13" gte="0"/>
      </iconSet>
    </cfRule>
  </conditionalFormatting>
  <conditionalFormatting sqref="AH31:AH32">
    <cfRule type="iconSet" priority="1078">
      <iconSet iconSet="3Signs">
        <cfvo type="percent" val="0"/>
        <cfvo type="percent" val="12"/>
        <cfvo type="percent" val="13" gte="0"/>
      </iconSet>
    </cfRule>
  </conditionalFormatting>
  <conditionalFormatting sqref="AH33:AH34">
    <cfRule type="iconSet" priority="1077">
      <iconSet iconSet="3Signs">
        <cfvo type="percent" val="0"/>
        <cfvo type="percent" val="12"/>
        <cfvo type="percent" val="13" gte="0"/>
      </iconSet>
    </cfRule>
  </conditionalFormatting>
  <conditionalFormatting sqref="AH35:AH36">
    <cfRule type="iconSet" priority="1076">
      <iconSet iconSet="3Signs">
        <cfvo type="percent" val="0"/>
        <cfvo type="percent" val="12"/>
        <cfvo type="percent" val="13" gte="0"/>
      </iconSet>
    </cfRule>
  </conditionalFormatting>
  <conditionalFormatting sqref="AH37:AH38">
    <cfRule type="iconSet" priority="1075">
      <iconSet>
        <cfvo type="percent" val="0"/>
        <cfvo type="percent" val="12"/>
        <cfvo type="percent" val="13" gte="0"/>
      </iconSet>
    </cfRule>
  </conditionalFormatting>
  <conditionalFormatting sqref="AH39:AH40">
    <cfRule type="iconSet" priority="1074">
      <iconSet iconSet="3Signs">
        <cfvo type="percent" val="0"/>
        <cfvo type="percent" val="12"/>
        <cfvo type="percent" val="13" gte="0"/>
      </iconSet>
    </cfRule>
  </conditionalFormatting>
  <conditionalFormatting sqref="AH41:AH42">
    <cfRule type="iconSet" priority="1072">
      <iconSet iconSet="3Signs">
        <cfvo type="percent" val="0"/>
        <cfvo type="percent" val="12"/>
        <cfvo type="percent" val="13" gte="0"/>
      </iconSet>
    </cfRule>
  </conditionalFormatting>
  <conditionalFormatting sqref="AH43:AH44">
    <cfRule type="iconSet" priority="1071">
      <iconSet iconSet="3Signs">
        <cfvo type="percent" val="0"/>
        <cfvo type="percent" val="12"/>
        <cfvo type="percent" val="13" gte="0"/>
      </iconSet>
    </cfRule>
  </conditionalFormatting>
  <conditionalFormatting sqref="AH45:AH46">
    <cfRule type="iconSet" priority="1070">
      <iconSet iconSet="3Signs">
        <cfvo type="percent" val="0"/>
        <cfvo type="percent" val="12"/>
        <cfvo type="percent" val="13" gte="0"/>
      </iconSet>
    </cfRule>
  </conditionalFormatting>
  <conditionalFormatting sqref="AH47:AH48">
    <cfRule type="iconSet" priority="1069">
      <iconSet iconSet="3Signs">
        <cfvo type="percent" val="0"/>
        <cfvo type="percent" val="12"/>
        <cfvo type="percent" val="13" gte="0"/>
      </iconSet>
    </cfRule>
  </conditionalFormatting>
  <conditionalFormatting sqref="AH49:AH50">
    <cfRule type="iconSet" priority="1068">
      <iconSet iconSet="3Signs">
        <cfvo type="percent" val="0"/>
        <cfvo type="percent" val="12"/>
        <cfvo type="percent" val="13" gte="0"/>
      </iconSet>
    </cfRule>
  </conditionalFormatting>
  <conditionalFormatting sqref="AH51:AH52">
    <cfRule type="iconSet" priority="1067">
      <iconSet iconSet="3Signs">
        <cfvo type="percent" val="0"/>
        <cfvo type="percent" val="12"/>
        <cfvo type="percent" val="13" gte="0"/>
      </iconSet>
    </cfRule>
  </conditionalFormatting>
  <conditionalFormatting sqref="AH53:AH54">
    <cfRule type="iconSet" priority="1066">
      <iconSet iconSet="3Signs">
        <cfvo type="percent" val="0"/>
        <cfvo type="percent" val="12"/>
        <cfvo type="percent" val="13" gte="0"/>
      </iconSet>
    </cfRule>
  </conditionalFormatting>
  <conditionalFormatting sqref="AH55:AH56">
    <cfRule type="iconSet" priority="1065">
      <iconSet iconSet="3Signs">
        <cfvo type="percent" val="0"/>
        <cfvo type="percent" val="12"/>
        <cfvo type="percent" val="13" gte="0"/>
      </iconSet>
    </cfRule>
  </conditionalFormatting>
  <conditionalFormatting sqref="AH57:AH58">
    <cfRule type="iconSet" priority="1064">
      <iconSet iconSet="3Signs">
        <cfvo type="percent" val="0"/>
        <cfvo type="percent" val="12"/>
        <cfvo type="percent" val="13" gte="0"/>
      </iconSet>
    </cfRule>
  </conditionalFormatting>
  <conditionalFormatting sqref="AH59:AH60">
    <cfRule type="iconSet" priority="1063">
      <iconSet iconSet="3Signs">
        <cfvo type="percent" val="0"/>
        <cfvo type="percent" val="12"/>
        <cfvo type="percent" val="13" gte="0"/>
      </iconSet>
    </cfRule>
  </conditionalFormatting>
  <conditionalFormatting sqref="AH61:AH62">
    <cfRule type="iconSet" priority="1062">
      <iconSet iconSet="3Signs">
        <cfvo type="percent" val="0"/>
        <cfvo type="percent" val="12"/>
        <cfvo type="percent" val="13" gte="0"/>
      </iconSet>
    </cfRule>
  </conditionalFormatting>
  <conditionalFormatting sqref="AH63:AH64">
    <cfRule type="iconSet" priority="1060">
      <iconSet iconSet="3Signs">
        <cfvo type="percent" val="0"/>
        <cfvo type="percent" val="12"/>
        <cfvo type="percent" val="13" gte="0"/>
      </iconSet>
    </cfRule>
  </conditionalFormatting>
  <conditionalFormatting sqref="AH65:AH66">
    <cfRule type="iconSet" priority="1059">
      <iconSet iconSet="3Signs">
        <cfvo type="percent" val="0"/>
        <cfvo type="percent" val="12"/>
        <cfvo type="percent" val="13" gte="0"/>
      </iconSet>
    </cfRule>
  </conditionalFormatting>
  <conditionalFormatting sqref="AH67:AH68">
    <cfRule type="iconSet" priority="1058">
      <iconSet iconSet="3Signs">
        <cfvo type="percent" val="0"/>
        <cfvo type="percent" val="12"/>
        <cfvo type="percent" val="13" gte="0"/>
      </iconSet>
    </cfRule>
  </conditionalFormatting>
  <conditionalFormatting sqref="AH69:AH70">
    <cfRule type="iconSet" priority="1057">
      <iconSet iconSet="3Signs">
        <cfvo type="percent" val="0"/>
        <cfvo type="percent" val="12"/>
        <cfvo type="percent" val="13" gte="0"/>
      </iconSet>
    </cfRule>
  </conditionalFormatting>
  <conditionalFormatting sqref="AH71:AH72">
    <cfRule type="iconSet" priority="1056">
      <iconSet iconSet="3Signs">
        <cfvo type="percent" val="0"/>
        <cfvo type="percent" val="12"/>
        <cfvo type="percent" val="13" gte="0"/>
      </iconSet>
    </cfRule>
  </conditionalFormatting>
  <conditionalFormatting sqref="AY41">
    <cfRule type="expression" dxfId="935" priority="1026" stopIfTrue="1">
      <formula>(OR(DC1048568="1",DC1048568="2",DC1048568="3"))</formula>
    </cfRule>
  </conditionalFormatting>
  <conditionalFormatting sqref="AY42">
    <cfRule type="expression" dxfId="934" priority="1025">
      <formula>(OR(DC1048568="2",DC1048568="3"))</formula>
    </cfRule>
  </conditionalFormatting>
  <conditionalFormatting sqref="AY43">
    <cfRule type="cellIs" dxfId="933" priority="1023" operator="equal">
      <formula>0</formula>
    </cfRule>
    <cfRule type="expression" dxfId="932" priority="1024">
      <formula>(DC1048568="3")</formula>
    </cfRule>
  </conditionalFormatting>
  <conditionalFormatting sqref="AY57 AY25">
    <cfRule type="expression" dxfId="931" priority="950" stopIfTrue="1">
      <formula>(OR(#REF!="1",#REF!="2",#REF!="3"))</formula>
    </cfRule>
  </conditionalFormatting>
  <conditionalFormatting sqref="AY58 AY26">
    <cfRule type="expression" dxfId="930" priority="949">
      <formula>(OR(#REF!="2",#REF!="3"))</formula>
    </cfRule>
  </conditionalFormatting>
  <conditionalFormatting sqref="AY29">
    <cfRule type="expression" dxfId="929" priority="942" stopIfTrue="1">
      <formula>(OR(CA9="1",CA9="2",CA9="3"))</formula>
    </cfRule>
  </conditionalFormatting>
  <conditionalFormatting sqref="AY30">
    <cfRule type="expression" dxfId="928" priority="941">
      <formula>(OR(CA9="2",CA9="3"))</formula>
    </cfRule>
  </conditionalFormatting>
  <conditionalFormatting sqref="AY29">
    <cfRule type="expression" dxfId="927" priority="938" stopIfTrue="1">
      <formula>(OR(CA9="1",CA9="2",CA9="3"))</formula>
    </cfRule>
  </conditionalFormatting>
  <conditionalFormatting sqref="AY30">
    <cfRule type="expression" dxfId="926" priority="937">
      <formula>(OR(CA9="2",CA9="3"))</formula>
    </cfRule>
  </conditionalFormatting>
  <conditionalFormatting sqref="AY29">
    <cfRule type="expression" dxfId="925" priority="934" stopIfTrue="1">
      <formula>(OR(CA9="1",CA9="2",CA9="3"))</formula>
    </cfRule>
  </conditionalFormatting>
  <conditionalFormatting sqref="AY30">
    <cfRule type="expression" dxfId="924" priority="933">
      <formula>(OR(CA9="2",CA9="3"))</formula>
    </cfRule>
  </conditionalFormatting>
  <conditionalFormatting sqref="AY29">
    <cfRule type="expression" dxfId="923" priority="930" stopIfTrue="1">
      <formula>(OR(CA9="1",CA9="2",CA9="3"))</formula>
    </cfRule>
  </conditionalFormatting>
  <conditionalFormatting sqref="AY30">
    <cfRule type="expression" dxfId="922" priority="929">
      <formula>(OR(CA9="2",CA9="3"))</formula>
    </cfRule>
  </conditionalFormatting>
  <conditionalFormatting sqref="AY29">
    <cfRule type="expression" dxfId="921" priority="926" stopIfTrue="1">
      <formula>(OR(CA9="1",CA9="2",CA9="3"))</formula>
    </cfRule>
  </conditionalFormatting>
  <conditionalFormatting sqref="AY30">
    <cfRule type="expression" dxfId="920" priority="925">
      <formula>(OR(CA9="2",CA9="3"))</formula>
    </cfRule>
  </conditionalFormatting>
  <conditionalFormatting sqref="AY29">
    <cfRule type="expression" dxfId="919" priority="922" stopIfTrue="1">
      <formula>(OR(CA9="1",CA9="2",CA9="3"))</formula>
    </cfRule>
  </conditionalFormatting>
  <conditionalFormatting sqref="AY30">
    <cfRule type="expression" dxfId="918" priority="921">
      <formula>(OR(CA9="2",CA9="3"))</formula>
    </cfRule>
  </conditionalFormatting>
  <conditionalFormatting sqref="AY37">
    <cfRule type="expression" dxfId="917" priority="910" stopIfTrue="1">
      <formula>(OR(CA17="1",CA17="2",CA17="3"))</formula>
    </cfRule>
  </conditionalFormatting>
  <conditionalFormatting sqref="AY38">
    <cfRule type="expression" dxfId="916" priority="909">
      <formula>(OR(CA17="2",CA17="3"))</formula>
    </cfRule>
  </conditionalFormatting>
  <conditionalFormatting sqref="AY39">
    <cfRule type="notContainsBlanks" dxfId="915" priority="71">
      <formula>LEN(TRIM(AY39))&gt;0</formula>
    </cfRule>
    <cfRule type="cellIs" dxfId="914" priority="907" operator="equal">
      <formula>0</formula>
    </cfRule>
    <cfRule type="expression" dxfId="913" priority="908">
      <formula>(CA17="3")</formula>
    </cfRule>
  </conditionalFormatting>
  <conditionalFormatting sqref="AY37">
    <cfRule type="expression" dxfId="912" priority="906" stopIfTrue="1">
      <formula>(OR(CA17="1",CA17="2",CA17="3"))</formula>
    </cfRule>
  </conditionalFormatting>
  <conditionalFormatting sqref="AY38">
    <cfRule type="expression" dxfId="911" priority="905">
      <formula>(OR(CA17="2",CA17="3"))</formula>
    </cfRule>
  </conditionalFormatting>
  <conditionalFormatting sqref="AY39">
    <cfRule type="cellIs" dxfId="910" priority="903" operator="equal">
      <formula>0</formula>
    </cfRule>
    <cfRule type="expression" dxfId="909" priority="904">
      <formula>(CA17="3")</formula>
    </cfRule>
  </conditionalFormatting>
  <conditionalFormatting sqref="AY37">
    <cfRule type="expression" dxfId="908" priority="902" stopIfTrue="1">
      <formula>(OR(CA17="1",CA17="2",CA17="3"))</formula>
    </cfRule>
  </conditionalFormatting>
  <conditionalFormatting sqref="AY38">
    <cfRule type="expression" dxfId="907" priority="901">
      <formula>(OR(CA17="2",CA17="3"))</formula>
    </cfRule>
  </conditionalFormatting>
  <conditionalFormatting sqref="AY39">
    <cfRule type="cellIs" dxfId="906" priority="899" operator="equal">
      <formula>0</formula>
    </cfRule>
    <cfRule type="expression" dxfId="905" priority="900">
      <formula>(CA17="3")</formula>
    </cfRule>
  </conditionalFormatting>
  <conditionalFormatting sqref="AY37">
    <cfRule type="expression" dxfId="904" priority="898" stopIfTrue="1">
      <formula>(OR(CA17="1",CA17="2",CA17="3"))</formula>
    </cfRule>
  </conditionalFormatting>
  <conditionalFormatting sqref="AY38">
    <cfRule type="expression" dxfId="903" priority="897">
      <formula>(OR(CA17="2",CA17="3"))</formula>
    </cfRule>
  </conditionalFormatting>
  <conditionalFormatting sqref="AY39">
    <cfRule type="cellIs" dxfId="902" priority="895" operator="equal">
      <formula>0</formula>
    </cfRule>
    <cfRule type="expression" dxfId="901" priority="896">
      <formula>(CA17="3")</formula>
    </cfRule>
  </conditionalFormatting>
  <conditionalFormatting sqref="AY37">
    <cfRule type="expression" dxfId="900" priority="894" stopIfTrue="1">
      <formula>(OR(CA17="1",CA17="2",CA17="3"))</formula>
    </cfRule>
  </conditionalFormatting>
  <conditionalFormatting sqref="AY38">
    <cfRule type="expression" dxfId="899" priority="893">
      <formula>(OR(CA17="2",CA17="3"))</formula>
    </cfRule>
  </conditionalFormatting>
  <conditionalFormatting sqref="AY39">
    <cfRule type="cellIs" dxfId="898" priority="891" operator="equal">
      <formula>0</formula>
    </cfRule>
    <cfRule type="expression" dxfId="897" priority="892">
      <formula>(CA17="3")</formula>
    </cfRule>
  </conditionalFormatting>
  <conditionalFormatting sqref="AY37">
    <cfRule type="expression" dxfId="896" priority="890" stopIfTrue="1">
      <formula>(OR(CA17="1",CA17="2",CA17="3"))</formula>
    </cfRule>
  </conditionalFormatting>
  <conditionalFormatting sqref="AY38">
    <cfRule type="expression" dxfId="895" priority="889">
      <formula>(OR(CA17="2",CA17="3"))</formula>
    </cfRule>
  </conditionalFormatting>
  <conditionalFormatting sqref="AY39">
    <cfRule type="cellIs" dxfId="894" priority="887" operator="equal">
      <formula>0</formula>
    </cfRule>
    <cfRule type="expression" dxfId="893" priority="888">
      <formula>(CA17="3")</formula>
    </cfRule>
  </conditionalFormatting>
  <conditionalFormatting sqref="AY61">
    <cfRule type="expression" dxfId="892" priority="830" stopIfTrue="1">
      <formula>(OR(CN12="1",CN12="2",CN12="3"))</formula>
    </cfRule>
  </conditionalFormatting>
  <conditionalFormatting sqref="AY62">
    <cfRule type="expression" dxfId="891" priority="829">
      <formula>(OR(CN12="2",CN12="3"))</formula>
    </cfRule>
  </conditionalFormatting>
  <conditionalFormatting sqref="AY63">
    <cfRule type="cellIs" dxfId="890" priority="827" operator="equal">
      <formula>0</formula>
    </cfRule>
    <cfRule type="expression" dxfId="889" priority="828">
      <formula>(CN12="3")</formula>
    </cfRule>
  </conditionalFormatting>
  <conditionalFormatting sqref="AY57">
    <cfRule type="expression" dxfId="888" priority="826" stopIfTrue="1">
      <formula>(OR(#REF!="1",#REF!="2",#REF!="3"))</formula>
    </cfRule>
  </conditionalFormatting>
  <conditionalFormatting sqref="AY58">
    <cfRule type="expression" dxfId="887" priority="825">
      <formula>(OR(#REF!="2",#REF!="3"))</formula>
    </cfRule>
  </conditionalFormatting>
  <conditionalFormatting sqref="AY59">
    <cfRule type="cellIs" dxfId="886" priority="823" operator="equal">
      <formula>0</formula>
    </cfRule>
    <cfRule type="expression" dxfId="885" priority="824">
      <formula>(#REF!="3")</formula>
    </cfRule>
  </conditionalFormatting>
  <conditionalFormatting sqref="AY61">
    <cfRule type="expression" dxfId="884" priority="818" stopIfTrue="1">
      <formula>(OR(CM9="1",CM9="2",CM9="3"))</formula>
    </cfRule>
  </conditionalFormatting>
  <conditionalFormatting sqref="AY62">
    <cfRule type="expression" dxfId="883" priority="817">
      <formula>(OR(CM9="2",CM9="3"))</formula>
    </cfRule>
  </conditionalFormatting>
  <conditionalFormatting sqref="AY63">
    <cfRule type="cellIs" dxfId="882" priority="815" operator="equal">
      <formula>0</formula>
    </cfRule>
    <cfRule type="expression" dxfId="881" priority="816">
      <formula>(CM9="3")</formula>
    </cfRule>
  </conditionalFormatting>
  <conditionalFormatting sqref="AY61">
    <cfRule type="expression" dxfId="880" priority="814" stopIfTrue="1">
      <formula>(OR(CM9="1",CM9="2",CM9="3"))</formula>
    </cfRule>
  </conditionalFormatting>
  <conditionalFormatting sqref="AY62">
    <cfRule type="expression" dxfId="879" priority="813">
      <formula>(OR(CM9="2",CM9="3"))</formula>
    </cfRule>
  </conditionalFormatting>
  <conditionalFormatting sqref="AY63">
    <cfRule type="cellIs" dxfId="878" priority="811" operator="equal">
      <formula>0</formula>
    </cfRule>
    <cfRule type="expression" dxfId="877" priority="812">
      <formula>(CM9="3")</formula>
    </cfRule>
  </conditionalFormatting>
  <conditionalFormatting sqref="AY61">
    <cfRule type="expression" dxfId="876" priority="810" stopIfTrue="1">
      <formula>(OR(CM9="1",CM9="2",CM9="3"))</formula>
    </cfRule>
  </conditionalFormatting>
  <conditionalFormatting sqref="AY62">
    <cfRule type="expression" dxfId="875" priority="809">
      <formula>(OR(CM9="2",CM9="3"))</formula>
    </cfRule>
  </conditionalFormatting>
  <conditionalFormatting sqref="AY63">
    <cfRule type="cellIs" dxfId="874" priority="807" operator="equal">
      <formula>0</formula>
    </cfRule>
    <cfRule type="expression" dxfId="873" priority="808">
      <formula>(CM9="3")</formula>
    </cfRule>
  </conditionalFormatting>
  <conditionalFormatting sqref="AY61">
    <cfRule type="expression" dxfId="872" priority="806" stopIfTrue="1">
      <formula>(OR(CM9="1",CM9="2",CM9="3"))</formula>
    </cfRule>
  </conditionalFormatting>
  <conditionalFormatting sqref="AY62">
    <cfRule type="expression" dxfId="871" priority="805">
      <formula>(OR(CM9="2",CM9="3"))</formula>
    </cfRule>
  </conditionalFormatting>
  <conditionalFormatting sqref="AY63">
    <cfRule type="cellIs" dxfId="870" priority="803" operator="equal">
      <formula>0</formula>
    </cfRule>
    <cfRule type="expression" dxfId="869" priority="804">
      <formula>(CM9="3")</formula>
    </cfRule>
  </conditionalFormatting>
  <conditionalFormatting sqref="AY61">
    <cfRule type="expression" dxfId="868" priority="802" stopIfTrue="1">
      <formula>(OR(CM9="1",CM9="2",CM9="3"))</formula>
    </cfRule>
  </conditionalFormatting>
  <conditionalFormatting sqref="AY62">
    <cfRule type="expression" dxfId="867" priority="801">
      <formula>(OR(CM9="2",CM9="3"))</formula>
    </cfRule>
  </conditionalFormatting>
  <conditionalFormatting sqref="AY63">
    <cfRule type="cellIs" dxfId="866" priority="799" operator="equal">
      <formula>0</formula>
    </cfRule>
    <cfRule type="expression" dxfId="865" priority="800">
      <formula>(CM9="3")</formula>
    </cfRule>
  </conditionalFormatting>
  <conditionalFormatting sqref="AY61">
    <cfRule type="expression" dxfId="864" priority="798" stopIfTrue="1">
      <formula>(OR(CM9="1",CM9="2",CM9="3"))</formula>
    </cfRule>
  </conditionalFormatting>
  <conditionalFormatting sqref="AY62">
    <cfRule type="expression" dxfId="863" priority="797">
      <formula>(OR(CM9="2",CM9="3"))</formula>
    </cfRule>
  </conditionalFormatting>
  <conditionalFormatting sqref="AY63">
    <cfRule type="cellIs" dxfId="862" priority="795" operator="equal">
      <formula>0</formula>
    </cfRule>
    <cfRule type="expression" dxfId="861" priority="796">
      <formula>(CM9="3")</formula>
    </cfRule>
  </conditionalFormatting>
  <conditionalFormatting sqref="AY61">
    <cfRule type="expression" dxfId="860" priority="794" stopIfTrue="1">
      <formula>(OR(CN12="1",CN12="2",CN12="3"))</formula>
    </cfRule>
  </conditionalFormatting>
  <conditionalFormatting sqref="AY62">
    <cfRule type="expression" dxfId="859" priority="793">
      <formula>(OR(CN12="2",CN12="3"))</formula>
    </cfRule>
  </conditionalFormatting>
  <conditionalFormatting sqref="AY63">
    <cfRule type="cellIs" dxfId="858" priority="791" operator="equal">
      <formula>0</formula>
    </cfRule>
    <cfRule type="expression" dxfId="857" priority="792">
      <formula>(CN12="3")</formula>
    </cfRule>
  </conditionalFormatting>
  <conditionalFormatting sqref="AY61">
    <cfRule type="expression" dxfId="856" priority="790" stopIfTrue="1">
      <formula>(OR(CM9="1",CM9="2",CM9="3"))</formula>
    </cfRule>
  </conditionalFormatting>
  <conditionalFormatting sqref="AY62">
    <cfRule type="expression" dxfId="855" priority="789">
      <formula>(OR(CM9="2",CM9="3"))</formula>
    </cfRule>
  </conditionalFormatting>
  <conditionalFormatting sqref="AY63">
    <cfRule type="cellIs" dxfId="854" priority="787" operator="equal">
      <formula>0</formula>
    </cfRule>
    <cfRule type="expression" dxfId="853" priority="788">
      <formula>(CM9="3")</formula>
    </cfRule>
  </conditionalFormatting>
  <conditionalFormatting sqref="AY61">
    <cfRule type="expression" dxfId="852" priority="786" stopIfTrue="1">
      <formula>(OR(CM9="1",CM9="2",CM9="3"))</formula>
    </cfRule>
  </conditionalFormatting>
  <conditionalFormatting sqref="AY62">
    <cfRule type="expression" dxfId="851" priority="785">
      <formula>(OR(CM9="2",CM9="3"))</formula>
    </cfRule>
  </conditionalFormatting>
  <conditionalFormatting sqref="AY63">
    <cfRule type="cellIs" dxfId="850" priority="783" operator="equal">
      <formula>0</formula>
    </cfRule>
    <cfRule type="expression" dxfId="849" priority="784">
      <formula>(CM9="3")</formula>
    </cfRule>
  </conditionalFormatting>
  <conditionalFormatting sqref="AY65">
    <cfRule type="expression" dxfId="848" priority="774" stopIfTrue="1">
      <formula>(OR(CN17="1",CN17="2",CN17="3"))</formula>
    </cfRule>
  </conditionalFormatting>
  <conditionalFormatting sqref="AY66">
    <cfRule type="expression" dxfId="847" priority="773">
      <formula>(OR(CN17="2",CN17="3"))</formula>
    </cfRule>
  </conditionalFormatting>
  <conditionalFormatting sqref="AY67">
    <cfRule type="cellIs" dxfId="846" priority="771" operator="equal">
      <formula>0</formula>
    </cfRule>
    <cfRule type="expression" dxfId="845" priority="772">
      <formula>(CN17="3")</formula>
    </cfRule>
  </conditionalFormatting>
  <conditionalFormatting sqref="AY65">
    <cfRule type="expression" dxfId="844" priority="770" stopIfTrue="1">
      <formula>(OR(CN17="1",CN17="2",CN17="3"))</formula>
    </cfRule>
  </conditionalFormatting>
  <conditionalFormatting sqref="AY66">
    <cfRule type="expression" dxfId="843" priority="769">
      <formula>(OR(CN17="2",CN17="3"))</formula>
    </cfRule>
  </conditionalFormatting>
  <conditionalFormatting sqref="AY67">
    <cfRule type="cellIs" dxfId="842" priority="767" operator="equal">
      <formula>0</formula>
    </cfRule>
    <cfRule type="expression" dxfId="841" priority="768">
      <formula>(CN17="3")</formula>
    </cfRule>
  </conditionalFormatting>
  <conditionalFormatting sqref="AY69">
    <cfRule type="expression" dxfId="840" priority="766" stopIfTrue="1">
      <formula>(OR(CN25="1",CN25="2",CN25="3"))</formula>
    </cfRule>
  </conditionalFormatting>
  <conditionalFormatting sqref="AY70">
    <cfRule type="expression" dxfId="839" priority="765">
      <formula>(OR(CN25="2",CN25="3"))</formula>
    </cfRule>
  </conditionalFormatting>
  <conditionalFormatting sqref="AY71">
    <cfRule type="cellIs" dxfId="838" priority="763" operator="equal">
      <formula>0</formula>
    </cfRule>
    <cfRule type="expression" dxfId="837" priority="764">
      <formula>(CN25="3")</formula>
    </cfRule>
  </conditionalFormatting>
  <conditionalFormatting sqref="AY69">
    <cfRule type="expression" dxfId="836" priority="762" stopIfTrue="1">
      <formula>(OR(CN25="1",CN25="2",CN25="3"))</formula>
    </cfRule>
  </conditionalFormatting>
  <conditionalFormatting sqref="AY70">
    <cfRule type="expression" dxfId="835" priority="761">
      <formula>(OR(CN25="2",CN25="3"))</formula>
    </cfRule>
  </conditionalFormatting>
  <conditionalFormatting sqref="AY71">
    <cfRule type="cellIs" dxfId="834" priority="759" operator="equal">
      <formula>0</formula>
    </cfRule>
    <cfRule type="expression" dxfId="833" priority="760">
      <formula>(CN25="3")</formula>
    </cfRule>
  </conditionalFormatting>
  <conditionalFormatting sqref="AY69">
    <cfRule type="expression" dxfId="832" priority="758" stopIfTrue="1">
      <formula>(OR(CN25="1",CN25="2",CN25="3"))</formula>
    </cfRule>
  </conditionalFormatting>
  <conditionalFormatting sqref="AY70">
    <cfRule type="expression" dxfId="831" priority="757">
      <formula>(OR(CN25="2",CN25="3"))</formula>
    </cfRule>
  </conditionalFormatting>
  <conditionalFormatting sqref="AY71">
    <cfRule type="cellIs" dxfId="830" priority="755" operator="equal">
      <formula>0</formula>
    </cfRule>
    <cfRule type="expression" dxfId="829" priority="756">
      <formula>(CN25="3")</formula>
    </cfRule>
  </conditionalFormatting>
  <conditionalFormatting sqref="AY69">
    <cfRule type="expression" dxfId="828" priority="754" stopIfTrue="1">
      <formula>(OR(CN25="1",CN25="2",CN25="3"))</formula>
    </cfRule>
  </conditionalFormatting>
  <conditionalFormatting sqref="AY70">
    <cfRule type="expression" dxfId="827" priority="753">
      <formula>(OR(CN25="2",CN25="3"))</formula>
    </cfRule>
  </conditionalFormatting>
  <conditionalFormatting sqref="AY71">
    <cfRule type="cellIs" dxfId="826" priority="751" operator="equal">
      <formula>0</formula>
    </cfRule>
    <cfRule type="expression" dxfId="825" priority="752">
      <formula>(CN25="3")</formula>
    </cfRule>
  </conditionalFormatting>
  <conditionalFormatting sqref="AY69">
    <cfRule type="expression" dxfId="824" priority="750" stopIfTrue="1">
      <formula>(OR(CN25="1",CN25="2",CN25="3"))</formula>
    </cfRule>
  </conditionalFormatting>
  <conditionalFormatting sqref="AY70">
    <cfRule type="expression" dxfId="823" priority="749">
      <formula>(OR(CN25="2",CN25="3"))</formula>
    </cfRule>
  </conditionalFormatting>
  <conditionalFormatting sqref="AY71">
    <cfRule type="cellIs" dxfId="822" priority="747" operator="equal">
      <formula>0</formula>
    </cfRule>
    <cfRule type="expression" dxfId="821" priority="748">
      <formula>(CN25="3")</formula>
    </cfRule>
  </conditionalFormatting>
  <conditionalFormatting sqref="AY69">
    <cfRule type="expression" dxfId="820" priority="746" stopIfTrue="1">
      <formula>(OR(CN25="1",CN25="2",CN25="3"))</formula>
    </cfRule>
  </conditionalFormatting>
  <conditionalFormatting sqref="AY70">
    <cfRule type="expression" dxfId="819" priority="745">
      <formula>(OR(CN25="2",CN25="3"))</formula>
    </cfRule>
  </conditionalFormatting>
  <conditionalFormatting sqref="AY71">
    <cfRule type="cellIs" dxfId="818" priority="743" operator="equal">
      <formula>0</formula>
    </cfRule>
    <cfRule type="expression" dxfId="817" priority="744">
      <formula>(CN25="3")</formula>
    </cfRule>
  </conditionalFormatting>
  <conditionalFormatting sqref="AY69">
    <cfRule type="expression" dxfId="816" priority="738" stopIfTrue="1">
      <formula>(OR(CN25="1",CN25="2",CN25="3"))</formula>
    </cfRule>
  </conditionalFormatting>
  <conditionalFormatting sqref="AY70">
    <cfRule type="expression" dxfId="815" priority="737">
      <formula>(OR(CN25="2",CN25="3"))</formula>
    </cfRule>
  </conditionalFormatting>
  <conditionalFormatting sqref="AY71">
    <cfRule type="cellIs" dxfId="814" priority="735" operator="equal">
      <formula>0</formula>
    </cfRule>
    <cfRule type="expression" dxfId="813" priority="736">
      <formula>(CN25="3")</formula>
    </cfRule>
  </conditionalFormatting>
  <conditionalFormatting sqref="AY69">
    <cfRule type="expression" dxfId="812" priority="734" stopIfTrue="1">
      <formula>(OR(CN25="1",CN25="2",CN25="3"))</formula>
    </cfRule>
  </conditionalFormatting>
  <conditionalFormatting sqref="AY70">
    <cfRule type="expression" dxfId="811" priority="733">
      <formula>(OR(CN25="2",CN25="3"))</formula>
    </cfRule>
  </conditionalFormatting>
  <conditionalFormatting sqref="AY71">
    <cfRule type="cellIs" dxfId="810" priority="731" operator="equal">
      <formula>0</formula>
    </cfRule>
    <cfRule type="expression" dxfId="809" priority="732">
      <formula>(CN25="3")</formula>
    </cfRule>
  </conditionalFormatting>
  <conditionalFormatting sqref="CF14:CF15">
    <cfRule type="duplicateValues" dxfId="808" priority="3097"/>
    <cfRule type="iconSet" priority="3098">
      <iconSet>
        <cfvo type="percent" val="0"/>
        <cfvo type="percent" val="12"/>
        <cfvo type="percent" val="13"/>
      </iconSet>
    </cfRule>
  </conditionalFormatting>
  <conditionalFormatting sqref="CF38:CF39">
    <cfRule type="duplicateValues" dxfId="807" priority="3099"/>
    <cfRule type="iconSet" priority="3100">
      <iconSet>
        <cfvo type="percent" val="0"/>
        <cfvo type="percent" val="12"/>
        <cfvo type="percent" val="13"/>
      </iconSet>
    </cfRule>
  </conditionalFormatting>
  <conditionalFormatting sqref="CF18:CF20">
    <cfRule type="duplicateValues" dxfId="806" priority="3179"/>
    <cfRule type="iconSet" priority="3180">
      <iconSet>
        <cfvo type="percent" val="0"/>
        <cfvo type="percent" val="12"/>
        <cfvo type="percent" val="13"/>
      </iconSet>
    </cfRule>
  </conditionalFormatting>
  <conditionalFormatting sqref="CF22:CF24">
    <cfRule type="duplicateValues" dxfId="805" priority="3181"/>
    <cfRule type="iconSet" priority="3182">
      <iconSet>
        <cfvo type="percent" val="0"/>
        <cfvo type="percent" val="12"/>
        <cfvo type="percent" val="13"/>
      </iconSet>
    </cfRule>
  </conditionalFormatting>
  <conditionalFormatting sqref="CF26:CF28">
    <cfRule type="duplicateValues" dxfId="804" priority="3183"/>
    <cfRule type="iconSet" priority="3184">
      <iconSet>
        <cfvo type="percent" val="0"/>
        <cfvo type="percent" val="12"/>
        <cfvo type="percent" val="13"/>
      </iconSet>
    </cfRule>
  </conditionalFormatting>
  <conditionalFormatting sqref="CF30:CF32">
    <cfRule type="duplicateValues" dxfId="803" priority="3185"/>
    <cfRule type="iconSet" priority="3186">
      <iconSet>
        <cfvo type="percent" val="0"/>
        <cfvo type="percent" val="12"/>
        <cfvo type="percent" val="13"/>
      </iconSet>
    </cfRule>
  </conditionalFormatting>
  <conditionalFormatting sqref="CF34:CF36">
    <cfRule type="duplicateValues" dxfId="802" priority="3187"/>
    <cfRule type="iconSet" priority="3188">
      <iconSet>
        <cfvo type="percent" val="0"/>
        <cfvo type="percent" val="12"/>
        <cfvo type="percent" val="13"/>
      </iconSet>
    </cfRule>
  </conditionalFormatting>
  <conditionalFormatting sqref="AY45 AY13 AY17 AY49 AY53 AY57 AY61 AY65 AY69">
    <cfRule type="expression" dxfId="801" priority="3189" stopIfTrue="1">
      <formula>(OR(#REF!="1",#REF!="2",#REF!="3"))</formula>
    </cfRule>
  </conditionalFormatting>
  <conditionalFormatting sqref="AY46 AY14 AY18 AY50 AY54 AY58 AY62 AY66 AY70">
    <cfRule type="expression" dxfId="800" priority="3191">
      <formula>(OR(#REF!="2",#REF!="3"))</formula>
    </cfRule>
  </conditionalFormatting>
  <conditionalFormatting sqref="AY45 AY49 AY53 AY57 AY61 AY65 AY69">
    <cfRule type="expression" dxfId="799" priority="3199" stopIfTrue="1">
      <formula>(OR(#REF!="1",#REF!="2",#REF!="3"))</formula>
    </cfRule>
  </conditionalFormatting>
  <conditionalFormatting sqref="AY46 AY50 AY54 AY58 AY62 AY66 AY70">
    <cfRule type="expression" dxfId="798" priority="3200">
      <formula>(OR(#REF!="2",#REF!="3"))</formula>
    </cfRule>
  </conditionalFormatting>
  <conditionalFormatting sqref="AY47 AY51 AY55 AY59 AY63 AY67 AY71">
    <cfRule type="cellIs" dxfId="797" priority="3201" operator="equal">
      <formula>0</formula>
    </cfRule>
    <cfRule type="expression" dxfId="796" priority="3202">
      <formula>(#REF!="3")</formula>
    </cfRule>
  </conditionalFormatting>
  <conditionalFormatting sqref="AY17">
    <cfRule type="expression" dxfId="795" priority="722" stopIfTrue="1">
      <formula>(OR(CJ1="1",CJ1="2",CJ1="3"))</formula>
    </cfRule>
  </conditionalFormatting>
  <conditionalFormatting sqref="AY18">
    <cfRule type="expression" dxfId="794" priority="721">
      <formula>(OR(CJ1="2",CJ1="3"))</formula>
    </cfRule>
  </conditionalFormatting>
  <conditionalFormatting sqref="AY17">
    <cfRule type="expression" dxfId="793" priority="718" stopIfTrue="1">
      <formula>(OR(CJ1="1",CJ1="2",CJ1="3"))</formula>
    </cfRule>
  </conditionalFormatting>
  <conditionalFormatting sqref="AY18">
    <cfRule type="expression" dxfId="792" priority="717">
      <formula>(OR(CJ1="2",CJ1="3"))</formula>
    </cfRule>
  </conditionalFormatting>
  <conditionalFormatting sqref="AY17">
    <cfRule type="expression" dxfId="791" priority="714" stopIfTrue="1">
      <formula>(OR(CJ1="1",CJ1="2",CJ1="3"))</formula>
    </cfRule>
  </conditionalFormatting>
  <conditionalFormatting sqref="AY18">
    <cfRule type="expression" dxfId="790" priority="713">
      <formula>(OR(CJ1="2",CJ1="3"))</formula>
    </cfRule>
  </conditionalFormatting>
  <conditionalFormatting sqref="AY17">
    <cfRule type="expression" dxfId="789" priority="710" stopIfTrue="1">
      <formula>(OR(CJ1="1",CJ1="2",CJ1="3"))</formula>
    </cfRule>
  </conditionalFormatting>
  <conditionalFormatting sqref="AY18">
    <cfRule type="expression" dxfId="788" priority="709">
      <formula>(OR(CJ1="2",CJ1="3"))</formula>
    </cfRule>
  </conditionalFormatting>
  <conditionalFormatting sqref="AY21 AY25 AY29 AY33 AY37">
    <cfRule type="expression" dxfId="787" priority="706" stopIfTrue="1">
      <formula>(OR(#REF!="1",#REF!="2",#REF!="3"))</formula>
    </cfRule>
  </conditionalFormatting>
  <conditionalFormatting sqref="AY22 AY26 AY30 AY34 AY38">
    <cfRule type="expression" dxfId="786" priority="705">
      <formula>(OR(#REF!="2",#REF!="3"))</formula>
    </cfRule>
  </conditionalFormatting>
  <conditionalFormatting sqref="AY21">
    <cfRule type="expression" dxfId="785" priority="702" stopIfTrue="1">
      <formula>(OR(CA3="1",CA3="2",CA3="3"))</formula>
    </cfRule>
  </conditionalFormatting>
  <conditionalFormatting sqref="AY22">
    <cfRule type="expression" dxfId="784" priority="701">
      <formula>(OR(CA3="2",CA3="3"))</formula>
    </cfRule>
  </conditionalFormatting>
  <conditionalFormatting sqref="AY21">
    <cfRule type="expression" dxfId="783" priority="698" stopIfTrue="1">
      <formula>(OR(CA3="1",CA3="2",CA3="3"))</formula>
    </cfRule>
  </conditionalFormatting>
  <conditionalFormatting sqref="AY22">
    <cfRule type="expression" dxfId="782" priority="697">
      <formula>(OR(CA3="2",CA3="3"))</formula>
    </cfRule>
  </conditionalFormatting>
  <conditionalFormatting sqref="AY21">
    <cfRule type="expression" dxfId="781" priority="694" stopIfTrue="1">
      <formula>(OR(CA3="1",CA3="2",CA3="3"))</formula>
    </cfRule>
  </conditionalFormatting>
  <conditionalFormatting sqref="AY22">
    <cfRule type="expression" dxfId="780" priority="693">
      <formula>(OR(CA3="2",CA3="3"))</formula>
    </cfRule>
  </conditionalFormatting>
  <conditionalFormatting sqref="AY21">
    <cfRule type="expression" dxfId="779" priority="690" stopIfTrue="1">
      <formula>(OR(CA3="1",CA3="2",CA3="3"))</formula>
    </cfRule>
  </conditionalFormatting>
  <conditionalFormatting sqref="AY22">
    <cfRule type="expression" dxfId="778" priority="689">
      <formula>(OR(CA3="2",CA3="3"))</formula>
    </cfRule>
  </conditionalFormatting>
  <conditionalFormatting sqref="AY29">
    <cfRule type="expression" dxfId="777" priority="662" stopIfTrue="1">
      <formula>(OR(CA9="1",CA9="2",CA9="3"))</formula>
    </cfRule>
  </conditionalFormatting>
  <conditionalFormatting sqref="AY30">
    <cfRule type="expression" dxfId="776" priority="661">
      <formula>(OR(CA9="2",CA9="3"))</formula>
    </cfRule>
  </conditionalFormatting>
  <conditionalFormatting sqref="AY29">
    <cfRule type="expression" dxfId="775" priority="658" stopIfTrue="1">
      <formula>(OR(CA9="1",CA9="2",CA9="3"))</formula>
    </cfRule>
  </conditionalFormatting>
  <conditionalFormatting sqref="AY30">
    <cfRule type="expression" dxfId="774" priority="657">
      <formula>(OR(CA9="2",CA9="3"))</formula>
    </cfRule>
  </conditionalFormatting>
  <conditionalFormatting sqref="AY29">
    <cfRule type="expression" dxfId="773" priority="654" stopIfTrue="1">
      <formula>(OR(CA9="1",CA9="2",CA9="3"))</formula>
    </cfRule>
  </conditionalFormatting>
  <conditionalFormatting sqref="AY30">
    <cfRule type="expression" dxfId="772" priority="653">
      <formula>(OR(CA9="2",CA9="3"))</formula>
    </cfRule>
  </conditionalFormatting>
  <conditionalFormatting sqref="AY29">
    <cfRule type="expression" dxfId="771" priority="650" stopIfTrue="1">
      <formula>(OR(CA9="1",CA9="2",CA9="3"))</formula>
    </cfRule>
  </conditionalFormatting>
  <conditionalFormatting sqref="AY30">
    <cfRule type="expression" dxfId="770" priority="649">
      <formula>(OR(CA9="2",CA9="3"))</formula>
    </cfRule>
  </conditionalFormatting>
  <conditionalFormatting sqref="AY37">
    <cfRule type="expression" dxfId="769" priority="622" stopIfTrue="1">
      <formula>(OR(CA17="1",CA17="2",CA17="3"))</formula>
    </cfRule>
  </conditionalFormatting>
  <conditionalFormatting sqref="AY38">
    <cfRule type="expression" dxfId="768" priority="621">
      <formula>(OR(CA17="2",CA17="3"))</formula>
    </cfRule>
  </conditionalFormatting>
  <conditionalFormatting sqref="AY39">
    <cfRule type="cellIs" dxfId="767" priority="619" operator="equal">
      <formula>0</formula>
    </cfRule>
    <cfRule type="expression" dxfId="766" priority="620">
      <formula>(CA17="3")</formula>
    </cfRule>
  </conditionalFormatting>
  <conditionalFormatting sqref="AY37">
    <cfRule type="expression" dxfId="765" priority="618" stopIfTrue="1">
      <formula>(OR(CA17="1",CA17="2",CA17="3"))</formula>
    </cfRule>
  </conditionalFormatting>
  <conditionalFormatting sqref="AY38">
    <cfRule type="expression" dxfId="764" priority="617">
      <formula>(OR(CA17="2",CA17="3"))</formula>
    </cfRule>
  </conditionalFormatting>
  <conditionalFormatting sqref="AY39">
    <cfRule type="cellIs" dxfId="763" priority="615" operator="equal">
      <formula>0</formula>
    </cfRule>
    <cfRule type="expression" dxfId="762" priority="616">
      <formula>(CA17="3")</formula>
    </cfRule>
  </conditionalFormatting>
  <conditionalFormatting sqref="AY37">
    <cfRule type="expression" dxfId="761" priority="614" stopIfTrue="1">
      <formula>(OR(CA17="1",CA17="2",CA17="3"))</formula>
    </cfRule>
  </conditionalFormatting>
  <conditionalFormatting sqref="AY38">
    <cfRule type="expression" dxfId="760" priority="613">
      <formula>(OR(CA17="2",CA17="3"))</formula>
    </cfRule>
  </conditionalFormatting>
  <conditionalFormatting sqref="AY39">
    <cfRule type="cellIs" dxfId="759" priority="611" operator="equal">
      <formula>0</formula>
    </cfRule>
    <cfRule type="expression" dxfId="758" priority="612">
      <formula>(CA17="3")</formula>
    </cfRule>
  </conditionalFormatting>
  <conditionalFormatting sqref="AY37">
    <cfRule type="expression" dxfId="757" priority="610" stopIfTrue="1">
      <formula>(OR(CA17="1",CA17="2",CA17="3"))</formula>
    </cfRule>
  </conditionalFormatting>
  <conditionalFormatting sqref="AY38">
    <cfRule type="expression" dxfId="756" priority="609">
      <formula>(OR(CA17="2",CA17="3"))</formula>
    </cfRule>
  </conditionalFormatting>
  <conditionalFormatting sqref="AY39">
    <cfRule type="cellIs" dxfId="755" priority="607" operator="equal">
      <formula>0</formula>
    </cfRule>
    <cfRule type="expression" dxfId="754" priority="608">
      <formula>(CA17="3")</formula>
    </cfRule>
  </conditionalFormatting>
  <conditionalFormatting sqref="AY69">
    <cfRule type="expression" dxfId="753" priority="562" stopIfTrue="1">
      <formula>(OR(CN25="1",CN25="2",CN25="3"))</formula>
    </cfRule>
  </conditionalFormatting>
  <conditionalFormatting sqref="AY70">
    <cfRule type="expression" dxfId="752" priority="561">
      <formula>(OR(CN25="2",CN25="3"))</formula>
    </cfRule>
  </conditionalFormatting>
  <conditionalFormatting sqref="AY71">
    <cfRule type="cellIs" dxfId="751" priority="559" operator="equal">
      <formula>0</formula>
    </cfRule>
    <cfRule type="expression" dxfId="750" priority="560">
      <formula>(CN25="3")</formula>
    </cfRule>
  </conditionalFormatting>
  <conditionalFormatting sqref="AY69">
    <cfRule type="expression" dxfId="749" priority="558" stopIfTrue="1">
      <formula>(OR(CN25="1",CN25="2",CN25="3"))</formula>
    </cfRule>
  </conditionalFormatting>
  <conditionalFormatting sqref="AY70">
    <cfRule type="expression" dxfId="748" priority="557">
      <formula>(OR(CN25="2",CN25="3"))</formula>
    </cfRule>
  </conditionalFormatting>
  <conditionalFormatting sqref="AY71">
    <cfRule type="cellIs" dxfId="747" priority="555" operator="equal">
      <formula>0</formula>
    </cfRule>
    <cfRule type="expression" dxfId="746" priority="556">
      <formula>(CN25="3")</formula>
    </cfRule>
  </conditionalFormatting>
  <conditionalFormatting sqref="DB22">
    <cfRule type="expression" dxfId="745" priority="3700">
      <formula>(OR(CZ7+CZ8=9,CZ7+CZ8=8,CZ7+CZ8=7,CZ7+CZ8=6))</formula>
    </cfRule>
  </conditionalFormatting>
  <conditionalFormatting sqref="AY17">
    <cfRule type="expression" dxfId="744" priority="535" stopIfTrue="1">
      <formula>(OR(#REF!="1",#REF!="2",#REF!="3"))</formula>
    </cfRule>
  </conditionalFormatting>
  <conditionalFormatting sqref="AY18">
    <cfRule type="expression" dxfId="743" priority="534">
      <formula>(OR(#REF!="2",#REF!="3"))</formula>
    </cfRule>
  </conditionalFormatting>
  <conditionalFormatting sqref="AY21">
    <cfRule type="expression" dxfId="742" priority="515" stopIfTrue="1">
      <formula>(OR(CJ1="1",CJ1="2",CJ1="3"))</formula>
    </cfRule>
  </conditionalFormatting>
  <conditionalFormatting sqref="AY22">
    <cfRule type="expression" dxfId="741" priority="514">
      <formula>(OR(CJ1="2",CJ1="3"))</formula>
    </cfRule>
  </conditionalFormatting>
  <conditionalFormatting sqref="AY25">
    <cfRule type="expression" dxfId="740" priority="511" stopIfTrue="1">
      <formula>(OR(CG5="1",CG5="2",CG5="3"))</formula>
    </cfRule>
  </conditionalFormatting>
  <conditionalFormatting sqref="AY26">
    <cfRule type="expression" dxfId="739" priority="510">
      <formula>(OR(CG5="2",CG5="3"))</formula>
    </cfRule>
  </conditionalFormatting>
  <conditionalFormatting sqref="AY25">
    <cfRule type="expression" dxfId="738" priority="507" stopIfTrue="1">
      <formula>(OR(CG5="1",CG5="2",CG5="3"))</formula>
    </cfRule>
  </conditionalFormatting>
  <conditionalFormatting sqref="AY26">
    <cfRule type="expression" dxfId="737" priority="506">
      <formula>(OR(CG5="2",CG5="3"))</formula>
    </cfRule>
  </conditionalFormatting>
  <conditionalFormatting sqref="AY21">
    <cfRule type="expression" dxfId="736" priority="479" stopIfTrue="1">
      <formula>(OR(CJ1="1",CJ1="2",CJ1="3"))</formula>
    </cfRule>
  </conditionalFormatting>
  <conditionalFormatting sqref="AY22">
    <cfRule type="expression" dxfId="735" priority="478">
      <formula>(OR(CJ1="2",CJ1="3"))</formula>
    </cfRule>
  </conditionalFormatting>
  <conditionalFormatting sqref="AY21">
    <cfRule type="expression" dxfId="734" priority="475" stopIfTrue="1">
      <formula>(OR(CJ1="1",CJ1="2",CJ1="3"))</formula>
    </cfRule>
  </conditionalFormatting>
  <conditionalFormatting sqref="AY22">
    <cfRule type="expression" dxfId="733" priority="474">
      <formula>(OR(CJ1="2",CJ1="3"))</formula>
    </cfRule>
  </conditionalFormatting>
  <conditionalFormatting sqref="AY25">
    <cfRule type="expression" dxfId="732" priority="471" stopIfTrue="1">
      <formula>(OR(CG5="1",CG5="2",CG5="3"))</formula>
    </cfRule>
  </conditionalFormatting>
  <conditionalFormatting sqref="AY26">
    <cfRule type="expression" dxfId="731" priority="470">
      <formula>(OR(CG5="2",CG5="3"))</formula>
    </cfRule>
  </conditionalFormatting>
  <conditionalFormatting sqref="AY25">
    <cfRule type="expression" dxfId="730" priority="467" stopIfTrue="1">
      <formula>(OR(CG5="1",CG5="2",CG5="3"))</formula>
    </cfRule>
  </conditionalFormatting>
  <conditionalFormatting sqref="AY26">
    <cfRule type="expression" dxfId="729" priority="466">
      <formula>(OR(CG5="2",CG5="3"))</formula>
    </cfRule>
  </conditionalFormatting>
  <conditionalFormatting sqref="AY21">
    <cfRule type="expression" dxfId="728" priority="447" stopIfTrue="1">
      <formula>(OR(CJ1="1",CJ1="2",CJ1="3"))</formula>
    </cfRule>
  </conditionalFormatting>
  <conditionalFormatting sqref="AY22">
    <cfRule type="expression" dxfId="727" priority="446">
      <formula>(OR(CJ1="2",CJ1="3"))</formula>
    </cfRule>
  </conditionalFormatting>
  <conditionalFormatting sqref="AY21">
    <cfRule type="expression" dxfId="726" priority="443" stopIfTrue="1">
      <formula>(OR(CJ1="1",CJ1="2",CJ1="3"))</formula>
    </cfRule>
  </conditionalFormatting>
  <conditionalFormatting sqref="AY22">
    <cfRule type="expression" dxfId="725" priority="442">
      <formula>(OR(CJ1="2",CJ1="3"))</formula>
    </cfRule>
  </conditionalFormatting>
  <conditionalFormatting sqref="AY25">
    <cfRule type="expression" dxfId="724" priority="439" stopIfTrue="1">
      <formula>(OR(CG5="1",CG5="2",CG5="3"))</formula>
    </cfRule>
  </conditionalFormatting>
  <conditionalFormatting sqref="AY26">
    <cfRule type="expression" dxfId="723" priority="438">
      <formula>(OR(CG5="2",CG5="3"))</formula>
    </cfRule>
  </conditionalFormatting>
  <conditionalFormatting sqref="AY25">
    <cfRule type="expression" dxfId="722" priority="435" stopIfTrue="1">
      <formula>(OR(CG5="1",CG5="2",CG5="3"))</formula>
    </cfRule>
  </conditionalFormatting>
  <conditionalFormatting sqref="AY26">
    <cfRule type="expression" dxfId="721" priority="434">
      <formula>(OR(CG5="2",CG5="3"))</formula>
    </cfRule>
  </conditionalFormatting>
  <conditionalFormatting sqref="AY29">
    <cfRule type="expression" dxfId="720" priority="431" stopIfTrue="1">
      <formula>(OR(CA9="1",CA9="2",CA9="3"))</formula>
    </cfRule>
  </conditionalFormatting>
  <conditionalFormatting sqref="AY30">
    <cfRule type="expression" dxfId="719" priority="430">
      <formula>(OR(CA9="2",CA9="3"))</formula>
    </cfRule>
  </conditionalFormatting>
  <conditionalFormatting sqref="AY29">
    <cfRule type="expression" dxfId="718" priority="427" stopIfTrue="1">
      <formula>(OR(CA9="1",CA9="2",CA9="3"))</formula>
    </cfRule>
  </conditionalFormatting>
  <conditionalFormatting sqref="AY30">
    <cfRule type="expression" dxfId="717" priority="426">
      <formula>(OR(CA9="2",CA9="3"))</formula>
    </cfRule>
  </conditionalFormatting>
  <conditionalFormatting sqref="AY37">
    <cfRule type="expression" dxfId="716" priority="415" stopIfTrue="1">
      <formula>(OR(CA17="1",CA17="2",CA17="3"))</formula>
    </cfRule>
  </conditionalFormatting>
  <conditionalFormatting sqref="AY38">
    <cfRule type="expression" dxfId="715" priority="414">
      <formula>(OR(CA17="2",CA17="3"))</formula>
    </cfRule>
  </conditionalFormatting>
  <conditionalFormatting sqref="AY39">
    <cfRule type="cellIs" dxfId="714" priority="412" operator="equal">
      <formula>0</formula>
    </cfRule>
    <cfRule type="expression" dxfId="713" priority="413">
      <formula>(CA17="3")</formula>
    </cfRule>
  </conditionalFormatting>
  <conditionalFormatting sqref="AY37">
    <cfRule type="expression" dxfId="712" priority="411" stopIfTrue="1">
      <formula>(OR(CA17="1",CA17="2",CA17="3"))</formula>
    </cfRule>
  </conditionalFormatting>
  <conditionalFormatting sqref="AY38">
    <cfRule type="expression" dxfId="711" priority="410">
      <formula>(OR(CA17="2",CA17="3"))</formula>
    </cfRule>
  </conditionalFormatting>
  <conditionalFormatting sqref="AY39">
    <cfRule type="cellIs" dxfId="710" priority="408" operator="equal">
      <formula>0</formula>
    </cfRule>
    <cfRule type="expression" dxfId="709" priority="409">
      <formula>(CA17="3")</formula>
    </cfRule>
  </conditionalFormatting>
  <conditionalFormatting sqref="AY29">
    <cfRule type="expression" dxfId="708" priority="407" stopIfTrue="1">
      <formula>(OR(CA9="1",CA9="2",CA9="3"))</formula>
    </cfRule>
  </conditionalFormatting>
  <conditionalFormatting sqref="AY30">
    <cfRule type="expression" dxfId="707" priority="406">
      <formula>(OR(CA9="2",CA9="3"))</formula>
    </cfRule>
  </conditionalFormatting>
  <conditionalFormatting sqref="AY29">
    <cfRule type="expression" dxfId="706" priority="403" stopIfTrue="1">
      <formula>(OR(CA9="1",CA9="2",CA9="3"))</formula>
    </cfRule>
  </conditionalFormatting>
  <conditionalFormatting sqref="AY30">
    <cfRule type="expression" dxfId="705" priority="402">
      <formula>(OR(CA9="2",CA9="3"))</formula>
    </cfRule>
  </conditionalFormatting>
  <conditionalFormatting sqref="AY37">
    <cfRule type="expression" dxfId="704" priority="391" stopIfTrue="1">
      <formula>(OR(CA17="1",CA17="2",CA17="3"))</formula>
    </cfRule>
  </conditionalFormatting>
  <conditionalFormatting sqref="AY38">
    <cfRule type="expression" dxfId="703" priority="390">
      <formula>(OR(CA17="2",CA17="3"))</formula>
    </cfRule>
  </conditionalFormatting>
  <conditionalFormatting sqref="AY39">
    <cfRule type="cellIs" dxfId="702" priority="388" operator="equal">
      <formula>0</formula>
    </cfRule>
    <cfRule type="expression" dxfId="701" priority="389">
      <formula>(CA17="3")</formula>
    </cfRule>
  </conditionalFormatting>
  <conditionalFormatting sqref="AY37">
    <cfRule type="expression" dxfId="700" priority="387" stopIfTrue="1">
      <formula>(OR(CA17="1",CA17="2",CA17="3"))</formula>
    </cfRule>
  </conditionalFormatting>
  <conditionalFormatting sqref="AY38">
    <cfRule type="expression" dxfId="699" priority="386">
      <formula>(OR(CA17="2",CA17="3"))</formula>
    </cfRule>
  </conditionalFormatting>
  <conditionalFormatting sqref="AY39">
    <cfRule type="cellIs" dxfId="698" priority="384" operator="equal">
      <formula>0</formula>
    </cfRule>
    <cfRule type="expression" dxfId="697" priority="385">
      <formula>(CA17="3")</formula>
    </cfRule>
  </conditionalFormatting>
  <conditionalFormatting sqref="AY37">
    <cfRule type="expression" dxfId="696" priority="370" stopIfTrue="1">
      <formula>(OR(CA17="1",CA17="2",CA17="3"))</formula>
    </cfRule>
  </conditionalFormatting>
  <conditionalFormatting sqref="AY38">
    <cfRule type="expression" dxfId="695" priority="369">
      <formula>(OR(CA17="2",CA17="3"))</formula>
    </cfRule>
  </conditionalFormatting>
  <conditionalFormatting sqref="AY39">
    <cfRule type="cellIs" dxfId="694" priority="367" operator="equal">
      <formula>0</formula>
    </cfRule>
    <cfRule type="expression" dxfId="693" priority="368">
      <formula>(CA17="3")</formula>
    </cfRule>
  </conditionalFormatting>
  <conditionalFormatting sqref="AY37">
    <cfRule type="expression" dxfId="692" priority="366" stopIfTrue="1">
      <formula>(OR(CA17="1",CA17="2",CA17="3"))</formula>
    </cfRule>
  </conditionalFormatting>
  <conditionalFormatting sqref="AY38">
    <cfRule type="expression" dxfId="691" priority="365">
      <formula>(OR(CA17="2",CA17="3"))</formula>
    </cfRule>
  </conditionalFormatting>
  <conditionalFormatting sqref="AY39">
    <cfRule type="cellIs" dxfId="690" priority="363" operator="equal">
      <formula>0</formula>
    </cfRule>
    <cfRule type="expression" dxfId="689" priority="364">
      <formula>(CA17="3")</formula>
    </cfRule>
  </conditionalFormatting>
  <conditionalFormatting sqref="AY37">
    <cfRule type="expression" dxfId="688" priority="362" stopIfTrue="1">
      <formula>(OR(CA17="1",CA17="2",CA17="3"))</formula>
    </cfRule>
  </conditionalFormatting>
  <conditionalFormatting sqref="AY38">
    <cfRule type="expression" dxfId="687" priority="361">
      <formula>(OR(CA17="2",CA17="3"))</formula>
    </cfRule>
  </conditionalFormatting>
  <conditionalFormatting sqref="AY39">
    <cfRule type="cellIs" dxfId="686" priority="359" operator="equal">
      <formula>0</formula>
    </cfRule>
    <cfRule type="expression" dxfId="685" priority="360">
      <formula>(CA17="3")</formula>
    </cfRule>
  </conditionalFormatting>
  <conditionalFormatting sqref="AY37">
    <cfRule type="expression" dxfId="684" priority="358" stopIfTrue="1">
      <formula>(OR(CA17="1",CA17="2",CA17="3"))</formula>
    </cfRule>
  </conditionalFormatting>
  <conditionalFormatting sqref="AY38">
    <cfRule type="expression" dxfId="683" priority="357">
      <formula>(OR(CA17="2",CA17="3"))</formula>
    </cfRule>
  </conditionalFormatting>
  <conditionalFormatting sqref="AY39">
    <cfRule type="cellIs" dxfId="682" priority="355" operator="equal">
      <formula>0</formula>
    </cfRule>
    <cfRule type="expression" dxfId="681" priority="356">
      <formula>(CA17="3")</formula>
    </cfRule>
  </conditionalFormatting>
  <conditionalFormatting sqref="AY37">
    <cfRule type="expression" dxfId="680" priority="354" stopIfTrue="1">
      <formula>(OR(CA17="1",CA17="2",CA17="3"))</formula>
    </cfRule>
  </conditionalFormatting>
  <conditionalFormatting sqref="AY38">
    <cfRule type="expression" dxfId="679" priority="353">
      <formula>(OR(CA17="2",CA17="3"))</formula>
    </cfRule>
  </conditionalFormatting>
  <conditionalFormatting sqref="AY39">
    <cfRule type="cellIs" dxfId="678" priority="351" operator="equal">
      <formula>0</formula>
    </cfRule>
    <cfRule type="expression" dxfId="677" priority="352">
      <formula>(CA17="3")</formula>
    </cfRule>
  </conditionalFormatting>
  <conditionalFormatting sqref="AY37">
    <cfRule type="expression" dxfId="676" priority="350" stopIfTrue="1">
      <formula>(OR(CA17="1",CA17="2",CA17="3"))</formula>
    </cfRule>
  </conditionalFormatting>
  <conditionalFormatting sqref="AY38">
    <cfRule type="expression" dxfId="675" priority="349">
      <formula>(OR(CA17="2",CA17="3"))</formula>
    </cfRule>
  </conditionalFormatting>
  <conditionalFormatting sqref="AY39">
    <cfRule type="cellIs" dxfId="674" priority="347" operator="equal">
      <formula>0</formula>
    </cfRule>
    <cfRule type="expression" dxfId="673" priority="348">
      <formula>(CA17="3")</formula>
    </cfRule>
  </conditionalFormatting>
  <conditionalFormatting sqref="AY37">
    <cfRule type="expression" dxfId="672" priority="346" stopIfTrue="1">
      <formula>(OR(CA17="1",CA17="2",CA17="3"))</formula>
    </cfRule>
  </conditionalFormatting>
  <conditionalFormatting sqref="AY38">
    <cfRule type="expression" dxfId="671" priority="345">
      <formula>(OR(CA17="2",CA17="3"))</formula>
    </cfRule>
  </conditionalFormatting>
  <conditionalFormatting sqref="AY39">
    <cfRule type="cellIs" dxfId="670" priority="343" operator="equal">
      <formula>0</formula>
    </cfRule>
    <cfRule type="expression" dxfId="669" priority="344">
      <formula>(CA17="3")</formula>
    </cfRule>
  </conditionalFormatting>
  <conditionalFormatting sqref="AY37">
    <cfRule type="expression" dxfId="668" priority="342" stopIfTrue="1">
      <formula>(OR(CA17="1",CA17="2",CA17="3"))</formula>
    </cfRule>
  </conditionalFormatting>
  <conditionalFormatting sqref="AY38">
    <cfRule type="expression" dxfId="667" priority="341">
      <formula>(OR(CA17="2",CA17="3"))</formula>
    </cfRule>
  </conditionalFormatting>
  <conditionalFormatting sqref="AY39">
    <cfRule type="cellIs" dxfId="666" priority="339" operator="equal">
      <formula>0</formula>
    </cfRule>
    <cfRule type="expression" dxfId="665" priority="340">
      <formula>(CA17="3")</formula>
    </cfRule>
  </conditionalFormatting>
  <conditionalFormatting sqref="AY37">
    <cfRule type="expression" dxfId="664" priority="338" stopIfTrue="1">
      <formula>(OR(CA17="1",CA17="2",CA17="3"))</formula>
    </cfRule>
  </conditionalFormatting>
  <conditionalFormatting sqref="AY38">
    <cfRule type="expression" dxfId="663" priority="337">
      <formula>(OR(CA17="2",CA17="3"))</formula>
    </cfRule>
  </conditionalFormatting>
  <conditionalFormatting sqref="AY39">
    <cfRule type="cellIs" dxfId="662" priority="335" operator="equal">
      <formula>0</formula>
    </cfRule>
    <cfRule type="expression" dxfId="661" priority="336">
      <formula>(CA17="3")</formula>
    </cfRule>
  </conditionalFormatting>
  <conditionalFormatting sqref="AY37">
    <cfRule type="expression" dxfId="660" priority="334" stopIfTrue="1">
      <formula>(OR(CA17="1",CA17="2",CA17="3"))</formula>
    </cfRule>
  </conditionalFormatting>
  <conditionalFormatting sqref="AY38">
    <cfRule type="expression" dxfId="659" priority="333">
      <formula>(OR(CA17="2",CA17="3"))</formula>
    </cfRule>
  </conditionalFormatting>
  <conditionalFormatting sqref="AY39">
    <cfRule type="cellIs" dxfId="658" priority="331" operator="equal">
      <formula>0</formula>
    </cfRule>
    <cfRule type="expression" dxfId="657" priority="332">
      <formula>(CA17="3")</formula>
    </cfRule>
  </conditionalFormatting>
  <conditionalFormatting sqref="AY65">
    <cfRule type="expression" dxfId="656" priority="3972" stopIfTrue="1">
      <formula>(OR(CO17="1",CO17="2",CO17="3"))</formula>
    </cfRule>
  </conditionalFormatting>
  <conditionalFormatting sqref="AY66">
    <cfRule type="expression" dxfId="655" priority="3973">
      <formula>(OR(CO17="2",CO17="3"))</formula>
    </cfRule>
  </conditionalFormatting>
  <conditionalFormatting sqref="AY67">
    <cfRule type="cellIs" dxfId="654" priority="3974" operator="equal">
      <formula>0</formula>
    </cfRule>
    <cfRule type="expression" dxfId="653" priority="3975">
      <formula>(CO17="3")</formula>
    </cfRule>
  </conditionalFormatting>
  <conditionalFormatting sqref="AC12">
    <cfRule type="cellIs" dxfId="652" priority="320" operator="equal">
      <formula>4</formula>
    </cfRule>
  </conditionalFormatting>
  <conditionalFormatting sqref="AC36">
    <cfRule type="cellIs" dxfId="651" priority="314" operator="equal">
      <formula>0</formula>
    </cfRule>
    <cfRule type="cellIs" dxfId="650" priority="316" operator="equal">
      <formula>28</formula>
    </cfRule>
  </conditionalFormatting>
  <conditionalFormatting sqref="AC44">
    <cfRule type="cellIs" dxfId="649" priority="312" operator="equal">
      <formula>0</formula>
    </cfRule>
    <cfRule type="cellIs" dxfId="648" priority="313" operator="equal">
      <formula>36</formula>
    </cfRule>
  </conditionalFormatting>
  <conditionalFormatting sqref="AC24">
    <cfRule type="cellIs" dxfId="647" priority="309" operator="equal">
      <formula>0</formula>
    </cfRule>
  </conditionalFormatting>
  <conditionalFormatting sqref="AC16">
    <cfRule type="cellIs" dxfId="646" priority="291" operator="equal">
      <formula>8</formula>
    </cfRule>
  </conditionalFormatting>
  <conditionalFormatting sqref="AC17">
    <cfRule type="cellIs" dxfId="645" priority="290" operator="equal">
      <formula>9</formula>
    </cfRule>
  </conditionalFormatting>
  <conditionalFormatting sqref="AC18">
    <cfRule type="cellIs" dxfId="644" priority="289" operator="equal">
      <formula>10</formula>
    </cfRule>
  </conditionalFormatting>
  <conditionalFormatting sqref="AC19">
    <cfRule type="cellIs" dxfId="643" priority="288" operator="equal">
      <formula>11</formula>
    </cfRule>
  </conditionalFormatting>
  <conditionalFormatting sqref="AC20">
    <cfRule type="cellIs" dxfId="642" priority="286" operator="equal">
      <formula>0</formula>
    </cfRule>
    <cfRule type="cellIs" dxfId="641" priority="287" operator="equal">
      <formula>12</formula>
    </cfRule>
  </conditionalFormatting>
  <conditionalFormatting sqref="AC25">
    <cfRule type="cellIs" dxfId="640" priority="283" stopIfTrue="1" operator="equal">
      <formula>15</formula>
    </cfRule>
    <cfRule type="cellIs" dxfId="639" priority="284" stopIfTrue="1" operator="equal">
      <formula>16</formula>
    </cfRule>
    <cfRule type="cellIs" dxfId="638" priority="285" stopIfTrue="1" operator="equal">
      <formula>17</formula>
    </cfRule>
  </conditionalFormatting>
  <conditionalFormatting sqref="AC26">
    <cfRule type="cellIs" dxfId="637" priority="280" stopIfTrue="1" operator="equal">
      <formula>16</formula>
    </cfRule>
    <cfRule type="cellIs" dxfId="636" priority="281" stopIfTrue="1" operator="equal">
      <formula>17</formula>
    </cfRule>
    <cfRule type="cellIs" dxfId="635" priority="282" stopIfTrue="1" operator="equal">
      <formula>18</formula>
    </cfRule>
  </conditionalFormatting>
  <conditionalFormatting sqref="AC37">
    <cfRule type="cellIs" dxfId="634" priority="262" operator="equal">
      <formula>28</formula>
    </cfRule>
    <cfRule type="cellIs" dxfId="633" priority="263" operator="equal">
      <formula>27</formula>
    </cfRule>
    <cfRule type="cellIs" dxfId="632" priority="264" operator="equal">
      <formula>29</formula>
    </cfRule>
  </conditionalFormatting>
  <conditionalFormatting sqref="AC38">
    <cfRule type="cellIs" dxfId="631" priority="259" operator="equal">
      <formula>29</formula>
    </cfRule>
    <cfRule type="cellIs" dxfId="630" priority="261" operator="equal">
      <formula>30</formula>
    </cfRule>
  </conditionalFormatting>
  <conditionalFormatting sqref="AC39">
    <cfRule type="cellIs" dxfId="629" priority="256" operator="equal">
      <formula>30</formula>
    </cfRule>
    <cfRule type="cellIs" dxfId="628" priority="257" operator="equal">
      <formula>29</formula>
    </cfRule>
    <cfRule type="cellIs" dxfId="627" priority="258" operator="equal">
      <formula>31</formula>
    </cfRule>
  </conditionalFormatting>
  <conditionalFormatting sqref="AC41">
    <cfRule type="cellIs" dxfId="626" priority="253" operator="equal">
      <formula>32</formula>
    </cfRule>
    <cfRule type="cellIs" dxfId="625" priority="254" operator="equal">
      <formula>31</formula>
    </cfRule>
    <cfRule type="cellIs" dxfId="624" priority="255" operator="equal">
      <formula>33</formula>
    </cfRule>
  </conditionalFormatting>
  <conditionalFormatting sqref="AC42">
    <cfRule type="cellIs" dxfId="623" priority="250" operator="equal">
      <formula>33</formula>
    </cfRule>
    <cfRule type="cellIs" dxfId="622" priority="251" operator="equal">
      <formula>32</formula>
    </cfRule>
    <cfRule type="cellIs" dxfId="621" priority="252" operator="equal">
      <formula>34</formula>
    </cfRule>
  </conditionalFormatting>
  <conditionalFormatting sqref="AC43">
    <cfRule type="cellIs" dxfId="620" priority="247" operator="equal">
      <formula>34</formula>
    </cfRule>
    <cfRule type="cellIs" dxfId="619" priority="248" operator="equal">
      <formula>33</formula>
    </cfRule>
    <cfRule type="cellIs" dxfId="618" priority="249" operator="equal">
      <formula>35</formula>
    </cfRule>
  </conditionalFormatting>
  <conditionalFormatting sqref="AC45">
    <cfRule type="cellIs" dxfId="617" priority="244" operator="equal">
      <formula>36</formula>
    </cfRule>
    <cfRule type="cellIs" dxfId="616" priority="245" operator="equal">
      <formula>35</formula>
    </cfRule>
    <cfRule type="cellIs" dxfId="615" priority="246" operator="equal">
      <formula>37</formula>
    </cfRule>
  </conditionalFormatting>
  <conditionalFormatting sqref="AC46">
    <cfRule type="cellIs" dxfId="614" priority="241" operator="equal">
      <formula>37</formula>
    </cfRule>
    <cfRule type="cellIs" dxfId="613" priority="242" operator="equal">
      <formula>36</formula>
    </cfRule>
    <cfRule type="cellIs" dxfId="612" priority="243" operator="equal">
      <formula>38</formula>
    </cfRule>
  </conditionalFormatting>
  <conditionalFormatting sqref="AC47">
    <cfRule type="cellIs" dxfId="611" priority="238" operator="equal">
      <formula>38</formula>
    </cfRule>
    <cfRule type="cellIs" dxfId="610" priority="239" operator="equal">
      <formula>37</formula>
    </cfRule>
    <cfRule type="cellIs" dxfId="609" priority="240" operator="equal">
      <formula>39</formula>
    </cfRule>
  </conditionalFormatting>
  <conditionalFormatting sqref="AC48">
    <cfRule type="cellIs" dxfId="608" priority="236" operator="equal">
      <formula>0</formula>
    </cfRule>
    <cfRule type="cellIs" dxfId="607" priority="237" operator="equal">
      <formula>40</formula>
    </cfRule>
  </conditionalFormatting>
  <conditionalFormatting sqref="AC49">
    <cfRule type="cellIs" dxfId="606" priority="233" operator="equal">
      <formula>40</formula>
    </cfRule>
    <cfRule type="cellIs" dxfId="605" priority="234" operator="equal">
      <formula>39</formula>
    </cfRule>
    <cfRule type="cellIs" dxfId="604" priority="235" operator="equal">
      <formula>41</formula>
    </cfRule>
  </conditionalFormatting>
  <conditionalFormatting sqref="AC50">
    <cfRule type="cellIs" dxfId="603" priority="230" operator="equal">
      <formula>41</formula>
    </cfRule>
    <cfRule type="cellIs" dxfId="602" priority="231" operator="equal">
      <formula>40</formula>
    </cfRule>
    <cfRule type="cellIs" dxfId="601" priority="232" operator="equal">
      <formula>42</formula>
    </cfRule>
  </conditionalFormatting>
  <conditionalFormatting sqref="AC51">
    <cfRule type="cellIs" dxfId="600" priority="227" operator="equal">
      <formula>42</formula>
    </cfRule>
    <cfRule type="cellIs" dxfId="599" priority="228" operator="equal">
      <formula>41</formula>
    </cfRule>
    <cfRule type="cellIs" dxfId="598" priority="229" operator="equal">
      <formula>43</formula>
    </cfRule>
  </conditionalFormatting>
  <conditionalFormatting sqref="AC57">
    <cfRule type="cellIs" dxfId="597" priority="223" operator="equal">
      <formula>48</formula>
    </cfRule>
    <cfRule type="cellIs" dxfId="596" priority="224" operator="equal">
      <formula>47</formula>
    </cfRule>
    <cfRule type="cellIs" dxfId="595" priority="225" operator="equal">
      <formula>49</formula>
    </cfRule>
    <cfRule type="cellIs" dxfId="594" priority="226" operator="equal">
      <formula>61</formula>
    </cfRule>
  </conditionalFormatting>
  <conditionalFormatting sqref="AC58">
    <cfRule type="cellIs" dxfId="593" priority="218" operator="equal">
      <formula>49</formula>
    </cfRule>
    <cfRule type="cellIs" dxfId="592" priority="219" operator="equal">
      <formula>49</formula>
    </cfRule>
    <cfRule type="cellIs" dxfId="591" priority="220" operator="equal">
      <formula>48</formula>
    </cfRule>
    <cfRule type="cellIs" dxfId="590" priority="221" operator="equal">
      <formula>50</formula>
    </cfRule>
    <cfRule type="cellIs" dxfId="589" priority="222" operator="equal">
      <formula>62</formula>
    </cfRule>
  </conditionalFormatting>
  <conditionalFormatting sqref="AC59">
    <cfRule type="cellIs" dxfId="588" priority="214" operator="equal">
      <formula>50</formula>
    </cfRule>
    <cfRule type="cellIs" dxfId="587" priority="215" operator="equal">
      <formula>49</formula>
    </cfRule>
    <cfRule type="cellIs" dxfId="586" priority="216" operator="equal">
      <formula>51</formula>
    </cfRule>
    <cfRule type="cellIs" dxfId="585" priority="217" operator="equal">
      <formula>63</formula>
    </cfRule>
  </conditionalFormatting>
  <conditionalFormatting sqref="AC60">
    <cfRule type="cellIs" dxfId="584" priority="212" operator="equal">
      <formula>0</formula>
    </cfRule>
    <cfRule type="cellIs" dxfId="583" priority="213" operator="equal">
      <formula>52</formula>
    </cfRule>
  </conditionalFormatting>
  <conditionalFormatting sqref="AC61">
    <cfRule type="cellIs" dxfId="582" priority="208" operator="equal">
      <formula>52</formula>
    </cfRule>
    <cfRule type="cellIs" dxfId="581" priority="209" operator="equal">
      <formula>51</formula>
    </cfRule>
    <cfRule type="cellIs" dxfId="580" priority="210" operator="equal">
      <formula>53</formula>
    </cfRule>
    <cfRule type="cellIs" dxfId="579" priority="211" operator="equal">
      <formula>66</formula>
    </cfRule>
  </conditionalFormatting>
  <conditionalFormatting sqref="AC62">
    <cfRule type="cellIs" dxfId="578" priority="204" operator="equal">
      <formula>53</formula>
    </cfRule>
    <cfRule type="cellIs" dxfId="577" priority="205" operator="equal">
      <formula>52</formula>
    </cfRule>
    <cfRule type="cellIs" dxfId="576" priority="206" operator="equal">
      <formula>54</formula>
    </cfRule>
    <cfRule type="cellIs" dxfId="575" priority="207" operator="equal">
      <formula>67</formula>
    </cfRule>
  </conditionalFormatting>
  <conditionalFormatting sqref="AC63">
    <cfRule type="cellIs" dxfId="574" priority="200" operator="equal">
      <formula>54</formula>
    </cfRule>
    <cfRule type="cellIs" dxfId="573" priority="201" operator="equal">
      <formula>53</formula>
    </cfRule>
    <cfRule type="cellIs" dxfId="572" priority="202" operator="equal">
      <formula>55</formula>
    </cfRule>
    <cfRule type="cellIs" dxfId="571" priority="203" operator="equal">
      <formula>68</formula>
    </cfRule>
  </conditionalFormatting>
  <conditionalFormatting sqref="AC65">
    <cfRule type="cellIs" dxfId="570" priority="197" operator="equal">
      <formula>56</formula>
    </cfRule>
    <cfRule type="cellIs" dxfId="569" priority="198" operator="equal">
      <formula>55</formula>
    </cfRule>
    <cfRule type="cellIs" dxfId="568" priority="199" operator="equal">
      <formula>57</formula>
    </cfRule>
  </conditionalFormatting>
  <conditionalFormatting sqref="AC66">
    <cfRule type="cellIs" dxfId="567" priority="193" operator="equal">
      <formula>57</formula>
    </cfRule>
    <cfRule type="cellIs" dxfId="566" priority="194" operator="equal">
      <formula>56</formula>
    </cfRule>
    <cfRule type="cellIs" dxfId="565" priority="195" operator="equal">
      <formula>58</formula>
    </cfRule>
    <cfRule type="cellIs" dxfId="564" priority="196" operator="equal">
      <formula>72</formula>
    </cfRule>
  </conditionalFormatting>
  <conditionalFormatting sqref="AC67">
    <cfRule type="cellIs" dxfId="563" priority="189" operator="equal">
      <formula>58</formula>
    </cfRule>
    <cfRule type="cellIs" dxfId="562" priority="190" operator="equal">
      <formula>57</formula>
    </cfRule>
    <cfRule type="cellIs" dxfId="561" priority="191" operator="equal">
      <formula>59</formula>
    </cfRule>
    <cfRule type="cellIs" dxfId="560" priority="192" operator="equal">
      <formula>73</formula>
    </cfRule>
  </conditionalFormatting>
  <conditionalFormatting sqref="AC64">
    <cfRule type="cellIs" dxfId="559" priority="186" operator="equal">
      <formula>0</formula>
    </cfRule>
    <cfRule type="cellIs" dxfId="558" priority="187" operator="equal">
      <formula>56</formula>
    </cfRule>
    <cfRule type="cellIs" dxfId="557" priority="188" operator="equal">
      <formula>69</formula>
    </cfRule>
  </conditionalFormatting>
  <conditionalFormatting sqref="AC68">
    <cfRule type="cellIs" dxfId="556" priority="184" operator="equal">
      <formula>0</formula>
    </cfRule>
    <cfRule type="cellIs" dxfId="555" priority="185" operator="equal">
      <formula>60</formula>
    </cfRule>
  </conditionalFormatting>
  <conditionalFormatting sqref="AC69">
    <cfRule type="cellIs" dxfId="554" priority="180" operator="equal">
      <formula>60</formula>
    </cfRule>
    <cfRule type="cellIs" dxfId="553" priority="181" operator="equal">
      <formula>59</formula>
    </cfRule>
    <cfRule type="cellIs" dxfId="552" priority="182" operator="equal">
      <formula>61</formula>
    </cfRule>
    <cfRule type="cellIs" dxfId="551" priority="183" operator="equal">
      <formula>76</formula>
    </cfRule>
  </conditionalFormatting>
  <conditionalFormatting sqref="AC70">
    <cfRule type="cellIs" dxfId="550" priority="176" operator="equal">
      <formula>61</formula>
    </cfRule>
    <cfRule type="cellIs" dxfId="549" priority="177" operator="equal">
      <formula>60</formula>
    </cfRule>
    <cfRule type="cellIs" dxfId="548" priority="178" operator="equal">
      <formula>62</formula>
    </cfRule>
    <cfRule type="cellIs" dxfId="547" priority="179" operator="equal">
      <formula>77</formula>
    </cfRule>
  </conditionalFormatting>
  <conditionalFormatting sqref="AC71">
    <cfRule type="cellIs" dxfId="546" priority="172" operator="equal">
      <formula>62</formula>
    </cfRule>
    <cfRule type="cellIs" dxfId="545" priority="173" operator="equal">
      <formula>61</formula>
    </cfRule>
    <cfRule type="cellIs" dxfId="544" priority="174" operator="equal">
      <formula>63</formula>
    </cfRule>
    <cfRule type="cellIs" dxfId="543" priority="175" operator="equal">
      <formula>78</formula>
    </cfRule>
  </conditionalFormatting>
  <conditionalFormatting sqref="AC72">
    <cfRule type="cellIs" dxfId="542" priority="169" operator="equal">
      <formula>0</formula>
    </cfRule>
    <cfRule type="cellIs" dxfId="541" priority="170" operator="equal">
      <formula>64</formula>
    </cfRule>
    <cfRule type="cellIs" dxfId="540" priority="171" operator="equal">
      <formula>79</formula>
    </cfRule>
  </conditionalFormatting>
  <conditionalFormatting sqref="AC40">
    <cfRule type="cellIs" dxfId="539" priority="162" operator="equal">
      <formula>0</formula>
    </cfRule>
    <cfRule type="cellIs" dxfId="538" priority="164" operator="equal">
      <formula>32</formula>
    </cfRule>
  </conditionalFormatting>
  <conditionalFormatting sqref="AC52">
    <cfRule type="cellIs" dxfId="537" priority="160" operator="equal">
      <formula>0</formula>
    </cfRule>
    <cfRule type="cellIs" dxfId="536" priority="161" operator="equal">
      <formula>44</formula>
    </cfRule>
  </conditionalFormatting>
  <conditionalFormatting sqref="AC53">
    <cfRule type="cellIs" dxfId="535" priority="157" operator="equal">
      <formula>44</formula>
    </cfRule>
    <cfRule type="cellIs" dxfId="534" priority="158" operator="equal">
      <formula>43</formula>
    </cfRule>
    <cfRule type="cellIs" dxfId="533" priority="159" operator="equal">
      <formula>45</formula>
    </cfRule>
  </conditionalFormatting>
  <conditionalFormatting sqref="AC54">
    <cfRule type="cellIs" dxfId="532" priority="154" operator="equal">
      <formula>45</formula>
    </cfRule>
    <cfRule type="cellIs" dxfId="531" priority="155" operator="equal">
      <formula>44</formula>
    </cfRule>
    <cfRule type="cellIs" dxfId="530" priority="156" operator="equal">
      <formula>46</formula>
    </cfRule>
  </conditionalFormatting>
  <conditionalFormatting sqref="AC55">
    <cfRule type="cellIs" dxfId="529" priority="151" operator="equal">
      <formula>46</formula>
    </cfRule>
    <cfRule type="cellIs" dxfId="528" priority="152" operator="equal">
      <formula>45</formula>
    </cfRule>
    <cfRule type="cellIs" dxfId="527" priority="153" operator="equal">
      <formula>47</formula>
    </cfRule>
  </conditionalFormatting>
  <conditionalFormatting sqref="AC56">
    <cfRule type="cellIs" dxfId="526" priority="149" operator="equal">
      <formula>0</formula>
    </cfRule>
    <cfRule type="cellIs" dxfId="525" priority="150" operator="equal">
      <formula>48</formula>
    </cfRule>
  </conditionalFormatting>
  <conditionalFormatting sqref="AF8:AF72">
    <cfRule type="containsText" dxfId="524" priority="146" operator="containsText" text="D">
      <formula>NOT(ISERROR(SEARCH("D",AF8)))</formula>
    </cfRule>
  </conditionalFormatting>
  <conditionalFormatting sqref="AY21">
    <cfRule type="expression" dxfId="523" priority="4575" stopIfTrue="1">
      <formula>(OR(#REF!="1",#REF!="2",#REF!="3"))</formula>
    </cfRule>
  </conditionalFormatting>
  <conditionalFormatting sqref="AY22">
    <cfRule type="expression" dxfId="522" priority="4576">
      <formula>(OR(#REF!="2",#REF!="3"))</formula>
    </cfRule>
  </conditionalFormatting>
  <conditionalFormatting sqref="AY13">
    <cfRule type="expression" dxfId="521" priority="4681" stopIfTrue="1">
      <formula>(OR(#REF!="1",#REF!="2",#REF!="3"))</formula>
    </cfRule>
  </conditionalFormatting>
  <conditionalFormatting sqref="AY14">
    <cfRule type="expression" dxfId="520" priority="4682">
      <formula>(OR(#REF!="2",#REF!="3"))</formula>
    </cfRule>
  </conditionalFormatting>
  <conditionalFormatting sqref="AY15">
    <cfRule type="containsBlanks" dxfId="519" priority="28">
      <formula>LEN(TRIM(AY15))=0</formula>
    </cfRule>
    <cfRule type="cellIs" dxfId="518" priority="4683" operator="equal">
      <formula>0</formula>
    </cfRule>
    <cfRule type="expression" dxfId="517" priority="4684">
      <formula>(#REF!="3")</formula>
    </cfRule>
  </conditionalFormatting>
  <conditionalFormatting sqref="AY17">
    <cfRule type="expression" dxfId="516" priority="4709" stopIfTrue="1">
      <formula>(OR(#REF!="1",#REF!="2",#REF!="3"))</formula>
    </cfRule>
  </conditionalFormatting>
  <conditionalFormatting sqref="AY18">
    <cfRule type="expression" dxfId="515" priority="4710">
      <formula>(OR(#REF!="2",#REF!="3"))</formula>
    </cfRule>
  </conditionalFormatting>
  <conditionalFormatting sqref="AC27">
    <cfRule type="cellIs" dxfId="514" priority="5282" operator="equal">
      <formula>17</formula>
    </cfRule>
    <cfRule type="cellIs" dxfId="513" priority="5283" stopIfTrue="1" operator="equal">
      <formula>18</formula>
    </cfRule>
    <cfRule type="cellIs" dxfId="512" priority="5284" operator="equal">
      <formula>19</formula>
    </cfRule>
    <cfRule type="cellIs" dxfId="511" priority="5285" operator="equal">
      <formula>23</formula>
    </cfRule>
    <cfRule type="expression" priority="5286">
      <formula>$F$14=3</formula>
    </cfRule>
  </conditionalFormatting>
  <conditionalFormatting sqref="AC28">
    <cfRule type="cellIs" dxfId="510" priority="5287" operator="equal">
      <formula>0</formula>
    </cfRule>
    <cfRule type="cellIs" dxfId="509" priority="5288" operator="equal">
      <formula>20</formula>
    </cfRule>
    <cfRule type="cellIs" dxfId="508" priority="5289" operator="equal">
      <formula>24</formula>
    </cfRule>
    <cfRule type="expression" priority="5290">
      <formula>$F$14=3</formula>
    </cfRule>
  </conditionalFormatting>
  <conditionalFormatting sqref="AC32">
    <cfRule type="cellIs" dxfId="507" priority="5295" operator="equal">
      <formula>0</formula>
    </cfRule>
    <cfRule type="expression" priority="5298">
      <formula>$F$14=3</formula>
    </cfRule>
  </conditionalFormatting>
  <conditionalFormatting sqref="CD74 BA42:BB42">
    <cfRule type="iconSet" priority="5553">
      <iconSet>
        <cfvo type="percent" val="0"/>
        <cfvo type="percent" val="12"/>
        <cfvo type="percent" val="13"/>
      </iconSet>
    </cfRule>
  </conditionalFormatting>
  <conditionalFormatting sqref="CD77:CD78">
    <cfRule type="iconSet" priority="5556">
      <iconSet>
        <cfvo type="percent" val="0"/>
        <cfvo type="percent" val="12"/>
        <cfvo type="percent" val="13"/>
      </iconSet>
    </cfRule>
  </conditionalFormatting>
  <conditionalFormatting sqref="CD81:CD82">
    <cfRule type="iconSet" priority="5558">
      <iconSet>
        <cfvo type="percent" val="0"/>
        <cfvo type="percent" val="12"/>
        <cfvo type="percent" val="13"/>
      </iconSet>
    </cfRule>
  </conditionalFormatting>
  <conditionalFormatting sqref="CD85:CD86">
    <cfRule type="iconSet" priority="5560">
      <iconSet>
        <cfvo type="percent" val="0"/>
        <cfvo type="percent" val="12"/>
        <cfvo type="percent" val="13"/>
      </iconSet>
    </cfRule>
  </conditionalFormatting>
  <conditionalFormatting sqref="CD74 BA42:BB42">
    <cfRule type="duplicateValues" dxfId="506" priority="5562"/>
    <cfRule type="iconSet" priority="5563">
      <iconSet>
        <cfvo type="percent" val="0"/>
        <cfvo type="percent" val="12"/>
        <cfvo type="percent" val="13"/>
      </iconSet>
    </cfRule>
  </conditionalFormatting>
  <conditionalFormatting sqref="CD77:CD78">
    <cfRule type="duplicateValues" dxfId="505" priority="5568"/>
    <cfRule type="iconSet" priority="5569">
      <iconSet>
        <cfvo type="percent" val="0"/>
        <cfvo type="percent" val="12"/>
        <cfvo type="percent" val="13"/>
      </iconSet>
    </cfRule>
  </conditionalFormatting>
  <conditionalFormatting sqref="CD81:CD82">
    <cfRule type="duplicateValues" dxfId="504" priority="5572"/>
    <cfRule type="iconSet" priority="5573">
      <iconSet>
        <cfvo type="percent" val="0"/>
        <cfvo type="percent" val="12"/>
        <cfvo type="percent" val="13"/>
      </iconSet>
    </cfRule>
  </conditionalFormatting>
  <conditionalFormatting sqref="CD85:CD86">
    <cfRule type="duplicateValues" dxfId="503" priority="5576"/>
    <cfRule type="iconSet" priority="5577">
      <iconSet>
        <cfvo type="percent" val="0"/>
        <cfvo type="percent" val="12"/>
        <cfvo type="percent" val="13"/>
      </iconSet>
    </cfRule>
  </conditionalFormatting>
  <conditionalFormatting sqref="CD89:CD90">
    <cfRule type="iconSet" priority="5580">
      <iconSet>
        <cfvo type="percent" val="0"/>
        <cfvo type="percent" val="12"/>
        <cfvo type="percent" val="13"/>
      </iconSet>
    </cfRule>
  </conditionalFormatting>
  <conditionalFormatting sqref="CD93:CD94">
    <cfRule type="iconSet" priority="5582">
      <iconSet>
        <cfvo type="percent" val="0"/>
        <cfvo type="percent" val="12"/>
        <cfvo type="percent" val="13"/>
      </iconSet>
    </cfRule>
  </conditionalFormatting>
  <conditionalFormatting sqref="CD97:CD98">
    <cfRule type="iconSet" priority="5584">
      <iconSet>
        <cfvo type="percent" val="0"/>
        <cfvo type="percent" val="12"/>
        <cfvo type="percent" val="13"/>
      </iconSet>
    </cfRule>
  </conditionalFormatting>
  <conditionalFormatting sqref="CD101:CD102">
    <cfRule type="iconSet" priority="5586">
      <iconSet>
        <cfvo type="percent" val="0"/>
        <cfvo type="percent" val="12"/>
        <cfvo type="percent" val="13"/>
      </iconSet>
    </cfRule>
  </conditionalFormatting>
  <conditionalFormatting sqref="CD89:CD90">
    <cfRule type="duplicateValues" dxfId="502" priority="5588"/>
    <cfRule type="iconSet" priority="5589">
      <iconSet>
        <cfvo type="percent" val="0"/>
        <cfvo type="percent" val="12"/>
        <cfvo type="percent" val="13"/>
      </iconSet>
    </cfRule>
  </conditionalFormatting>
  <conditionalFormatting sqref="CD93:CD94">
    <cfRule type="duplicateValues" dxfId="501" priority="5592"/>
    <cfRule type="iconSet" priority="5593">
      <iconSet>
        <cfvo type="percent" val="0"/>
        <cfvo type="percent" val="12"/>
        <cfvo type="percent" val="13"/>
      </iconSet>
    </cfRule>
  </conditionalFormatting>
  <conditionalFormatting sqref="CD97:CD98">
    <cfRule type="duplicateValues" dxfId="500" priority="5596"/>
    <cfRule type="iconSet" priority="5597">
      <iconSet>
        <cfvo type="percent" val="0"/>
        <cfvo type="percent" val="12"/>
        <cfvo type="percent" val="13"/>
      </iconSet>
    </cfRule>
  </conditionalFormatting>
  <conditionalFormatting sqref="CD101:CD102">
    <cfRule type="duplicateValues" dxfId="499" priority="5600"/>
    <cfRule type="iconSet" priority="5601">
      <iconSet>
        <cfvo type="percent" val="0"/>
        <cfvo type="percent" val="12"/>
        <cfvo type="percent" val="13"/>
      </iconSet>
    </cfRule>
  </conditionalFormatting>
  <conditionalFormatting sqref="AY53">
    <cfRule type="expression" dxfId="498" priority="5827" stopIfTrue="1">
      <formula>(OR(#REF!="1",#REF!="2",#REF!="3"))</formula>
    </cfRule>
  </conditionalFormatting>
  <conditionalFormatting sqref="AY54">
    <cfRule type="expression" dxfId="497" priority="5828">
      <formula>(OR(#REF!="2",#REF!="3"))</formula>
    </cfRule>
  </conditionalFormatting>
  <conditionalFormatting sqref="AY55">
    <cfRule type="cellIs" dxfId="496" priority="5829" operator="equal">
      <formula>0</formula>
    </cfRule>
    <cfRule type="expression" dxfId="495" priority="5830">
      <formula>(#REF!="3")</formula>
    </cfRule>
  </conditionalFormatting>
  <conditionalFormatting sqref="AY53">
    <cfRule type="expression" dxfId="494" priority="5831" stopIfTrue="1">
      <formula>(OR(#REF!="1",#REF!="2",#REF!="3"))</formula>
    </cfRule>
  </conditionalFormatting>
  <conditionalFormatting sqref="AY54">
    <cfRule type="expression" dxfId="493" priority="5832">
      <formula>(OR(#REF!="2",#REF!="3"))</formula>
    </cfRule>
  </conditionalFormatting>
  <conditionalFormatting sqref="AY55">
    <cfRule type="cellIs" dxfId="492" priority="5833" operator="equal">
      <formula>0</formula>
    </cfRule>
    <cfRule type="expression" dxfId="491" priority="5834">
      <formula>(#REF!="3")</formula>
    </cfRule>
  </conditionalFormatting>
  <conditionalFormatting sqref="BY10:BY11">
    <cfRule type="duplicateValues" dxfId="490" priority="144"/>
    <cfRule type="iconSet" priority="145">
      <iconSet>
        <cfvo type="percent" val="0"/>
        <cfvo type="percent" val="12"/>
        <cfvo type="percent" val="13"/>
      </iconSet>
    </cfRule>
  </conditionalFormatting>
  <conditionalFormatting sqref="BY14:BY15">
    <cfRule type="duplicateValues" dxfId="489" priority="142"/>
    <cfRule type="iconSet" priority="143">
      <iconSet>
        <cfvo type="percent" val="0"/>
        <cfvo type="percent" val="12"/>
        <cfvo type="percent" val="13"/>
      </iconSet>
    </cfRule>
  </conditionalFormatting>
  <conditionalFormatting sqref="BY18:BY19">
    <cfRule type="duplicateValues" dxfId="488" priority="140"/>
    <cfRule type="iconSet" priority="141">
      <iconSet>
        <cfvo type="percent" val="0"/>
        <cfvo type="percent" val="12"/>
        <cfvo type="percent" val="13"/>
      </iconSet>
    </cfRule>
  </conditionalFormatting>
  <conditionalFormatting sqref="BY22:BY23">
    <cfRule type="duplicateValues" dxfId="487" priority="138"/>
    <cfRule type="iconSet" priority="139">
      <iconSet>
        <cfvo type="percent" val="0"/>
        <cfvo type="percent" val="12"/>
        <cfvo type="percent" val="13"/>
      </iconSet>
    </cfRule>
  </conditionalFormatting>
  <conditionalFormatting sqref="BY26:BY27">
    <cfRule type="duplicateValues" dxfId="486" priority="136"/>
    <cfRule type="iconSet" priority="137">
      <iconSet>
        <cfvo type="percent" val="0"/>
        <cfvo type="percent" val="12"/>
        <cfvo type="percent" val="13"/>
      </iconSet>
    </cfRule>
  </conditionalFormatting>
  <conditionalFormatting sqref="BY30:BY31">
    <cfRule type="duplicateValues" dxfId="485" priority="134"/>
    <cfRule type="iconSet" priority="135">
      <iconSet>
        <cfvo type="percent" val="0"/>
        <cfvo type="percent" val="12"/>
        <cfvo type="percent" val="13"/>
      </iconSet>
    </cfRule>
  </conditionalFormatting>
  <conditionalFormatting sqref="BY34:BY35">
    <cfRule type="duplicateValues" dxfId="484" priority="132"/>
    <cfRule type="iconSet" priority="133">
      <iconSet>
        <cfvo type="percent" val="0"/>
        <cfvo type="percent" val="12"/>
        <cfvo type="percent" val="13"/>
      </iconSet>
    </cfRule>
  </conditionalFormatting>
  <conditionalFormatting sqref="BY38:BY39">
    <cfRule type="duplicateValues" dxfId="483" priority="130"/>
    <cfRule type="iconSet" priority="131">
      <iconSet>
        <cfvo type="percent" val="0"/>
        <cfvo type="percent" val="12"/>
        <cfvo type="percent" val="13"/>
      </iconSet>
    </cfRule>
  </conditionalFormatting>
  <conditionalFormatting sqref="BY42:BY43">
    <cfRule type="duplicateValues" dxfId="482" priority="128"/>
    <cfRule type="iconSet" priority="129">
      <iconSet>
        <cfvo type="percent" val="0"/>
        <cfvo type="percent" val="12"/>
        <cfvo type="percent" val="13"/>
      </iconSet>
    </cfRule>
  </conditionalFormatting>
  <conditionalFormatting sqref="BY46:BY47">
    <cfRule type="duplicateValues" dxfId="481" priority="126"/>
    <cfRule type="iconSet" priority="127">
      <iconSet>
        <cfvo type="percent" val="0"/>
        <cfvo type="percent" val="12"/>
        <cfvo type="percent" val="13"/>
      </iconSet>
    </cfRule>
  </conditionalFormatting>
  <conditionalFormatting sqref="BY50:BY51">
    <cfRule type="duplicateValues" dxfId="480" priority="124"/>
    <cfRule type="iconSet" priority="125">
      <iconSet>
        <cfvo type="percent" val="0"/>
        <cfvo type="percent" val="12"/>
        <cfvo type="percent" val="13"/>
      </iconSet>
    </cfRule>
  </conditionalFormatting>
  <conditionalFormatting sqref="BY54:BY55">
    <cfRule type="duplicateValues" dxfId="479" priority="122"/>
    <cfRule type="iconSet" priority="123">
      <iconSet>
        <cfvo type="percent" val="0"/>
        <cfvo type="percent" val="12"/>
        <cfvo type="percent" val="13"/>
      </iconSet>
    </cfRule>
  </conditionalFormatting>
  <conditionalFormatting sqref="BY58:BY59">
    <cfRule type="duplicateValues" dxfId="478" priority="120"/>
    <cfRule type="iconSet" priority="121">
      <iconSet>
        <cfvo type="percent" val="0"/>
        <cfvo type="percent" val="12"/>
        <cfvo type="percent" val="13"/>
      </iconSet>
    </cfRule>
  </conditionalFormatting>
  <conditionalFormatting sqref="BY62:BY63">
    <cfRule type="duplicateValues" dxfId="477" priority="118"/>
    <cfRule type="iconSet" priority="119">
      <iconSet>
        <cfvo type="percent" val="0"/>
        <cfvo type="percent" val="12"/>
        <cfvo type="percent" val="13"/>
      </iconSet>
    </cfRule>
  </conditionalFormatting>
  <conditionalFormatting sqref="BY66:BY67">
    <cfRule type="duplicateValues" dxfId="476" priority="116"/>
    <cfRule type="iconSet" priority="117">
      <iconSet>
        <cfvo type="percent" val="0"/>
        <cfvo type="percent" val="12"/>
        <cfvo type="percent" val="13"/>
      </iconSet>
    </cfRule>
  </conditionalFormatting>
  <conditionalFormatting sqref="BY70:BY71">
    <cfRule type="duplicateValues" dxfId="475" priority="114"/>
    <cfRule type="iconSet" priority="115">
      <iconSet>
        <cfvo type="percent" val="0"/>
        <cfvo type="percent" val="12"/>
        <cfvo type="percent" val="13"/>
      </iconSet>
    </cfRule>
  </conditionalFormatting>
  <conditionalFormatting sqref="AG8:AG1048576 AG6">
    <cfRule type="containsText" dxfId="474" priority="113" operator="containsText" text="OFFICE">
      <formula>NOT(ISERROR(SEARCH("OFFICE",AG6)))</formula>
    </cfRule>
  </conditionalFormatting>
  <conditionalFormatting sqref="AF40">
    <cfRule type="expression" dxfId="473" priority="112">
      <formula>OR($AG$40="OFFICE",)</formula>
    </cfRule>
  </conditionalFormatting>
  <conditionalFormatting sqref="AF44 AE43">
    <cfRule type="expression" dxfId="472" priority="111">
      <formula>(OR($AG$44="OFFICE"))</formula>
    </cfRule>
  </conditionalFormatting>
  <conditionalFormatting sqref="AF48 AE47">
    <cfRule type="expression" dxfId="471" priority="109">
      <formula>(OR($AG$48="OFFICE"))</formula>
    </cfRule>
  </conditionalFormatting>
  <conditionalFormatting sqref="AF52 AE51:AE52">
    <cfRule type="expression" dxfId="470" priority="107">
      <formula>(OR($AG$52="OFFICE"))</formula>
    </cfRule>
  </conditionalFormatting>
  <conditionalFormatting sqref="AF60 AE59">
    <cfRule type="expression" dxfId="469" priority="106">
      <formula>(OR($AG$60="OFFICE"))</formula>
    </cfRule>
  </conditionalFormatting>
  <conditionalFormatting sqref="AF64 AE63:AE64">
    <cfRule type="expression" dxfId="468" priority="104">
      <formula>(OR($AG$64="OFFICE"))</formula>
    </cfRule>
  </conditionalFormatting>
  <conditionalFormatting sqref="AF68 AE67:AE68">
    <cfRule type="expression" dxfId="467" priority="103">
      <formula>(OR($AG$68="OFFICE"))</formula>
    </cfRule>
  </conditionalFormatting>
  <conditionalFormatting sqref="AF72 AE71:AE72">
    <cfRule type="expression" dxfId="466" priority="102">
      <formula>(OR($AG$72="OFFICE"))</formula>
    </cfRule>
  </conditionalFormatting>
  <conditionalFormatting sqref="AE39:AE40">
    <cfRule type="expression" dxfId="465" priority="101">
      <formula>(OR($AG$40="OFFICE"))</formula>
    </cfRule>
  </conditionalFormatting>
  <conditionalFormatting sqref="AE55 AF56">
    <cfRule type="expression" dxfId="464" priority="96">
      <formula>(OR($AG$56="OFFICE"))</formula>
    </cfRule>
  </conditionalFormatting>
  <conditionalFormatting sqref="AE9:AE41 AE43 AE45 AE47 AE49 AE51:AE53 AE55 AE57 AE59 AE61:AE72">
    <cfRule type="duplicateValues" dxfId="463" priority="91"/>
  </conditionalFormatting>
  <conditionalFormatting sqref="AU10:AU11">
    <cfRule type="iconSet" priority="90">
      <iconSet iconSet="3Signs">
        <cfvo type="percent" val="0"/>
        <cfvo type="percent" val="12"/>
        <cfvo type="percent" val="13" gte="0"/>
      </iconSet>
    </cfRule>
  </conditionalFormatting>
  <conditionalFormatting sqref="AU14:AU15">
    <cfRule type="iconSet" priority="89">
      <iconSet iconSet="3Signs">
        <cfvo type="percent" val="0"/>
        <cfvo type="percent" val="12"/>
        <cfvo type="percent" val="13" gte="0"/>
      </iconSet>
    </cfRule>
  </conditionalFormatting>
  <conditionalFormatting sqref="AU18:AU19">
    <cfRule type="iconSet" priority="88">
      <iconSet iconSet="3Signs">
        <cfvo type="percent" val="0"/>
        <cfvo type="percent" val="12"/>
        <cfvo type="percent" val="13" gte="0"/>
      </iconSet>
    </cfRule>
  </conditionalFormatting>
  <conditionalFormatting sqref="AU22:AU23">
    <cfRule type="iconSet" priority="87">
      <iconSet iconSet="3Signs">
        <cfvo type="percent" val="0"/>
        <cfvo type="percent" val="12"/>
        <cfvo type="percent" val="13" gte="0"/>
      </iconSet>
    </cfRule>
  </conditionalFormatting>
  <conditionalFormatting sqref="AU26:AU27">
    <cfRule type="iconSet" priority="86">
      <iconSet iconSet="3Signs">
        <cfvo type="percent" val="0"/>
        <cfvo type="percent" val="12"/>
        <cfvo type="percent" val="13" gte="0"/>
      </iconSet>
    </cfRule>
  </conditionalFormatting>
  <conditionalFormatting sqref="AU30:AU31">
    <cfRule type="iconSet" priority="85">
      <iconSet iconSet="3Signs">
        <cfvo type="percent" val="0"/>
        <cfvo type="percent" val="12"/>
        <cfvo type="percent" val="13" gte="0"/>
      </iconSet>
    </cfRule>
  </conditionalFormatting>
  <conditionalFormatting sqref="AU34:AU35">
    <cfRule type="iconSet" priority="84">
      <iconSet iconSet="3Signs">
        <cfvo type="percent" val="0"/>
        <cfvo type="percent" val="12"/>
        <cfvo type="percent" val="13" gte="0"/>
      </iconSet>
    </cfRule>
  </conditionalFormatting>
  <conditionalFormatting sqref="AU38:AU39">
    <cfRule type="iconSet" priority="83">
      <iconSet iconSet="3Signs">
        <cfvo type="percent" val="0"/>
        <cfvo type="percent" val="12"/>
        <cfvo type="percent" val="13" gte="0"/>
      </iconSet>
    </cfRule>
  </conditionalFormatting>
  <conditionalFormatting sqref="AU42:AU43">
    <cfRule type="iconSet" priority="82">
      <iconSet iconSet="3Signs">
        <cfvo type="percent" val="0"/>
        <cfvo type="percent" val="12"/>
        <cfvo type="percent" val="13" gte="0"/>
      </iconSet>
    </cfRule>
  </conditionalFormatting>
  <conditionalFormatting sqref="AU46:AU47">
    <cfRule type="iconSet" priority="81">
      <iconSet iconSet="3Signs">
        <cfvo type="percent" val="0"/>
        <cfvo type="percent" val="12"/>
        <cfvo type="percent" val="13" gte="0"/>
      </iconSet>
    </cfRule>
  </conditionalFormatting>
  <conditionalFormatting sqref="AU50:AU51">
    <cfRule type="iconSet" priority="80">
      <iconSet iconSet="3Signs">
        <cfvo type="percent" val="0"/>
        <cfvo type="percent" val="12"/>
        <cfvo type="percent" val="13" gte="0"/>
      </iconSet>
    </cfRule>
  </conditionalFormatting>
  <conditionalFormatting sqref="AU54:AU55">
    <cfRule type="iconSet" priority="79">
      <iconSet iconSet="3Signs">
        <cfvo type="percent" val="0"/>
        <cfvo type="percent" val="12"/>
        <cfvo type="percent" val="13" gte="0"/>
      </iconSet>
    </cfRule>
  </conditionalFormatting>
  <conditionalFormatting sqref="AU58:AU59">
    <cfRule type="iconSet" priority="78">
      <iconSet iconSet="3Signs">
        <cfvo type="percent" val="0"/>
        <cfvo type="percent" val="12"/>
        <cfvo type="percent" val="13" gte="0"/>
      </iconSet>
    </cfRule>
  </conditionalFormatting>
  <conditionalFormatting sqref="AU62:AU63">
    <cfRule type="iconSet" priority="77">
      <iconSet iconSet="3Signs">
        <cfvo type="percent" val="0"/>
        <cfvo type="percent" val="12"/>
        <cfvo type="percent" val="13" gte="0"/>
      </iconSet>
    </cfRule>
  </conditionalFormatting>
  <conditionalFormatting sqref="AU66:AU67">
    <cfRule type="iconSet" priority="76">
      <iconSet iconSet="3Signs">
        <cfvo type="percent" val="0"/>
        <cfvo type="percent" val="12"/>
        <cfvo type="percent" val="13" gte="0"/>
      </iconSet>
    </cfRule>
  </conditionalFormatting>
  <conditionalFormatting sqref="AU70:AU71">
    <cfRule type="iconSet" priority="75">
      <iconSet iconSet="3Signs">
        <cfvo type="percent" val="0"/>
        <cfvo type="percent" val="12"/>
        <cfvo type="percent" val="13" gte="0"/>
      </iconSet>
    </cfRule>
  </conditionalFormatting>
  <conditionalFormatting sqref="BV10:BV71 BW10:BX49 BW52:BX53 BW56:BX58 BW60:BX62 BW64:BX66 BW68:BX70">
    <cfRule type="containsText" dxfId="462" priority="74" operator="containsText" text="OFFICE">
      <formula>NOT(ISERROR(SEARCH("OFFICE",BV10)))</formula>
    </cfRule>
  </conditionalFormatting>
  <conditionalFormatting sqref="BV27:BX27 BV31:BX31">
    <cfRule type="expression" dxfId="461" priority="70">
      <formula>(IF($J$10&gt;330,$J$10&lt;610))</formula>
    </cfRule>
  </conditionalFormatting>
  <conditionalFormatting sqref="BV58:BX58">
    <cfRule type="expression" dxfId="460" priority="66">
      <formula>(IF($J$10&gt;370,$J$10&lt;650))</formula>
    </cfRule>
    <cfRule type="expression" dxfId="459" priority="69">
      <formula>(IF($J$10&gt;350,$J$10&lt;370))</formula>
    </cfRule>
  </conditionalFormatting>
  <conditionalFormatting sqref="BV62:BX62">
    <cfRule type="expression" dxfId="458" priority="38">
      <formula>(IF($J$10&gt;530,$J$10&lt;650))</formula>
    </cfRule>
    <cfRule type="expression" dxfId="457" priority="65">
      <formula>(IF($J$10&gt;370,$J$10&lt;530))</formula>
    </cfRule>
    <cfRule type="expression" dxfId="456" priority="67">
      <formula>(IF($J$10&gt;360,$J$10&lt;370))</formula>
    </cfRule>
  </conditionalFormatting>
  <conditionalFormatting sqref="BV19:BX19">
    <cfRule type="expression" dxfId="455" priority="43">
      <formula>(IF($J$10&gt;490,$J$10&lt;650))</formula>
    </cfRule>
    <cfRule type="expression" dxfId="454" priority="64">
      <formula>(IF($J$10&gt;380,$J$10&lt;460))</formula>
    </cfRule>
  </conditionalFormatting>
  <conditionalFormatting sqref="BV66:BX66">
    <cfRule type="expression" dxfId="453" priority="59">
      <formula>(IF($J$10&gt;410,$J$10&lt;650))</formula>
    </cfRule>
    <cfRule type="expression" dxfId="452" priority="63">
      <formula>(IF($J$10&gt;390,$J$10&lt;410))</formula>
    </cfRule>
  </conditionalFormatting>
  <conditionalFormatting sqref="AY47">
    <cfRule type="expression" dxfId="451" priority="62">
      <formula>(IF(J10&gt;400,J10&lt;410))</formula>
    </cfRule>
  </conditionalFormatting>
  <conditionalFormatting sqref="BV10:BX71">
    <cfRule type="duplicateValues" dxfId="450" priority="61"/>
  </conditionalFormatting>
  <conditionalFormatting sqref="BV15:BX15">
    <cfRule type="expression" dxfId="449" priority="56">
      <formula>(IF(J10&gt;410,J10&lt;420))</formula>
    </cfRule>
    <cfRule type="expression" dxfId="448" priority="57">
      <formula>(IF(J10&gt;420,J10&lt;650))</formula>
    </cfRule>
    <cfRule type="expression" dxfId="447" priority="60">
      <formula>(IF(J10&gt;400,J10&lt;410))</formula>
    </cfRule>
  </conditionalFormatting>
  <conditionalFormatting sqref="BV70:BX70">
    <cfRule type="expression" dxfId="446" priority="47">
      <formula>(IF(J$10&gt;450,$J$10&lt;650))</formula>
    </cfRule>
    <cfRule type="expression" dxfId="445" priority="58">
      <formula>(IF($J$10&gt;420,$J$10&lt;450))</formula>
    </cfRule>
  </conditionalFormatting>
  <conditionalFormatting sqref="BV11:BX11">
    <cfRule type="expression" dxfId="444" priority="50">
      <formula>(IF($J$10&gt;450,$J$10&lt;6500))</formula>
    </cfRule>
    <cfRule type="expression" dxfId="443" priority="54">
      <formula>(IF($J$10&gt;430,$J$10&lt;450))</formula>
    </cfRule>
  </conditionalFormatting>
  <conditionalFormatting sqref="AY51">
    <cfRule type="expression" dxfId="442" priority="53">
      <formula>(IF($J$10&gt;440,$J$10&lt;450))</formula>
    </cfRule>
  </conditionalFormatting>
  <conditionalFormatting sqref="BV47:BX47">
    <cfRule type="expression" dxfId="441" priority="45">
      <formula>(IF($J$10&gt;490,$J$10&lt;650))</formula>
    </cfRule>
    <cfRule type="expression" dxfId="440" priority="46">
      <formula>(IF($J$10&gt;330,$J$10&lt;530))</formula>
    </cfRule>
  </conditionalFormatting>
  <conditionalFormatting sqref="BV43:BX43 BV23:BX23">
    <cfRule type="expression" dxfId="439" priority="41">
      <formula>(IF($J$10&gt;530,$J$10&lt;650))</formula>
    </cfRule>
  </conditionalFormatting>
  <conditionalFormatting sqref="AY31 AY27 AY23 AY19 AY11">
    <cfRule type="containsBlanks" dxfId="438" priority="5837">
      <formula>LEN(TRIM(AY11))=0</formula>
    </cfRule>
  </conditionalFormatting>
  <conditionalFormatting sqref="BV35:BX35">
    <cfRule type="expression" dxfId="437" priority="32">
      <formula>(IF($J$10&gt;570,$J$10&lt;650))</formula>
    </cfRule>
  </conditionalFormatting>
  <conditionalFormatting sqref="BV54:BX54">
    <cfRule type="expression" dxfId="436" priority="30">
      <formula>(IF($J$10&gt;570,$J$10&lt;650))</formula>
    </cfRule>
    <cfRule type="expression" dxfId="435" priority="31">
      <formula>(IF($J$10&gt;330,$J$10&lt;570))</formula>
    </cfRule>
  </conditionalFormatting>
  <conditionalFormatting sqref="BV43:BX43">
    <cfRule type="expression" dxfId="434" priority="27">
      <formula>(IF($J$10&gt;330,$J$10&lt;530))</formula>
    </cfRule>
  </conditionalFormatting>
  <conditionalFormatting sqref="BV50:BX50">
    <cfRule type="expression" dxfId="433" priority="22">
      <formula>(IF($J$10&gt;610,$J$10&lt;650))</formula>
    </cfRule>
    <cfRule type="expression" dxfId="432" priority="26">
      <formula>(IF($J$10&gt;330,$J$10&lt;580))</formula>
    </cfRule>
  </conditionalFormatting>
  <conditionalFormatting sqref="BV23:BX23">
    <cfRule type="expression" dxfId="431" priority="25">
      <formula>(IF($J$10&gt;340,$J$10&lt;530))</formula>
    </cfRule>
  </conditionalFormatting>
  <conditionalFormatting sqref="BV39:BX39">
    <cfRule type="expression" dxfId="430" priority="23">
      <formula>(IF($J$10&gt;570,$J$10&lt;650))</formula>
    </cfRule>
    <cfRule type="expression" dxfId="429" priority="24">
      <formula>(IF($J$10&gt;330,$J$10&lt;570))</formula>
    </cfRule>
  </conditionalFormatting>
  <conditionalFormatting sqref="BV27:BX27 BV31:BX31">
    <cfRule type="expression" dxfId="428" priority="21">
      <formula>(IF($J$10&gt;610,$J$10&lt;650))</formula>
    </cfRule>
  </conditionalFormatting>
  <conditionalFormatting sqref="AY69">
    <cfRule type="expression" dxfId="427" priority="8215" stopIfTrue="1">
      <formula>(OR(CO25="1",CO25="2",CO25="3"))</formula>
    </cfRule>
  </conditionalFormatting>
  <conditionalFormatting sqref="AY70">
    <cfRule type="expression" dxfId="426" priority="8216">
      <formula>(OR(CO25="2",CO25="3"))</formula>
    </cfRule>
  </conditionalFormatting>
  <conditionalFormatting sqref="AY71">
    <cfRule type="cellIs" dxfId="425" priority="8217" operator="equal">
      <formula>0</formula>
    </cfRule>
    <cfRule type="expression" dxfId="424" priority="8218">
      <formula>(CO25="3")</formula>
    </cfRule>
  </conditionalFormatting>
  <conditionalFormatting sqref="CR46:CR47">
    <cfRule type="duplicateValues" dxfId="423" priority="16"/>
    <cfRule type="iconSet" priority="17">
      <iconSet>
        <cfvo type="percent" val="0"/>
        <cfvo type="percent" val="12"/>
        <cfvo type="percent" val="13"/>
      </iconSet>
    </cfRule>
  </conditionalFormatting>
  <conditionalFormatting sqref="CR52:CR53">
    <cfRule type="duplicateValues" dxfId="422" priority="14"/>
    <cfRule type="iconSet" priority="15">
      <iconSet>
        <cfvo type="percent" val="0"/>
        <cfvo type="percent" val="12"/>
        <cfvo type="percent" val="13"/>
      </iconSet>
    </cfRule>
  </conditionalFormatting>
  <conditionalFormatting sqref="CX46:CX47">
    <cfRule type="duplicateValues" dxfId="421" priority="12"/>
    <cfRule type="iconSet" priority="13">
      <iconSet>
        <cfvo type="percent" val="0"/>
        <cfvo type="percent" val="12"/>
        <cfvo type="percent" val="13"/>
      </iconSet>
    </cfRule>
  </conditionalFormatting>
  <conditionalFormatting sqref="CX52:CX53">
    <cfRule type="duplicateValues" dxfId="420" priority="10"/>
    <cfRule type="iconSet" priority="11">
      <iconSet>
        <cfvo type="percent" val="0"/>
        <cfvo type="percent" val="12"/>
        <cfvo type="percent" val="13"/>
      </iconSet>
    </cfRule>
  </conditionalFormatting>
  <conditionalFormatting sqref="DB17">
    <cfRule type="expression" dxfId="419" priority="8">
      <formula>(OR(CZ7+CZ8&gt;0,CZ7+CZ8&lt;9))</formula>
    </cfRule>
  </conditionalFormatting>
  <conditionalFormatting sqref="CA10:CA40">
    <cfRule type="duplicateValues" dxfId="418" priority="7"/>
  </conditionalFormatting>
  <conditionalFormatting sqref="AC9:AC72">
    <cfRule type="duplicateValues" dxfId="417" priority="6"/>
  </conditionalFormatting>
  <conditionalFormatting sqref="E17:T17">
    <cfRule type="containsText" dxfId="416" priority="5" operator="containsText" text="3">
      <formula>NOT(ISERROR(SEARCH("3",E17)))</formula>
    </cfRule>
  </conditionalFormatting>
  <conditionalFormatting sqref="AF36">
    <cfRule type="expression" dxfId="415" priority="2">
      <formula>(OR($AG$36="OFFICE"))</formula>
    </cfRule>
  </conditionalFormatting>
  <conditionalFormatting sqref="AY13">
    <cfRule type="expression" dxfId="414" priority="8740" stopIfTrue="1">
      <formula>(OR(#REF!="1",#REF!="2",#REF!="3"))</formula>
    </cfRule>
  </conditionalFormatting>
  <conditionalFormatting sqref="AY14">
    <cfRule type="expression" dxfId="413" priority="8741">
      <formula>(OR(#REF!="2",#REF!="3"))</formula>
    </cfRule>
  </conditionalFormatting>
  <conditionalFormatting sqref="AY15">
    <cfRule type="cellIs" dxfId="412" priority="8742" operator="equal">
      <formula>0</formula>
    </cfRule>
    <cfRule type="expression" dxfId="411" priority="8743">
      <formula>(#REF!="3")</formula>
    </cfRule>
  </conditionalFormatting>
  <conditionalFormatting sqref="AY9">
    <cfRule type="expression" dxfId="410" priority="8744" stopIfTrue="1">
      <formula>(OR(#REF!="1",#REF!="2",#REF!="3"))</formula>
    </cfRule>
  </conditionalFormatting>
  <conditionalFormatting sqref="AY10">
    <cfRule type="expression" dxfId="409" priority="8745">
      <formula>(OR(#REF!="2",#REF!="3"))</formula>
    </cfRule>
  </conditionalFormatting>
  <conditionalFormatting sqref="AY11">
    <cfRule type="cellIs" dxfId="408" priority="8746" operator="equal">
      <formula>0</formula>
    </cfRule>
    <cfRule type="expression" dxfId="407" priority="8747">
      <formula>(#REF!="3")</formula>
    </cfRule>
  </conditionalFormatting>
  <conditionalFormatting sqref="Q42">
    <cfRule type="expression" dxfId="406" priority="8755">
      <formula>(OR($AG$52))</formula>
    </cfRule>
  </conditionalFormatting>
  <conditionalFormatting sqref="AY43">
    <cfRule type="expression" dxfId="405" priority="8771">
      <formula>(IF(J10&gt;360,J10&lt;440))</formula>
    </cfRule>
    <cfRule type="cellIs" dxfId="404" priority="8772" operator="equal">
      <formula>0</formula>
    </cfRule>
    <cfRule type="expression" dxfId="403" priority="8773">
      <formula>(DE1048568="3")</formula>
    </cfRule>
  </conditionalFormatting>
  <dataValidations count="3">
    <dataValidation type="list" allowBlank="1" showInputMessage="1" showErrorMessage="1" sqref="J5:L5">
      <formula1>INDIRECT($D$5)</formula1>
    </dataValidation>
    <dataValidation type="list" allowBlank="1" showInputMessage="1" showErrorMessage="1" sqref="J3">
      <formula1>INDIRECT($H$3)</formula1>
    </dataValidation>
    <dataValidation type="list" allowBlank="1" showInputMessage="1" showErrorMessage="1" sqref="D5:F5">
      <formula1>INDIRECT($B$5)</formula1>
    </dataValidation>
  </dataValidations>
  <pageMargins left="0.7" right="0.7" top="0.75" bottom="0.75" header="0.3" footer="0.3"/>
  <pageSetup paperSize="9" orientation="portrait" horizont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rgb="FFFFFF00"/>
  </sheetPr>
  <dimension ref="A1:AN43"/>
  <sheetViews>
    <sheetView zoomScale="80" zoomScaleNormal="80" zoomScaleSheetLayoutView="80" workbookViewId="0">
      <selection activeCell="F21" sqref="F21"/>
    </sheetView>
  </sheetViews>
  <sheetFormatPr baseColWidth="10" defaultRowHeight="15"/>
  <cols>
    <col min="1" max="1" width="4.42578125" style="7" customWidth="1"/>
    <col min="2" max="2" width="8.28515625" style="7" customWidth="1"/>
    <col min="3" max="3" width="6.85546875" style="7" customWidth="1"/>
    <col min="4" max="5" width="8.7109375" style="7" customWidth="1"/>
    <col min="6" max="6" width="6.85546875" style="7" customWidth="1"/>
    <col min="7" max="7" width="6.7109375" style="7" customWidth="1"/>
    <col min="8" max="8" width="8.5703125" style="7" customWidth="1"/>
    <col min="9" max="9" width="6.7109375" style="7" customWidth="1"/>
    <col min="10" max="10" width="6.85546875" style="7" customWidth="1"/>
    <col min="11" max="11" width="8.85546875" style="7" customWidth="1"/>
    <col min="12" max="13" width="8.7109375" style="7" customWidth="1"/>
    <col min="14" max="14" width="9" style="7" customWidth="1"/>
    <col min="15" max="16" width="6.7109375" style="7" customWidth="1"/>
    <col min="17" max="17" width="4.5703125" style="7" customWidth="1"/>
    <col min="18" max="18" width="7" style="7" customWidth="1"/>
    <col min="19" max="19" width="6.7109375" style="7" customWidth="1"/>
    <col min="20" max="22" width="8.7109375" style="7" customWidth="1"/>
    <col min="23" max="23" width="6.7109375" style="7" customWidth="1"/>
    <col min="24" max="24" width="8.7109375" style="7" customWidth="1"/>
    <col min="25" max="26" width="6.7109375" style="7" customWidth="1"/>
    <col min="27" max="27" width="6.85546875" style="7" customWidth="1"/>
    <col min="28" max="29" width="8.7109375" style="7" customWidth="1"/>
    <col min="30" max="30" width="6.7109375" style="7" customWidth="1"/>
    <col min="31" max="31" width="6.85546875" style="7" customWidth="1"/>
    <col min="32" max="32" width="6.42578125" style="7" customWidth="1"/>
    <col min="33" max="33" width="12.7109375" customWidth="1"/>
    <col min="34" max="34" width="11.5703125" customWidth="1"/>
    <col min="35" max="16384" width="11.42578125" style="7"/>
  </cols>
  <sheetData>
    <row r="1" spans="1:37" s="50" customFormat="1" ht="30" customHeight="1" thickBot="1">
      <c r="B1" s="948" t="s">
        <v>78</v>
      </c>
      <c r="C1" s="935"/>
      <c r="D1" s="935"/>
      <c r="E1" s="935">
        <f>Données!J1</f>
        <v>0</v>
      </c>
      <c r="F1" s="935"/>
      <c r="G1" s="935"/>
      <c r="H1" s="63" t="str">
        <f>Données!$D$3</f>
        <v>F_U18</v>
      </c>
      <c r="I1" s="935">
        <f>Données!$J$3</f>
        <v>0</v>
      </c>
      <c r="J1" s="935"/>
      <c r="K1" s="935"/>
      <c r="L1" s="935"/>
      <c r="M1" s="64" t="str">
        <f>Données!$E$5</f>
        <v>Simple</v>
      </c>
      <c r="N1" s="948" t="s">
        <v>145</v>
      </c>
      <c r="O1" s="936"/>
      <c r="P1" s="17">
        <f>Données!$L13</f>
        <v>0</v>
      </c>
      <c r="Q1" s="65"/>
      <c r="R1" s="948" t="s">
        <v>78</v>
      </c>
      <c r="S1" s="935"/>
      <c r="T1" s="935"/>
      <c r="U1" s="935">
        <f>Données!J1</f>
        <v>0</v>
      </c>
      <c r="V1" s="935"/>
      <c r="W1" s="935"/>
      <c r="X1" s="63" t="str">
        <f>Données!$D$3</f>
        <v>F_U18</v>
      </c>
      <c r="Y1" s="935">
        <f>Données!$J$3</f>
        <v>0</v>
      </c>
      <c r="Z1" s="935"/>
      <c r="AA1" s="935"/>
      <c r="AB1" s="935"/>
      <c r="AC1" s="64" t="str">
        <f>Données!$E$5</f>
        <v>Simple</v>
      </c>
      <c r="AD1" s="948" t="s">
        <v>145</v>
      </c>
      <c r="AE1" s="936"/>
      <c r="AF1" s="17">
        <f>Données!$L13</f>
        <v>0</v>
      </c>
      <c r="AG1" s="66"/>
      <c r="AH1" s="66"/>
      <c r="AI1" s="67"/>
      <c r="AJ1" s="67"/>
    </row>
    <row r="2" spans="1:37" ht="20.100000000000001" customHeight="1" thickBot="1">
      <c r="B2" s="946" t="s">
        <v>18</v>
      </c>
      <c r="C2" s="947"/>
      <c r="D2" s="947"/>
      <c r="E2" s="8">
        <f>Données!$E$17</f>
        <v>0</v>
      </c>
      <c r="F2" s="931" t="s">
        <v>14</v>
      </c>
      <c r="G2" s="931"/>
      <c r="H2" s="9">
        <f>+Données!E18</f>
        <v>0</v>
      </c>
      <c r="I2" s="932" t="s">
        <v>15</v>
      </c>
      <c r="J2" s="933"/>
      <c r="K2" s="933"/>
      <c r="L2" s="934">
        <f ca="1">TODAY()</f>
        <v>44217</v>
      </c>
      <c r="M2" s="935"/>
      <c r="N2" s="935"/>
      <c r="O2" s="935"/>
      <c r="P2" s="936"/>
      <c r="Q2" s="4"/>
      <c r="R2" s="946" t="s">
        <v>19</v>
      </c>
      <c r="S2" s="947"/>
      <c r="T2" s="947"/>
      <c r="U2" s="8">
        <f>+Données!F18</f>
        <v>0</v>
      </c>
      <c r="V2" s="931" t="s">
        <v>14</v>
      </c>
      <c r="W2" s="931"/>
      <c r="X2" s="9">
        <f>Données!$F$19</f>
        <v>0</v>
      </c>
      <c r="Y2" s="932" t="s">
        <v>15</v>
      </c>
      <c r="Z2" s="933"/>
      <c r="AA2" s="933"/>
      <c r="AB2" s="934">
        <f ca="1">TODAY()</f>
        <v>44217</v>
      </c>
      <c r="AC2" s="935"/>
      <c r="AD2" s="935"/>
      <c r="AE2" s="935"/>
      <c r="AF2" s="936"/>
      <c r="AI2" s="6"/>
      <c r="AJ2" s="6"/>
    </row>
    <row r="3" spans="1:37" ht="20.100000000000001" customHeight="1" thickBot="1">
      <c r="A3" s="58"/>
      <c r="B3" s="189">
        <f>+Données!J11</f>
        <v>0</v>
      </c>
      <c r="C3" s="76"/>
      <c r="D3" s="76"/>
      <c r="E3" s="76"/>
      <c r="F3" s="77" t="str">
        <f>CONCATENATE(E2,H2)</f>
        <v>00</v>
      </c>
      <c r="G3" s="76"/>
      <c r="H3" s="76"/>
      <c r="I3" s="76"/>
      <c r="J3" s="76"/>
      <c r="K3" s="76"/>
      <c r="L3" s="76"/>
      <c r="M3" s="76"/>
      <c r="N3" s="76"/>
      <c r="O3" s="76"/>
      <c r="P3" s="78"/>
      <c r="Q3" s="79"/>
      <c r="R3" s="191">
        <f>+Données!$J$11</f>
        <v>0</v>
      </c>
      <c r="S3" s="149"/>
      <c r="T3" s="149"/>
      <c r="U3" s="151"/>
      <c r="V3" s="77" t="str">
        <f>CONCATENATE(U2,X2)</f>
        <v>00</v>
      </c>
      <c r="W3" s="149"/>
      <c r="X3" s="149"/>
      <c r="Y3" s="149"/>
      <c r="Z3" s="149"/>
      <c r="AA3" s="149"/>
      <c r="AB3" s="149"/>
      <c r="AC3" s="149"/>
      <c r="AD3" s="149"/>
      <c r="AE3" s="149"/>
      <c r="AF3" s="150"/>
      <c r="AI3" s="6"/>
      <c r="AJ3" s="6"/>
    </row>
    <row r="4" spans="1:37" ht="20.100000000000001" customHeight="1" thickBot="1">
      <c r="A4" s="58"/>
      <c r="B4" s="949" t="s">
        <v>167</v>
      </c>
      <c r="C4" s="950"/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0"/>
      <c r="O4" s="950"/>
      <c r="P4" s="951"/>
      <c r="Q4" s="82"/>
      <c r="R4" s="940" t="s">
        <v>167</v>
      </c>
      <c r="S4" s="941"/>
      <c r="T4" s="941"/>
      <c r="U4" s="941"/>
      <c r="V4" s="941"/>
      <c r="W4" s="941"/>
      <c r="X4" s="941"/>
      <c r="Y4" s="941"/>
      <c r="Z4" s="941"/>
      <c r="AA4" s="941"/>
      <c r="AB4" s="941"/>
      <c r="AC4" s="941"/>
      <c r="AD4" s="941"/>
      <c r="AE4" s="941"/>
      <c r="AF4" s="942"/>
      <c r="AI4" s="6"/>
    </row>
    <row r="5" spans="1:37" ht="20.100000000000001" customHeight="1">
      <c r="A5" s="58"/>
      <c r="B5" s="75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  <c r="Q5" s="79"/>
      <c r="R5" s="75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3"/>
      <c r="AI5" s="6"/>
      <c r="AJ5" s="6"/>
    </row>
    <row r="6" spans="1:37" s="20" customFormat="1" ht="20.100000000000001" customHeight="1" thickBot="1">
      <c r="A6" s="58"/>
      <c r="B6" s="75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4"/>
      <c r="Q6" s="79"/>
      <c r="R6" s="75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4"/>
      <c r="AG6"/>
      <c r="AH6"/>
      <c r="AI6" s="19"/>
      <c r="AJ6" s="19"/>
    </row>
    <row r="7" spans="1:37" ht="20.100000000000001" customHeight="1" thickBot="1">
      <c r="A7" s="58"/>
      <c r="B7" s="85" t="s">
        <v>1</v>
      </c>
      <c r="C7" s="86" t="s">
        <v>10</v>
      </c>
      <c r="D7" s="80"/>
      <c r="E7" s="81"/>
      <c r="F7" s="81"/>
      <c r="G7" s="76" t="s">
        <v>0</v>
      </c>
      <c r="H7" s="76"/>
      <c r="I7" s="76"/>
      <c r="J7" s="76" t="s">
        <v>1</v>
      </c>
      <c r="K7" s="86" t="str">
        <f>IF(E2=2,"","C")</f>
        <v>C</v>
      </c>
      <c r="L7" s="80"/>
      <c r="M7" s="81"/>
      <c r="N7" s="81"/>
      <c r="O7" s="76" t="s">
        <v>0</v>
      </c>
      <c r="P7" s="78"/>
      <c r="Q7" s="79"/>
      <c r="R7" s="85" t="s">
        <v>1</v>
      </c>
      <c r="S7" s="86" t="s">
        <v>10</v>
      </c>
      <c r="T7" s="80"/>
      <c r="U7" s="81"/>
      <c r="V7" s="81"/>
      <c r="W7" s="76" t="s">
        <v>0</v>
      </c>
      <c r="X7" s="76"/>
      <c r="Y7" s="76"/>
      <c r="Z7" s="76" t="s">
        <v>1</v>
      </c>
      <c r="AA7" s="86" t="str">
        <f>IF(U2=2,"","C")</f>
        <v>C</v>
      </c>
      <c r="AB7" s="80"/>
      <c r="AC7" s="81"/>
      <c r="AD7" s="81"/>
      <c r="AE7" s="76" t="s">
        <v>0</v>
      </c>
      <c r="AF7" s="78"/>
      <c r="AI7"/>
      <c r="AJ7" s="6"/>
      <c r="AK7" s="6"/>
    </row>
    <row r="8" spans="1:37" ht="20.100000000000001" customHeight="1" thickBot="1">
      <c r="A8" s="87">
        <v>1</v>
      </c>
      <c r="B8" s="899">
        <v>1</v>
      </c>
      <c r="C8" s="902">
        <f>+Données!AG6</f>
        <v>0</v>
      </c>
      <c r="D8" s="903"/>
      <c r="E8" s="903"/>
      <c r="F8" s="904"/>
      <c r="G8" s="88">
        <v>1</v>
      </c>
      <c r="H8" s="89"/>
      <c r="I8" s="90">
        <v>3</v>
      </c>
      <c r="J8" s="899">
        <v>2</v>
      </c>
      <c r="K8" s="902">
        <f>+Données!AG8</f>
        <v>0</v>
      </c>
      <c r="L8" s="903"/>
      <c r="M8" s="903"/>
      <c r="N8" s="904"/>
      <c r="O8" s="88">
        <v>3</v>
      </c>
      <c r="P8" s="78"/>
      <c r="Q8" s="91">
        <v>5</v>
      </c>
      <c r="R8" s="899">
        <v>3</v>
      </c>
      <c r="S8" s="902">
        <f>+Données!AG10</f>
        <v>0</v>
      </c>
      <c r="T8" s="903"/>
      <c r="U8" s="903"/>
      <c r="V8" s="904"/>
      <c r="W8" s="88">
        <v>5</v>
      </c>
      <c r="X8" s="89"/>
      <c r="Y8" s="90">
        <v>7</v>
      </c>
      <c r="Z8" s="899">
        <v>4</v>
      </c>
      <c r="AA8" s="902">
        <f>+Données!AG12</f>
        <v>0</v>
      </c>
      <c r="AB8" s="903"/>
      <c r="AC8" s="903"/>
      <c r="AD8" s="904"/>
      <c r="AE8" s="88">
        <v>7</v>
      </c>
      <c r="AF8" s="78"/>
      <c r="AI8"/>
      <c r="AJ8" s="6"/>
      <c r="AK8" s="6"/>
    </row>
    <row r="9" spans="1:37" ht="20.100000000000001" customHeight="1" thickBot="1">
      <c r="A9" s="87">
        <v>2</v>
      </c>
      <c r="B9" s="900"/>
      <c r="C9" s="937">
        <f>+Données!AG7</f>
        <v>0</v>
      </c>
      <c r="D9" s="938"/>
      <c r="E9" s="938"/>
      <c r="F9" s="939"/>
      <c r="G9" s="92">
        <v>0</v>
      </c>
      <c r="H9" s="89"/>
      <c r="I9" s="90">
        <v>4</v>
      </c>
      <c r="J9" s="900"/>
      <c r="K9" s="953">
        <f>+Données!AG9</f>
        <v>0</v>
      </c>
      <c r="L9" s="954"/>
      <c r="M9" s="954"/>
      <c r="N9" s="955"/>
      <c r="O9" s="88">
        <v>0</v>
      </c>
      <c r="P9" s="78"/>
      <c r="Q9" s="91">
        <v>6</v>
      </c>
      <c r="R9" s="900"/>
      <c r="S9" s="937">
        <f>+Données!AG11</f>
        <v>0</v>
      </c>
      <c r="T9" s="938"/>
      <c r="U9" s="938"/>
      <c r="V9" s="939"/>
      <c r="W9" s="92">
        <v>0</v>
      </c>
      <c r="X9" s="89"/>
      <c r="Y9" s="90">
        <v>8</v>
      </c>
      <c r="Z9" s="900"/>
      <c r="AA9" s="937">
        <f>+Données!AG13</f>
        <v>0</v>
      </c>
      <c r="AB9" s="938"/>
      <c r="AC9" s="938"/>
      <c r="AD9" s="939"/>
      <c r="AE9" s="88">
        <v>0</v>
      </c>
      <c r="AF9" s="78"/>
      <c r="AH9" s="198" t="s">
        <v>165</v>
      </c>
      <c r="AI9"/>
      <c r="AJ9" s="6"/>
      <c r="AK9" s="6"/>
    </row>
    <row r="10" spans="1:37" ht="20.100000000000001" customHeight="1" thickBot="1">
      <c r="A10" s="58"/>
      <c r="B10" s="75"/>
      <c r="C10" s="93" t="s">
        <v>11</v>
      </c>
      <c r="D10" s="80"/>
      <c r="E10" s="81"/>
      <c r="F10" s="81"/>
      <c r="G10" s="81"/>
      <c r="H10" s="81"/>
      <c r="I10" s="81"/>
      <c r="J10" s="81"/>
      <c r="K10" s="86" t="s">
        <v>48</v>
      </c>
      <c r="L10" s="80"/>
      <c r="M10" s="81"/>
      <c r="N10" s="81"/>
      <c r="O10" s="81"/>
      <c r="P10" s="94"/>
      <c r="Q10" s="79"/>
      <c r="R10" s="75"/>
      <c r="S10" s="93" t="s">
        <v>11</v>
      </c>
      <c r="T10" s="80"/>
      <c r="U10" s="81"/>
      <c r="V10" s="81"/>
      <c r="W10" s="81"/>
      <c r="X10" s="81"/>
      <c r="Y10" s="81"/>
      <c r="Z10" s="81"/>
      <c r="AA10" s="86" t="s">
        <v>48</v>
      </c>
      <c r="AB10" s="80"/>
      <c r="AC10" s="81"/>
      <c r="AD10" s="81"/>
      <c r="AE10" s="81"/>
      <c r="AF10" s="94"/>
      <c r="AI10"/>
      <c r="AJ10" s="6"/>
      <c r="AK10" s="6"/>
    </row>
    <row r="11" spans="1:37" ht="20.100000000000001" customHeight="1">
      <c r="A11" s="58"/>
      <c r="B11" s="75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94"/>
      <c r="Q11" s="79"/>
      <c r="R11" s="75"/>
      <c r="S11" s="95"/>
      <c r="T11" s="95"/>
      <c r="U11" s="95"/>
      <c r="V11" s="95"/>
      <c r="W11" s="81"/>
      <c r="X11" s="81"/>
      <c r="Y11" s="81"/>
      <c r="Z11" s="81"/>
      <c r="AA11" s="81"/>
      <c r="AB11" s="81"/>
      <c r="AC11" s="81"/>
      <c r="AD11" s="81"/>
      <c r="AE11" s="81"/>
      <c r="AF11" s="94"/>
      <c r="AI11"/>
      <c r="AJ11" s="6"/>
      <c r="AK11" s="6"/>
    </row>
    <row r="12" spans="1:37" ht="20.100000000000001" customHeight="1" thickBot="1">
      <c r="A12" s="58"/>
      <c r="B12" s="85" t="s">
        <v>1</v>
      </c>
      <c r="C12" s="81"/>
      <c r="D12" s="952" t="s">
        <v>75</v>
      </c>
      <c r="E12" s="952"/>
      <c r="F12" s="81"/>
      <c r="G12" s="76" t="s">
        <v>0</v>
      </c>
      <c r="H12" s="76"/>
      <c r="I12" s="76"/>
      <c r="J12" s="76" t="s">
        <v>1</v>
      </c>
      <c r="K12" s="81"/>
      <c r="L12" s="901" t="s">
        <v>74</v>
      </c>
      <c r="M12" s="901"/>
      <c r="O12" s="76" t="s">
        <v>0</v>
      </c>
      <c r="P12" s="78"/>
      <c r="Q12" s="79"/>
      <c r="R12" s="96" t="s">
        <v>1</v>
      </c>
      <c r="S12" s="95"/>
      <c r="T12" s="952" t="s">
        <v>75</v>
      </c>
      <c r="U12" s="952"/>
      <c r="V12" s="95"/>
      <c r="W12" s="76" t="s">
        <v>0</v>
      </c>
      <c r="X12" s="76"/>
      <c r="Y12" s="76"/>
      <c r="Z12" s="76" t="s">
        <v>1</v>
      </c>
      <c r="AA12" s="76"/>
      <c r="AB12" s="901" t="s">
        <v>74</v>
      </c>
      <c r="AC12" s="901"/>
      <c r="AD12" s="81"/>
      <c r="AE12" s="76" t="s">
        <v>0</v>
      </c>
      <c r="AF12" s="97"/>
      <c r="AI12"/>
      <c r="AJ12"/>
    </row>
    <row r="13" spans="1:37" ht="20.100000000000001" customHeight="1" thickBot="1">
      <c r="A13" s="58"/>
      <c r="B13" s="897">
        <f>+'Tableau Général'!AL9</f>
        <v>4</v>
      </c>
      <c r="C13" s="902">
        <f>IF($G$8=$G$9,"résultat",IF($G$8&gt;$G$9,$C$9,$C$8))</f>
        <v>0</v>
      </c>
      <c r="D13" s="905"/>
      <c r="E13" s="905"/>
      <c r="F13" s="906"/>
      <c r="G13" s="88">
        <v>1</v>
      </c>
      <c r="H13" s="89"/>
      <c r="I13" s="76"/>
      <c r="J13" s="897">
        <f>+'Tableau Général'!AL11</f>
        <v>5</v>
      </c>
      <c r="K13" s="902">
        <f>IF($O$8=$O$9,"résultat",IF($O$8&gt;$O$9,$K$8,$K$9))</f>
        <v>0</v>
      </c>
      <c r="L13" s="903"/>
      <c r="M13" s="903"/>
      <c r="N13" s="904"/>
      <c r="O13" s="88">
        <v>0</v>
      </c>
      <c r="P13" s="98"/>
      <c r="Q13" s="79"/>
      <c r="R13" s="897">
        <f>+'Tableau Général'!AL13</f>
        <v>6</v>
      </c>
      <c r="S13" s="902">
        <f>IF($W$8=$W$9,"résultat",IF($W$8&gt;$W$9,$S$9,$S$8))</f>
        <v>0</v>
      </c>
      <c r="T13" s="905"/>
      <c r="U13" s="905"/>
      <c r="V13" s="906"/>
      <c r="W13" s="88">
        <v>5</v>
      </c>
      <c r="X13" s="89"/>
      <c r="Y13" s="76"/>
      <c r="Z13" s="899">
        <f>+'Tableau Général'!AL15</f>
        <v>7</v>
      </c>
      <c r="AA13" s="902">
        <f>IF(AE8=AE9,"résultat",IF($AE$8&gt;$AE$9,$AA$8,$AA$9))</f>
        <v>0</v>
      </c>
      <c r="AB13" s="903"/>
      <c r="AC13" s="903"/>
      <c r="AD13" s="904"/>
      <c r="AE13" s="88">
        <v>0</v>
      </c>
      <c r="AF13" s="99">
        <f>IF(W8&gt;W9,1)+IF(AE8&gt;AE9,1)</f>
        <v>2</v>
      </c>
      <c r="AH13" s="198" t="s">
        <v>166</v>
      </c>
      <c r="AI13"/>
      <c r="AJ13"/>
    </row>
    <row r="14" spans="1:37" ht="20.100000000000001" customHeight="1" thickBot="1">
      <c r="A14" s="58"/>
      <c r="B14" s="898"/>
      <c r="C14" s="910">
        <f>IF($O$8=$O$9,"résultat",IF($O$8&lt;$O$9,$K$8,$K$9))</f>
        <v>0</v>
      </c>
      <c r="D14" s="911"/>
      <c r="E14" s="911"/>
      <c r="F14" s="912"/>
      <c r="G14" s="100">
        <v>0</v>
      </c>
      <c r="H14" s="101"/>
      <c r="I14" s="76"/>
      <c r="J14" s="898"/>
      <c r="K14" s="910">
        <f>IF(G8=G9,"résultat",IF($G$8&gt;$G$9,$C$8,$C$9))</f>
        <v>0</v>
      </c>
      <c r="L14" s="911"/>
      <c r="M14" s="911"/>
      <c r="N14" s="912"/>
      <c r="O14" s="92">
        <v>1</v>
      </c>
      <c r="P14" s="98"/>
      <c r="Q14" s="79"/>
      <c r="R14" s="898"/>
      <c r="S14" s="910">
        <f>IF($AE$8=$AE$9,"résultat",IF($AE$8&lt;$AE$9,$AA$8,$AA$9))</f>
        <v>0</v>
      </c>
      <c r="T14" s="911"/>
      <c r="U14" s="911"/>
      <c r="V14" s="912"/>
      <c r="W14" s="88">
        <v>0</v>
      </c>
      <c r="X14" s="89"/>
      <c r="Y14" s="76"/>
      <c r="Z14" s="900"/>
      <c r="AA14" s="910">
        <f>IF($W$9=$W$8,"résultat",IF(W8&gt;W9,S8,S9))</f>
        <v>0</v>
      </c>
      <c r="AB14" s="911"/>
      <c r="AC14" s="911"/>
      <c r="AD14" s="912"/>
      <c r="AE14" s="92">
        <v>1</v>
      </c>
      <c r="AF14" s="99">
        <f>IF(W8&gt;W9,1)+IF(AE9&gt;AE8,1)</f>
        <v>1</v>
      </c>
      <c r="AI14"/>
      <c r="AJ14"/>
    </row>
    <row r="15" spans="1:37" ht="20.100000000000001" customHeight="1">
      <c r="A15" s="58"/>
      <c r="B15" s="75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102"/>
      <c r="N15" s="102"/>
      <c r="O15" s="102"/>
      <c r="P15" s="84"/>
      <c r="Q15" s="81"/>
      <c r="R15" s="75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94"/>
      <c r="AI15" s="6"/>
      <c r="AJ15" s="6"/>
    </row>
    <row r="16" spans="1:37" ht="20.100000000000001" customHeight="1" thickBot="1">
      <c r="A16" s="58"/>
      <c r="B16" s="75"/>
      <c r="C16" s="81"/>
      <c r="D16" s="81"/>
      <c r="E16" s="81"/>
      <c r="F16" s="76" t="s">
        <v>1</v>
      </c>
      <c r="G16" s="81"/>
      <c r="H16" s="921" t="s">
        <v>170</v>
      </c>
      <c r="I16" s="921"/>
      <c r="J16" s="81"/>
      <c r="K16" s="76" t="s">
        <v>0</v>
      </c>
      <c r="L16" s="76"/>
      <c r="M16" s="102"/>
      <c r="N16" s="102"/>
      <c r="O16" s="102"/>
      <c r="P16" s="84"/>
      <c r="Q16" s="81"/>
      <c r="R16" s="75"/>
      <c r="S16" s="81"/>
      <c r="T16" s="81"/>
      <c r="U16" s="81"/>
      <c r="V16" s="76" t="s">
        <v>1</v>
      </c>
      <c r="W16" s="81"/>
      <c r="X16" s="921" t="s">
        <v>170</v>
      </c>
      <c r="Y16" s="921"/>
      <c r="Z16" s="81"/>
      <c r="AA16" s="76" t="s">
        <v>0</v>
      </c>
      <c r="AB16" s="76"/>
      <c r="AC16" s="102"/>
      <c r="AD16" s="102"/>
      <c r="AE16" s="102"/>
      <c r="AF16" s="103"/>
      <c r="AG16" s="6"/>
      <c r="AH16" s="7"/>
    </row>
    <row r="17" spans="1:40" ht="20.100000000000001" customHeight="1" thickBot="1">
      <c r="A17" s="58"/>
      <c r="B17" s="75"/>
      <c r="C17" s="920"/>
      <c r="D17" s="920"/>
      <c r="E17" s="76"/>
      <c r="F17" s="897">
        <v>3</v>
      </c>
      <c r="G17" s="917" t="b">
        <f>IF(F3+G3=43," ",IF($F$3+$G$3=42,IF($O$13=$O$14,"résultat",IF($O$13&lt;$O$14,$K$13,$K$14)),IF($F$3+$G$3=32,IF($O$13=$O$14,"résultat",IF($O$13&lt;$O$14,$K$13,$K$14)))))</f>
        <v>0</v>
      </c>
      <c r="H17" s="918"/>
      <c r="I17" s="918"/>
      <c r="J17" s="919"/>
      <c r="K17" s="88">
        <v>1</v>
      </c>
      <c r="L17" s="76"/>
      <c r="M17" s="102"/>
      <c r="N17" s="102"/>
      <c r="O17" s="102"/>
      <c r="P17" s="84"/>
      <c r="Q17" s="81"/>
      <c r="R17" s="75"/>
      <c r="S17" s="81"/>
      <c r="T17" s="81"/>
      <c r="U17" s="199"/>
      <c r="V17" s="897">
        <v>5</v>
      </c>
      <c r="W17" s="917" t="b">
        <f>IF(F3+G3=43," ",IF($V$3+$W$3=42,IF($AE$13=$AE$14,"résultat",IF($AE$13&lt;$AE$14,$AA$13,$AA$14)),IF($V$3+$W$3=32,IF($AE$13=$AE$14,"résultat",IF($AE$13&lt;$AE$14,$AA$13,$AA$14)))))</f>
        <v>0</v>
      </c>
      <c r="X17" s="918"/>
      <c r="Y17" s="918"/>
      <c r="Z17" s="919"/>
      <c r="AA17" s="88">
        <v>1</v>
      </c>
      <c r="AB17" s="76"/>
      <c r="AC17" s="102"/>
      <c r="AD17" s="102"/>
      <c r="AE17" s="102"/>
      <c r="AF17" s="103"/>
      <c r="AG17" s="6"/>
      <c r="AH17" s="7"/>
    </row>
    <row r="18" spans="1:40" ht="20.100000000000001" customHeight="1" thickBot="1">
      <c r="A18" s="58"/>
      <c r="B18" s="75"/>
      <c r="C18" s="81"/>
      <c r="D18" s="81"/>
      <c r="E18" s="81"/>
      <c r="F18" s="913"/>
      <c r="G18" s="914" t="b">
        <f>IF(F3+G3=43," ",IF(F3+G3=42,IF($G$13=$G$14,"résultat",IF($G$13&gt;$G$14,$C$13,$C$14)),(IF($F$3+$G$3=32,IF($G$13=$G$14,"résultat",IF($G$13&gt;$G$14,$C$13,$C$14))))))</f>
        <v>0</v>
      </c>
      <c r="H18" s="915"/>
      <c r="I18" s="915"/>
      <c r="J18" s="916"/>
      <c r="K18" s="88">
        <v>0</v>
      </c>
      <c r="L18" s="76"/>
      <c r="M18" s="102"/>
      <c r="N18" s="102"/>
      <c r="O18" s="102"/>
      <c r="P18" s="84"/>
      <c r="Q18" s="81"/>
      <c r="R18" s="75"/>
      <c r="S18" s="81"/>
      <c r="T18" s="81"/>
      <c r="U18" s="81"/>
      <c r="V18" s="900"/>
      <c r="W18" s="914" t="b">
        <f>IF(F3+G3=43," ",IF($V$3+$W$3=42,IF(W13=W14,"résultat",IF($W$13&gt;$W$14,$S$13,$S$14)),(IF($V$3+$W$3=32,IF(W13=W14,"résultat",IF($W$13&gt;$W$14,$S$13,$S$14))))))</f>
        <v>0</v>
      </c>
      <c r="X18" s="915"/>
      <c r="Y18" s="915"/>
      <c r="Z18" s="916"/>
      <c r="AA18" s="88">
        <v>0</v>
      </c>
      <c r="AB18" s="76"/>
      <c r="AC18" s="102"/>
      <c r="AD18" s="102"/>
      <c r="AE18" s="102"/>
      <c r="AF18" s="103"/>
      <c r="AG18" s="6"/>
      <c r="AH18" s="7"/>
    </row>
    <row r="19" spans="1:40" ht="29.25" customHeight="1" thickBot="1">
      <c r="A19" s="58"/>
      <c r="B19" s="75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102"/>
      <c r="N19" s="102"/>
      <c r="O19" s="102"/>
      <c r="P19" s="84"/>
      <c r="Q19" s="79"/>
      <c r="R19" s="75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94"/>
      <c r="AI19" s="6"/>
      <c r="AJ19" s="6"/>
    </row>
    <row r="20" spans="1:40" ht="20.100000000000001" customHeight="1" thickBot="1">
      <c r="A20" s="58"/>
      <c r="B20" s="75"/>
      <c r="C20" s="102"/>
      <c r="D20" s="81"/>
      <c r="E20" s="81"/>
      <c r="F20" s="81"/>
      <c r="G20" s="282" t="s">
        <v>73</v>
      </c>
      <c r="H20" s="283"/>
      <c r="I20" s="283"/>
      <c r="J20" s="284"/>
      <c r="K20" s="81"/>
      <c r="L20" s="81"/>
      <c r="M20" s="102"/>
      <c r="N20" s="102"/>
      <c r="O20" s="102"/>
      <c r="P20" s="84"/>
      <c r="Q20" s="81"/>
      <c r="R20" s="75"/>
      <c r="S20" s="81"/>
      <c r="T20" s="81"/>
      <c r="U20" s="81"/>
      <c r="V20" s="81"/>
      <c r="W20" s="943" t="s">
        <v>73</v>
      </c>
      <c r="X20" s="944"/>
      <c r="Y20" s="944"/>
      <c r="Z20" s="945"/>
      <c r="AA20" s="81"/>
      <c r="AB20" s="81"/>
      <c r="AC20" s="104"/>
      <c r="AD20" s="102"/>
      <c r="AE20" s="102"/>
      <c r="AF20" s="84"/>
      <c r="AG20" s="5"/>
      <c r="AH20" s="6"/>
      <c r="AI20" s="6"/>
    </row>
    <row r="21" spans="1:40" ht="20.100000000000001" customHeight="1">
      <c r="A21" s="58"/>
      <c r="B21" s="75"/>
      <c r="C21" s="102"/>
      <c r="D21" s="105" t="s">
        <v>146</v>
      </c>
      <c r="E21" s="81"/>
      <c r="F21" s="236" t="b">
        <f>IF($F$3+$G$3=43,IF($O$13=$O$14,"résultat",IF($O$13&gt;$O$14,$K$13,$K$14)),(IF($F$3+$G$3=42,IF($O$13=$O$14,"résultat",IF($O$13&gt;$O$14,$K$13,$K$14)),(IF($F$3+$G$3=32,IF($O$13=$O$14,"résultat",IF($O$13&gt;$O$14,$K$13,$K$14)))))))</f>
        <v>0</v>
      </c>
      <c r="G21" s="237"/>
      <c r="H21" s="237"/>
      <c r="I21" s="237"/>
      <c r="J21" s="237"/>
      <c r="K21" s="238"/>
      <c r="L21" s="102"/>
      <c r="M21" s="102"/>
      <c r="N21" s="102"/>
      <c r="O21" s="102"/>
      <c r="P21" s="84"/>
      <c r="Q21" s="106"/>
      <c r="R21" s="107"/>
      <c r="S21" s="102"/>
      <c r="T21" s="105" t="s">
        <v>146</v>
      </c>
      <c r="U21" s="81"/>
      <c r="V21" s="922" t="b">
        <f>IF($V$3+$W$3=43,IF($AE$13=$AE$14,"résultat",IF($AE$13&gt;$AE$14,$AA$13,$AA$14)),(IF($V$3+$W$3=42,IF($AE$13=$AE$14,"résultat",IF($AE$13&gt;$AE$14,$AA$13,$AA$14)),(IF($V$3+$W$3=32,IF($AE$13=$AE$14,"résultat",IF($AE$13&gt;$AE$14,$AA$13,$AA$14)))))))</f>
        <v>0</v>
      </c>
      <c r="W21" s="923"/>
      <c r="X21" s="923"/>
      <c r="Y21" s="923"/>
      <c r="Z21" s="923"/>
      <c r="AA21" s="924"/>
      <c r="AB21" s="102"/>
      <c r="AC21" s="81"/>
      <c r="AD21" s="102"/>
      <c r="AE21" s="102"/>
      <c r="AF21" s="84"/>
      <c r="AG21" s="5"/>
      <c r="AH21" s="6"/>
      <c r="AI21" s="6"/>
    </row>
    <row r="22" spans="1:40" ht="20.100000000000001" customHeight="1">
      <c r="A22" s="58"/>
      <c r="B22" s="75"/>
      <c r="C22" s="102"/>
      <c r="D22" s="108" t="s">
        <v>147</v>
      </c>
      <c r="E22" s="81"/>
      <c r="F22" s="285" t="b">
        <f>IF($F$3+$G$3=43,IF($O$13=$O$14,"résultat",IF($O$13&lt;$O$14,$K$13,$K$14)),(IF($F$3+$G$3=42,IF($K$17=$K$18,"résultat",IF($K$17&gt;$K$18,$G$17,$G$18)),(IF($F$3+$G$3=32,IF($K$17=$K$18,"résultat",IF($K$17&gt;$K$18,$G$17,$G$18)))))))</f>
        <v>0</v>
      </c>
      <c r="G22" s="286"/>
      <c r="H22" s="286"/>
      <c r="I22" s="286"/>
      <c r="J22" s="286"/>
      <c r="K22" s="287"/>
      <c r="L22" s="102"/>
      <c r="M22" s="102"/>
      <c r="N22" s="102"/>
      <c r="O22" s="102"/>
      <c r="P22" s="84"/>
      <c r="Q22" s="106"/>
      <c r="R22" s="107"/>
      <c r="S22" s="102"/>
      <c r="T22" s="108" t="s">
        <v>147</v>
      </c>
      <c r="U22" s="81"/>
      <c r="V22" s="925" t="b">
        <f>IF($V$3+$W$3=43,IF($AE$13=$AE$14,"résultat",IF($AE$13&lt;$AE$14,$AA$13,$AA$14)),(IF($V$3+$W$3=42,IF($AA$17=$AA$18,"résultat",IF($AA$17&gt;$AA$18,$W$17,$W$18)),(IF($V$3+$W$3=32,IF($AA$17=$AA$18,"résultat",IF($AA$17&gt;$AA$18,$W$17,$W$18)))))))</f>
        <v>0</v>
      </c>
      <c r="W22" s="926"/>
      <c r="X22" s="926"/>
      <c r="Y22" s="926"/>
      <c r="Z22" s="926"/>
      <c r="AA22" s="927"/>
      <c r="AB22" s="102"/>
      <c r="AC22" s="81"/>
      <c r="AD22" s="102"/>
      <c r="AE22" s="102"/>
      <c r="AF22" s="84"/>
      <c r="AG22" s="5"/>
      <c r="AH22" s="6"/>
      <c r="AI22" s="6"/>
    </row>
    <row r="23" spans="1:40" ht="20.100000000000001" customHeight="1" thickBot="1">
      <c r="A23" s="58"/>
      <c r="B23" s="75"/>
      <c r="C23" s="102"/>
      <c r="D23" s="109" t="s">
        <v>148</v>
      </c>
      <c r="E23" s="81"/>
      <c r="F23" s="233" t="str">
        <f>IF(F3+G3=0," ",IF($F$3+$G$3=43,IF($G$13=$G$14,"résultat",IF($G$13&gt;$G$14,$C$13,$C$14)),(IF($F$3+$G$3=42,"&amp;",(IF($F$3+$G$3=32,"&amp;"))))))</f>
        <v xml:space="preserve"> </v>
      </c>
      <c r="G23" s="234"/>
      <c r="H23" s="234"/>
      <c r="I23" s="234"/>
      <c r="J23" s="234"/>
      <c r="K23" s="235"/>
      <c r="L23" s="102"/>
      <c r="M23" s="102"/>
      <c r="N23" s="102"/>
      <c r="O23" s="102"/>
      <c r="P23" s="84"/>
      <c r="Q23" s="106"/>
      <c r="R23" s="107"/>
      <c r="S23" s="102"/>
      <c r="T23" s="109" t="s">
        <v>148</v>
      </c>
      <c r="U23" s="81"/>
      <c r="V23" s="907" t="str">
        <f>IF(V3+W3=0," ",IF($V$3+$W$3=43,IF(W13=W14,"résultat",IF(W13&gt;W14,S13,S14)),IF($V$3+$W$3=42,"&amp;",(IF($V$3+$W$3=32,"&amp;")))))</f>
        <v xml:space="preserve"> </v>
      </c>
      <c r="W23" s="908"/>
      <c r="X23" s="908"/>
      <c r="Y23" s="908"/>
      <c r="Z23" s="908"/>
      <c r="AA23" s="909"/>
      <c r="AB23" s="102"/>
      <c r="AC23" s="81"/>
      <c r="AD23" s="102"/>
      <c r="AE23" s="102"/>
      <c r="AF23" s="84"/>
      <c r="AG23" s="5"/>
      <c r="AH23" s="6"/>
      <c r="AI23" s="6"/>
    </row>
    <row r="24" spans="1:40" ht="20.100000000000001" customHeight="1" thickBot="1">
      <c r="A24" s="58"/>
      <c r="B24" s="111"/>
      <c r="C24" s="112"/>
      <c r="D24" s="113"/>
      <c r="E24" s="113"/>
      <c r="F24" s="113"/>
      <c r="G24" s="112"/>
      <c r="H24" s="112"/>
      <c r="I24" s="112"/>
      <c r="J24" s="112"/>
      <c r="K24" s="112"/>
      <c r="L24" s="112"/>
      <c r="M24" s="112"/>
      <c r="N24" s="114"/>
      <c r="O24" s="114"/>
      <c r="P24" s="115"/>
      <c r="Q24" s="79"/>
      <c r="R24" s="111"/>
      <c r="S24" s="114"/>
      <c r="T24" s="116"/>
      <c r="U24" s="116"/>
      <c r="V24" s="116"/>
      <c r="W24" s="114"/>
      <c r="X24" s="114"/>
      <c r="Y24" s="114"/>
      <c r="Z24" s="114"/>
      <c r="AA24" s="114"/>
      <c r="AB24" s="114"/>
      <c r="AC24" s="114"/>
      <c r="AD24" s="114"/>
      <c r="AE24" s="114"/>
      <c r="AF24" s="115"/>
      <c r="AI24" s="6"/>
      <c r="AJ24" s="6"/>
    </row>
    <row r="25" spans="1:40" ht="20.100000000000001" customHeight="1" thickBot="1">
      <c r="A25" s="58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I25" s="6"/>
      <c r="AJ25" s="6"/>
    </row>
    <row r="26" spans="1:40" ht="20.100000000000001" customHeight="1" thickBot="1">
      <c r="A26" s="58"/>
      <c r="B26" s="117"/>
      <c r="C26" s="117"/>
      <c r="D26" s="928" t="s">
        <v>76</v>
      </c>
      <c r="E26" s="929"/>
      <c r="F26" s="930"/>
      <c r="G26" s="117"/>
      <c r="H26" s="216"/>
      <c r="I26" s="117"/>
      <c r="J26" s="117"/>
      <c r="K26" s="117"/>
      <c r="L26" s="117"/>
      <c r="M26" s="58"/>
      <c r="N26" s="58"/>
      <c r="O26" s="58"/>
      <c r="P26" s="117"/>
      <c r="Q26" s="58"/>
      <c r="R26" s="58"/>
      <c r="S26" s="58"/>
      <c r="T26" s="58"/>
      <c r="U26" s="58"/>
      <c r="V26" s="117" t="s">
        <v>168</v>
      </c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/>
      <c r="AL26"/>
      <c r="AM26" s="6"/>
      <c r="AN26" s="6"/>
    </row>
    <row r="27" spans="1:40" ht="18.75">
      <c r="A27" s="58"/>
      <c r="B27" s="117"/>
      <c r="C27" s="117"/>
      <c r="D27" s="106"/>
      <c r="E27" s="106"/>
      <c r="F27" s="106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 t="s">
        <v>169</v>
      </c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/>
      <c r="AL27"/>
      <c r="AM27" s="6"/>
      <c r="AN27" s="6"/>
    </row>
    <row r="28" spans="1:40">
      <c r="B28" s="6"/>
      <c r="C28" s="6"/>
      <c r="D28"/>
      <c r="E28"/>
      <c r="F28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I28" s="6"/>
      <c r="AJ28" s="6"/>
    </row>
    <row r="29" spans="1:40">
      <c r="B29" s="6"/>
      <c r="C29" s="6"/>
      <c r="D29"/>
      <c r="E29"/>
      <c r="F29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 t="s">
        <v>172</v>
      </c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I29" s="6"/>
      <c r="AJ29" s="6"/>
    </row>
    <row r="30" spans="1:40">
      <c r="B30" s="6"/>
      <c r="C30" s="6"/>
      <c r="D30"/>
      <c r="E30"/>
      <c r="F30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I30" s="6"/>
      <c r="AJ30" s="6"/>
    </row>
    <row r="31" spans="1:40">
      <c r="B31" s="6"/>
      <c r="C31" s="6"/>
      <c r="D31"/>
      <c r="E31"/>
      <c r="F31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I31" s="6"/>
      <c r="AJ31" s="6"/>
    </row>
    <row r="32" spans="1:40">
      <c r="B32" s="6"/>
      <c r="C32" s="6"/>
      <c r="D32"/>
      <c r="E32"/>
      <c r="F32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I32" s="6"/>
      <c r="AJ32" s="6"/>
    </row>
    <row r="33" spans="2:36">
      <c r="B33" s="6"/>
      <c r="C33" s="6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 s="6"/>
      <c r="AI33" s="6"/>
      <c r="AJ33" s="6"/>
    </row>
    <row r="34" spans="2:36">
      <c r="B34" s="6"/>
      <c r="C34" s="6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 s="6"/>
      <c r="AI34" s="6"/>
      <c r="AJ34" s="6"/>
    </row>
    <row r="35" spans="2:36">
      <c r="B35" s="6"/>
      <c r="C35" s="6"/>
      <c r="D35" s="6"/>
      <c r="E35" s="6"/>
      <c r="F35" s="6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 s="6"/>
      <c r="AI35" s="6"/>
      <c r="AJ35" s="6"/>
    </row>
    <row r="36" spans="2:36">
      <c r="B36" s="6"/>
      <c r="C36" s="6"/>
      <c r="D36" s="6"/>
      <c r="E36" s="6"/>
      <c r="F36" s="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2:36">
      <c r="B37" s="6"/>
      <c r="C37" s="6"/>
      <c r="D37" s="6"/>
      <c r="E37" s="6"/>
      <c r="F37" s="6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 s="6"/>
      <c r="AI37" s="6"/>
      <c r="AJ37" s="6"/>
    </row>
    <row r="38" spans="2:36" ht="18" customHeight="1">
      <c r="B38" s="6"/>
      <c r="C38" s="6"/>
      <c r="D38" s="6"/>
      <c r="E38" s="6"/>
      <c r="F38" s="6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 s="6"/>
      <c r="AI38" s="6"/>
      <c r="AJ38" s="6"/>
    </row>
    <row r="39" spans="2:36">
      <c r="B39" s="6"/>
      <c r="C39" s="6"/>
      <c r="D39" s="6"/>
      <c r="E39" s="6"/>
      <c r="F39" s="6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 s="6"/>
      <c r="AI39" s="6"/>
    </row>
    <row r="40" spans="2:36"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2:36"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2:36"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2:36"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</sheetData>
  <sheetProtection formatCells="0" formatColumns="0" formatRows="0" insertColumns="0" insertRows="0" insertHyperlinks="0" deleteColumns="0" deleteRows="0" sort="0"/>
  <mergeCells count="60">
    <mergeCell ref="AB12:AC12"/>
    <mergeCell ref="T12:U12"/>
    <mergeCell ref="D12:E12"/>
    <mergeCell ref="AD1:AE1"/>
    <mergeCell ref="S9:V9"/>
    <mergeCell ref="R8:R9"/>
    <mergeCell ref="J8:J9"/>
    <mergeCell ref="L2:P2"/>
    <mergeCell ref="K8:N8"/>
    <mergeCell ref="K9:N9"/>
    <mergeCell ref="I2:K2"/>
    <mergeCell ref="Z8:Z9"/>
    <mergeCell ref="F2:G2"/>
    <mergeCell ref="B8:B9"/>
    <mergeCell ref="Y1:AB1"/>
    <mergeCell ref="R2:T2"/>
    <mergeCell ref="R1:T1"/>
    <mergeCell ref="U1:W1"/>
    <mergeCell ref="B4:P4"/>
    <mergeCell ref="I1:L1"/>
    <mergeCell ref="C9:F9"/>
    <mergeCell ref="N1:O1"/>
    <mergeCell ref="C8:F8"/>
    <mergeCell ref="B1:D1"/>
    <mergeCell ref="E1:G1"/>
    <mergeCell ref="D26:F26"/>
    <mergeCell ref="V2:W2"/>
    <mergeCell ref="Y2:AA2"/>
    <mergeCell ref="AB2:AF2"/>
    <mergeCell ref="W18:Z18"/>
    <mergeCell ref="W17:Z17"/>
    <mergeCell ref="V17:V18"/>
    <mergeCell ref="AA9:AD9"/>
    <mergeCell ref="R4:AF4"/>
    <mergeCell ref="AA13:AD13"/>
    <mergeCell ref="W20:Z20"/>
    <mergeCell ref="S14:V14"/>
    <mergeCell ref="S13:V13"/>
    <mergeCell ref="S8:V8"/>
    <mergeCell ref="AA8:AD8"/>
    <mergeCell ref="B2:D2"/>
    <mergeCell ref="V23:AA23"/>
    <mergeCell ref="K14:N14"/>
    <mergeCell ref="AA14:AD14"/>
    <mergeCell ref="F17:F18"/>
    <mergeCell ref="G18:J18"/>
    <mergeCell ref="G17:J17"/>
    <mergeCell ref="C14:F14"/>
    <mergeCell ref="C17:D17"/>
    <mergeCell ref="H16:I16"/>
    <mergeCell ref="X16:Y16"/>
    <mergeCell ref="V21:AA21"/>
    <mergeCell ref="V22:AA22"/>
    <mergeCell ref="B13:B14"/>
    <mergeCell ref="J13:J14"/>
    <mergeCell ref="R13:R14"/>
    <mergeCell ref="Z13:Z14"/>
    <mergeCell ref="L12:M12"/>
    <mergeCell ref="K13:N13"/>
    <mergeCell ref="C13:F13"/>
  </mergeCells>
  <conditionalFormatting sqref="S13:V14 AA13:AA14 W17:Z18 G17:J18 C13:F14 K13:K14 AB8:AD8 S8:V9 AA8:AA9 L8:N8 C8:F9 K8:K9">
    <cfRule type="expression" dxfId="402" priority="237">
      <formula>$E$2=0</formula>
    </cfRule>
  </conditionalFormatting>
  <conditionalFormatting sqref="V23 W17:Z17">
    <cfRule type="cellIs" dxfId="401" priority="57" operator="equal">
      <formula>0</formula>
    </cfRule>
  </conditionalFormatting>
  <conditionalFormatting sqref="S14">
    <cfRule type="expression" dxfId="400" priority="228">
      <formula>(OR(U2=3,U2=4,U2=5))</formula>
    </cfRule>
  </conditionalFormatting>
  <conditionalFormatting sqref="S8:V9 AB8:AD8 AA8:AA9">
    <cfRule type="expression" dxfId="399" priority="197">
      <formula>$U$2=0</formula>
    </cfRule>
  </conditionalFormatting>
  <conditionalFormatting sqref="V21">
    <cfRule type="expression" dxfId="398" priority="8">
      <formula>(OR(X2="2",X2="3"))</formula>
    </cfRule>
    <cfRule type="expression" dxfId="397" priority="258" stopIfTrue="1">
      <formula>$X$2=0</formula>
    </cfRule>
  </conditionalFormatting>
  <conditionalFormatting sqref="F21">
    <cfRule type="expression" dxfId="396" priority="175">
      <formula>$H$2=0</formula>
    </cfRule>
    <cfRule type="expression" dxfId="395" priority="180" stopIfTrue="1">
      <formula>(OR(H2="1",H2="2",H2="3"))</formula>
    </cfRule>
  </conditionalFormatting>
  <conditionalFormatting sqref="F22">
    <cfRule type="expression" dxfId="394" priority="119">
      <formula>(OR(H2="2",H2="3"))</formula>
    </cfRule>
  </conditionalFormatting>
  <conditionalFormatting sqref="F23">
    <cfRule type="cellIs" dxfId="393" priority="64" operator="equal">
      <formula>0</formula>
    </cfRule>
    <cfRule type="expression" dxfId="392" priority="118">
      <formula>(H2="3")</formula>
    </cfRule>
  </conditionalFormatting>
  <conditionalFormatting sqref="AA9 S9:V9 C9:F9 K9">
    <cfRule type="cellIs" dxfId="391" priority="37" operator="equal">
      <formula>$E$2=0</formula>
    </cfRule>
    <cfRule type="expression" dxfId="390" priority="90">
      <formula>(OR($E$2=3,$E$2=4,$E$2=5))</formula>
    </cfRule>
  </conditionalFormatting>
  <conditionalFormatting sqref="S13:V13 C13:F13 K14 AB8:AD8 S8:V9 AA8:AA9 C8:F9 K8:K9 L8:N8">
    <cfRule type="expression" dxfId="389" priority="89">
      <formula>(OR($E$2=3,$E$2=4,$E$2=5))</formula>
    </cfRule>
  </conditionalFormatting>
  <conditionalFormatting sqref="S14:V14 C14:F14 AA9 K9">
    <cfRule type="expression" dxfId="388" priority="88">
      <formula>(OR($E$2=4,$E$2=5))</formula>
    </cfRule>
  </conditionalFormatting>
  <conditionalFormatting sqref="S13:V13 AA14 S8:V9 AA8:AA9 AB8:AD8">
    <cfRule type="expression" dxfId="387" priority="81">
      <formula>(OR($U$2=3,$U$2=4,$U$2=5))</formula>
    </cfRule>
  </conditionalFormatting>
  <conditionalFormatting sqref="G17:J17">
    <cfRule type="expression" dxfId="386" priority="28">
      <formula>(OR($F$3=3,$E$2=4,$E$2=5))</formula>
    </cfRule>
    <cfRule type="cellIs" dxfId="385" priority="68" operator="equal">
      <formula>0</formula>
    </cfRule>
  </conditionalFormatting>
  <conditionalFormatting sqref="G18:J18">
    <cfRule type="expression" dxfId="384" priority="27">
      <formula>(OR($E$2=3,$E$2=4,$E$2=5))</formula>
    </cfRule>
    <cfRule type="cellIs" dxfId="383" priority="67" operator="equal">
      <formula>0</formula>
    </cfRule>
  </conditionalFormatting>
  <conditionalFormatting sqref="W18:Z18">
    <cfRule type="cellIs" dxfId="382" priority="351" operator="equal">
      <formula>0</formula>
    </cfRule>
    <cfRule type="expression" dxfId="381" priority="352" stopIfTrue="1">
      <formula>(AND($AA$8="",$AA$9="",#REF!=""))</formula>
    </cfRule>
  </conditionalFormatting>
  <conditionalFormatting sqref="V22:AA22">
    <cfRule type="expression" dxfId="380" priority="7">
      <formula>(OR(X2="2",X2="3"))</formula>
    </cfRule>
  </conditionalFormatting>
  <conditionalFormatting sqref="V23:AA23">
    <cfRule type="expression" dxfId="379" priority="5">
      <formula>$X$2=3</formula>
    </cfRule>
  </conditionalFormatting>
  <conditionalFormatting sqref="AA9:AD9 S14:V14 K9:N9 C14:F14">
    <cfRule type="containsText" dxfId="378" priority="4" operator="containsText" text="OFFICE">
      <formula>NOT(ISERROR(SEARCH("OFFICE",C9)))</formula>
    </cfRule>
  </conditionalFormatting>
  <pageMargins left="0.15748031496062992" right="0.19685039370078741" top="0.31496062992125984" bottom="0.31496062992125984" header="0.23622047244094491" footer="0.15748031496062992"/>
  <pageSetup paperSize="9" orientation="landscape" horizontalDpi="4294967292" verticalDpi="0" r:id="rId1"/>
  <rowBreaks count="1" manualBreakCount="1">
    <brk id="24" max="16383" man="1"/>
  </rowBreaks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tabColor rgb="FFFFFF00"/>
    <pageSetUpPr fitToPage="1"/>
  </sheetPr>
  <dimension ref="A1:AI28"/>
  <sheetViews>
    <sheetView zoomScale="80" zoomScaleNormal="80" workbookViewId="0">
      <selection activeCell="F3" sqref="F3"/>
    </sheetView>
  </sheetViews>
  <sheetFormatPr baseColWidth="10" defaultRowHeight="15"/>
  <cols>
    <col min="1" max="1" width="4" style="7" customWidth="1"/>
    <col min="2" max="2" width="7.140625" style="7" customWidth="1"/>
    <col min="3" max="3" width="7.28515625" style="7" customWidth="1"/>
    <col min="4" max="4" width="8.85546875" style="7" customWidth="1"/>
    <col min="5" max="5" width="8.7109375" style="7" customWidth="1"/>
    <col min="6" max="6" width="6.85546875" style="7" customWidth="1"/>
    <col min="7" max="7" width="6.7109375" style="7" customWidth="1"/>
    <col min="8" max="8" width="7.85546875" style="7" customWidth="1"/>
    <col min="9" max="9" width="6.7109375" style="7" customWidth="1"/>
    <col min="10" max="10" width="7" style="7" customWidth="1"/>
    <col min="11" max="11" width="6.7109375" style="7" customWidth="1"/>
    <col min="12" max="14" width="8.7109375" style="7" customWidth="1"/>
    <col min="15" max="15" width="6.5703125" style="7" customWidth="1"/>
    <col min="16" max="16" width="6.7109375" style="7" customWidth="1"/>
    <col min="17" max="17" width="4.5703125" style="7" customWidth="1"/>
    <col min="18" max="19" width="6.7109375" style="7" customWidth="1"/>
    <col min="20" max="20" width="8.85546875" style="7" customWidth="1"/>
    <col min="21" max="21" width="8.7109375" style="7" customWidth="1"/>
    <col min="22" max="22" width="7.140625" style="7" customWidth="1"/>
    <col min="23" max="23" width="6.42578125" style="7" customWidth="1"/>
    <col min="24" max="24" width="8" style="7" customWidth="1"/>
    <col min="25" max="26" width="6.5703125" style="7" customWidth="1"/>
    <col min="27" max="27" width="6.7109375" style="7" customWidth="1"/>
    <col min="28" max="30" width="8.7109375" style="7" customWidth="1"/>
    <col min="31" max="31" width="6.5703125" style="7" customWidth="1"/>
    <col min="32" max="32" width="7.28515625" style="7" customWidth="1"/>
    <col min="33" max="33" width="10.5703125" style="7" customWidth="1"/>
    <col min="34" max="34" width="9.42578125" style="7" customWidth="1"/>
    <col min="35" max="16384" width="11.42578125" style="7"/>
  </cols>
  <sheetData>
    <row r="1" spans="1:35" ht="23.25" customHeight="1" thickBot="1">
      <c r="B1" s="977" t="s">
        <v>150</v>
      </c>
      <c r="C1" s="978"/>
      <c r="D1" s="978"/>
      <c r="E1" s="969">
        <f>Données!J1</f>
        <v>0</v>
      </c>
      <c r="F1" s="969"/>
      <c r="G1" s="969"/>
      <c r="H1" s="130" t="str">
        <f>Données!$D$3</f>
        <v>F_U18</v>
      </c>
      <c r="I1" s="969">
        <f>Données!$J$3</f>
        <v>0</v>
      </c>
      <c r="J1" s="969"/>
      <c r="K1" s="969"/>
      <c r="L1" s="969"/>
      <c r="M1" s="131" t="str">
        <f>Données!$E$5</f>
        <v>Simple</v>
      </c>
      <c r="N1" s="959" t="s">
        <v>149</v>
      </c>
      <c r="O1" s="960"/>
      <c r="P1" s="17">
        <f>Données!$L13</f>
        <v>0</v>
      </c>
      <c r="R1" s="977" t="s">
        <v>150</v>
      </c>
      <c r="S1" s="978"/>
      <c r="T1" s="978"/>
      <c r="U1" s="969">
        <f>Données!J1</f>
        <v>0</v>
      </c>
      <c r="V1" s="969"/>
      <c r="W1" s="969"/>
      <c r="X1" s="130" t="str">
        <f>Données!$D$3</f>
        <v>F_U18</v>
      </c>
      <c r="Y1" s="969">
        <f>Données!$J$3</f>
        <v>0</v>
      </c>
      <c r="Z1" s="969"/>
      <c r="AA1" s="969"/>
      <c r="AB1" s="969"/>
      <c r="AC1" s="131" t="str">
        <f>Données!$E$5</f>
        <v>Simple</v>
      </c>
      <c r="AD1" s="959" t="s">
        <v>149</v>
      </c>
      <c r="AE1" s="960"/>
      <c r="AF1" s="17">
        <f>Données!$L13</f>
        <v>0</v>
      </c>
      <c r="AG1" s="6"/>
    </row>
    <row r="2" spans="1:35" ht="24" customHeight="1" thickBot="1">
      <c r="B2" s="967" t="s">
        <v>12</v>
      </c>
      <c r="C2" s="968"/>
      <c r="D2" s="968"/>
      <c r="E2" s="187">
        <f>+Données!G18</f>
        <v>0</v>
      </c>
      <c r="F2" s="931" t="s">
        <v>14</v>
      </c>
      <c r="G2" s="931"/>
      <c r="H2" s="9">
        <f>Données!$G$19</f>
        <v>0</v>
      </c>
      <c r="I2" s="969" t="s">
        <v>15</v>
      </c>
      <c r="J2" s="969"/>
      <c r="K2" s="969"/>
      <c r="L2" s="934">
        <f ca="1">TODAY()</f>
        <v>44217</v>
      </c>
      <c r="M2" s="935"/>
      <c r="N2" s="935"/>
      <c r="O2" s="935"/>
      <c r="P2" s="936"/>
      <c r="R2" s="967" t="s">
        <v>13</v>
      </c>
      <c r="S2" s="968"/>
      <c r="T2" s="968"/>
      <c r="U2" s="187">
        <f>Données!$H$18</f>
        <v>0</v>
      </c>
      <c r="V2" s="931" t="s">
        <v>14</v>
      </c>
      <c r="W2" s="931"/>
      <c r="X2" s="9">
        <f>Données!$H$19</f>
        <v>0</v>
      </c>
      <c r="Y2" s="969" t="s">
        <v>15</v>
      </c>
      <c r="Z2" s="969"/>
      <c r="AA2" s="969"/>
      <c r="AB2" s="934">
        <f ca="1">TODAY()</f>
        <v>44217</v>
      </c>
      <c r="AC2" s="935"/>
      <c r="AD2" s="935"/>
      <c r="AE2" s="935"/>
      <c r="AF2" s="936"/>
      <c r="AG2" s="6"/>
    </row>
    <row r="3" spans="1:35" ht="20.100000000000001" customHeight="1" thickBot="1">
      <c r="B3" s="196">
        <f>+Données!$J$11</f>
        <v>0</v>
      </c>
      <c r="C3" s="89"/>
      <c r="D3" s="89"/>
      <c r="E3" s="89"/>
      <c r="F3" s="119" t="str">
        <f>CONCATENATE(E2,H2)</f>
        <v>00</v>
      </c>
      <c r="G3" s="89"/>
      <c r="H3" s="89"/>
      <c r="I3" s="89"/>
      <c r="J3" s="89"/>
      <c r="K3" s="89"/>
      <c r="L3" s="89"/>
      <c r="M3" s="89"/>
      <c r="N3" s="89"/>
      <c r="O3" s="89"/>
      <c r="P3" s="98"/>
      <c r="Q3" s="58"/>
      <c r="R3" s="197">
        <f>+Données!$J$11</f>
        <v>0</v>
      </c>
      <c r="S3" s="89"/>
      <c r="T3" s="89"/>
      <c r="U3" s="101"/>
      <c r="V3" s="119" t="str">
        <f>CONCATENATE(U2,X2)</f>
        <v>00</v>
      </c>
      <c r="W3" s="89"/>
      <c r="X3" s="89"/>
      <c r="Y3" s="89"/>
      <c r="Z3" s="89"/>
      <c r="AA3" s="89"/>
      <c r="AB3" s="89"/>
      <c r="AC3" s="89"/>
      <c r="AD3" s="89"/>
      <c r="AE3" s="89"/>
      <c r="AF3" s="98"/>
      <c r="AG3" s="6"/>
      <c r="AH3" s="6"/>
    </row>
    <row r="4" spans="1:35" ht="20.100000000000001" customHeight="1" thickBot="1">
      <c r="B4" s="949" t="s">
        <v>167</v>
      </c>
      <c r="C4" s="950"/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0"/>
      <c r="O4" s="950"/>
      <c r="P4" s="951"/>
      <c r="Q4" s="82"/>
      <c r="R4" s="940" t="s">
        <v>167</v>
      </c>
      <c r="S4" s="941"/>
      <c r="T4" s="941"/>
      <c r="U4" s="941"/>
      <c r="V4" s="941"/>
      <c r="W4" s="941"/>
      <c r="X4" s="941"/>
      <c r="Y4" s="941"/>
      <c r="Z4" s="941"/>
      <c r="AA4" s="941"/>
      <c r="AB4" s="941"/>
      <c r="AC4" s="941"/>
      <c r="AD4" s="941"/>
      <c r="AE4" s="941"/>
      <c r="AF4" s="942"/>
      <c r="AG4" s="6"/>
    </row>
    <row r="5" spans="1:35" ht="20.100000000000001" customHeight="1">
      <c r="B5" s="118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120"/>
      <c r="Q5" s="58"/>
      <c r="R5" s="118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120"/>
      <c r="AG5" s="6"/>
      <c r="AH5" s="6"/>
    </row>
    <row r="6" spans="1:35" ht="20.100000000000001" customHeight="1" thickBot="1">
      <c r="B6" s="118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98"/>
      <c r="Q6" s="58"/>
      <c r="R6" s="118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98"/>
      <c r="AG6" s="6"/>
      <c r="AH6" s="6"/>
    </row>
    <row r="7" spans="1:35" ht="20.100000000000001" customHeight="1" thickBot="1">
      <c r="B7" s="96" t="s">
        <v>1</v>
      </c>
      <c r="C7" s="121" t="s">
        <v>10</v>
      </c>
      <c r="D7" s="101"/>
      <c r="E7" s="82"/>
      <c r="F7" s="82"/>
      <c r="G7" s="89" t="s">
        <v>0</v>
      </c>
      <c r="H7" s="89"/>
      <c r="I7" s="89"/>
      <c r="J7" s="89" t="s">
        <v>1</v>
      </c>
      <c r="K7" s="121" t="str">
        <f>IF(E2=2,"","C")</f>
        <v>C</v>
      </c>
      <c r="L7" s="101"/>
      <c r="M7" s="82"/>
      <c r="N7" s="82"/>
      <c r="O7" s="89" t="s">
        <v>0</v>
      </c>
      <c r="P7" s="98"/>
      <c r="Q7" s="58"/>
      <c r="R7" s="96" t="s">
        <v>1</v>
      </c>
      <c r="S7" s="121" t="s">
        <v>10</v>
      </c>
      <c r="T7" s="101"/>
      <c r="U7" s="82"/>
      <c r="V7" s="82"/>
      <c r="W7" s="89" t="s">
        <v>0</v>
      </c>
      <c r="X7" s="89"/>
      <c r="Y7" s="89"/>
      <c r="Z7" s="89" t="s">
        <v>1</v>
      </c>
      <c r="AA7" s="121" t="str">
        <f>IF(U2=2,"","C")</f>
        <v>C</v>
      </c>
      <c r="AB7" s="101"/>
      <c r="AC7" s="82"/>
      <c r="AD7" s="82"/>
      <c r="AE7" s="89" t="s">
        <v>0</v>
      </c>
      <c r="AF7" s="97"/>
      <c r="AG7" s="14"/>
      <c r="AH7" s="6"/>
      <c r="AI7" s="6"/>
    </row>
    <row r="8" spans="1:35" ht="20.100000000000001" customHeight="1" thickBot="1">
      <c r="A8" s="40">
        <v>9</v>
      </c>
      <c r="B8" s="899">
        <v>5</v>
      </c>
      <c r="C8" s="902">
        <f>+Données!AG14</f>
        <v>0</v>
      </c>
      <c r="D8" s="903"/>
      <c r="E8" s="903"/>
      <c r="F8" s="904"/>
      <c r="G8" s="88">
        <v>9</v>
      </c>
      <c r="H8" s="89"/>
      <c r="I8" s="90">
        <v>11</v>
      </c>
      <c r="J8" s="975">
        <v>6</v>
      </c>
      <c r="K8" s="902">
        <f>+Données!AG16</f>
        <v>0</v>
      </c>
      <c r="L8" s="903"/>
      <c r="M8" s="903"/>
      <c r="N8" s="904"/>
      <c r="O8" s="88">
        <v>11</v>
      </c>
      <c r="P8" s="98"/>
      <c r="Q8" s="91">
        <v>13</v>
      </c>
      <c r="R8" s="899">
        <v>7</v>
      </c>
      <c r="S8" s="902">
        <f>+Données!AG18</f>
        <v>0</v>
      </c>
      <c r="T8" s="903"/>
      <c r="U8" s="903"/>
      <c r="V8" s="904"/>
      <c r="W8" s="88">
        <v>2</v>
      </c>
      <c r="X8" s="89"/>
      <c r="Y8" s="90">
        <v>15</v>
      </c>
      <c r="Z8" s="899">
        <v>8</v>
      </c>
      <c r="AA8" s="902">
        <f>+Données!AG20</f>
        <v>0</v>
      </c>
      <c r="AB8" s="903"/>
      <c r="AC8" s="903"/>
      <c r="AD8" s="904"/>
      <c r="AE8" s="88">
        <v>1</v>
      </c>
      <c r="AF8" s="97"/>
      <c r="AG8" s="14"/>
      <c r="AH8" s="6"/>
      <c r="AI8" s="6"/>
    </row>
    <row r="9" spans="1:35" ht="20.100000000000001" customHeight="1" thickBot="1">
      <c r="A9" s="40">
        <v>10</v>
      </c>
      <c r="B9" s="900"/>
      <c r="C9" s="937">
        <f>+Données!AG15</f>
        <v>0</v>
      </c>
      <c r="D9" s="938"/>
      <c r="E9" s="938"/>
      <c r="F9" s="939"/>
      <c r="G9" s="92">
        <v>0</v>
      </c>
      <c r="H9" s="89"/>
      <c r="I9" s="90">
        <v>12</v>
      </c>
      <c r="J9" s="976"/>
      <c r="K9" s="937">
        <f>+Données!AG17</f>
        <v>0</v>
      </c>
      <c r="L9" s="938"/>
      <c r="M9" s="938"/>
      <c r="N9" s="939"/>
      <c r="O9" s="88">
        <v>0</v>
      </c>
      <c r="P9" s="98"/>
      <c r="Q9" s="91">
        <v>14</v>
      </c>
      <c r="R9" s="900"/>
      <c r="S9" s="937">
        <f>+Données!AG19</f>
        <v>0</v>
      </c>
      <c r="T9" s="938"/>
      <c r="U9" s="938"/>
      <c r="V9" s="939"/>
      <c r="W9" s="92">
        <v>1</v>
      </c>
      <c r="X9" s="89"/>
      <c r="Y9" s="90">
        <v>16</v>
      </c>
      <c r="Z9" s="900"/>
      <c r="AA9" s="937">
        <f>+Données!AG21</f>
        <v>0</v>
      </c>
      <c r="AB9" s="938"/>
      <c r="AC9" s="938"/>
      <c r="AD9" s="939"/>
      <c r="AE9" s="88">
        <v>0</v>
      </c>
      <c r="AF9" s="97"/>
      <c r="AG9" s="14"/>
      <c r="AH9" s="6"/>
      <c r="AI9" s="6"/>
    </row>
    <row r="10" spans="1:35" ht="20.100000000000001" customHeight="1" thickBot="1">
      <c r="B10" s="118"/>
      <c r="C10" s="93" t="s">
        <v>11</v>
      </c>
      <c r="D10" s="80"/>
      <c r="E10" s="81"/>
      <c r="F10" s="81"/>
      <c r="G10" s="82"/>
      <c r="H10" s="82"/>
      <c r="I10" s="82"/>
      <c r="J10" s="82"/>
      <c r="K10" s="86" t="s">
        <v>48</v>
      </c>
      <c r="L10" s="80"/>
      <c r="M10" s="81"/>
      <c r="N10" s="81"/>
      <c r="O10" s="82"/>
      <c r="P10" s="122"/>
      <c r="Q10" s="58"/>
      <c r="R10" s="118"/>
      <c r="S10" s="123" t="s">
        <v>11</v>
      </c>
      <c r="T10" s="101"/>
      <c r="U10" s="82"/>
      <c r="V10" s="82"/>
      <c r="W10" s="82"/>
      <c r="X10" s="82"/>
      <c r="Y10" s="82"/>
      <c r="Z10" s="82"/>
      <c r="AA10" s="86" t="s">
        <v>48</v>
      </c>
      <c r="AB10" s="80"/>
      <c r="AC10" s="81"/>
      <c r="AD10" s="81"/>
      <c r="AE10" s="82"/>
      <c r="AF10" s="97"/>
      <c r="AG10" s="14"/>
      <c r="AH10" s="6"/>
      <c r="AI10" s="6"/>
    </row>
    <row r="11" spans="1:35" ht="20.100000000000001" customHeight="1">
      <c r="B11" s="118"/>
      <c r="C11" s="81"/>
      <c r="D11" s="81"/>
      <c r="E11" s="81"/>
      <c r="F11" s="81"/>
      <c r="G11" s="82"/>
      <c r="H11" s="82"/>
      <c r="I11" s="82"/>
      <c r="J11" s="82"/>
      <c r="K11" s="81"/>
      <c r="L11" s="81"/>
      <c r="M11" s="81"/>
      <c r="N11" s="81"/>
      <c r="O11" s="82"/>
      <c r="P11" s="122"/>
      <c r="Q11" s="58"/>
      <c r="R11" s="118"/>
      <c r="S11" s="117"/>
      <c r="T11" s="117"/>
      <c r="U11" s="117"/>
      <c r="V11" s="117"/>
      <c r="W11" s="82"/>
      <c r="X11" s="82"/>
      <c r="Y11" s="82"/>
      <c r="Z11" s="81"/>
      <c r="AA11" s="81"/>
      <c r="AB11" s="81"/>
      <c r="AC11" s="81"/>
      <c r="AD11" s="82"/>
      <c r="AE11" s="82"/>
      <c r="AF11" s="122"/>
      <c r="AG11" s="6"/>
      <c r="AH11" s="6"/>
    </row>
    <row r="12" spans="1:35" ht="20.100000000000001" customHeight="1" thickBot="1">
      <c r="B12" s="96" t="s">
        <v>1</v>
      </c>
      <c r="C12" s="81"/>
      <c r="D12" s="952" t="s">
        <v>75</v>
      </c>
      <c r="E12" s="952"/>
      <c r="F12" s="81"/>
      <c r="G12" s="89" t="s">
        <v>0</v>
      </c>
      <c r="H12" s="89"/>
      <c r="I12" s="89"/>
      <c r="J12" s="89" t="s">
        <v>1</v>
      </c>
      <c r="K12" s="81"/>
      <c r="L12" s="901" t="s">
        <v>74</v>
      </c>
      <c r="M12" s="901"/>
      <c r="N12" s="81"/>
      <c r="O12" s="89" t="s">
        <v>0</v>
      </c>
      <c r="P12" s="98"/>
      <c r="Q12" s="58"/>
      <c r="R12" s="96" t="s">
        <v>1</v>
      </c>
      <c r="S12" s="117"/>
      <c r="T12" s="974" t="s">
        <v>75</v>
      </c>
      <c r="U12" s="974"/>
      <c r="V12" s="117"/>
      <c r="W12" s="89" t="s">
        <v>0</v>
      </c>
      <c r="X12" s="89"/>
      <c r="Y12" s="82"/>
      <c r="Z12" s="89" t="s">
        <v>1</v>
      </c>
      <c r="AA12" s="81"/>
      <c r="AB12" s="901" t="s">
        <v>74</v>
      </c>
      <c r="AC12" s="901"/>
      <c r="AD12" s="81"/>
      <c r="AE12" s="89" t="s">
        <v>0</v>
      </c>
      <c r="AF12" s="97"/>
    </row>
    <row r="13" spans="1:35" ht="20.100000000000001" customHeight="1" thickBot="1">
      <c r="B13" s="899">
        <f>+'Tableau Général'!AL17</f>
        <v>8</v>
      </c>
      <c r="C13" s="902">
        <f>IF($G$8=$G$9,"résultat",IF($G$8&gt;$G$9,$C$9,$C$8))</f>
        <v>0</v>
      </c>
      <c r="D13" s="905"/>
      <c r="E13" s="905"/>
      <c r="F13" s="906"/>
      <c r="G13" s="88">
        <v>9</v>
      </c>
      <c r="H13" s="89"/>
      <c r="I13" s="89"/>
      <c r="J13" s="899">
        <v>9</v>
      </c>
      <c r="K13" s="902">
        <f>IF($O$8=$O$9,"résultat",IF($O$8&gt;$O$9,$K$8,$K$9))</f>
        <v>0</v>
      </c>
      <c r="L13" s="903"/>
      <c r="M13" s="903"/>
      <c r="N13" s="904"/>
      <c r="O13" s="88">
        <v>11</v>
      </c>
      <c r="P13" s="98"/>
      <c r="Q13" s="58"/>
      <c r="R13" s="899">
        <v>10</v>
      </c>
      <c r="S13" s="973">
        <f>IF($W$8=$W$9,"résultat",IF($W$8&gt;$W$9,$S$9,$S$8))</f>
        <v>0</v>
      </c>
      <c r="T13" s="905"/>
      <c r="U13" s="905"/>
      <c r="V13" s="906"/>
      <c r="W13" s="88">
        <v>1</v>
      </c>
      <c r="X13" s="89"/>
      <c r="Y13" s="82"/>
      <c r="Z13" s="897">
        <v>11</v>
      </c>
      <c r="AA13" s="902">
        <f>IF(AE8=AE9,"résultat",IF($AE$8&gt;$AE$9,$AA$8,$AA$9))</f>
        <v>0</v>
      </c>
      <c r="AB13" s="903"/>
      <c r="AC13" s="903"/>
      <c r="AD13" s="904"/>
      <c r="AE13" s="88">
        <v>0</v>
      </c>
      <c r="AF13" s="97"/>
    </row>
    <row r="14" spans="1:35" ht="20.100000000000001" customHeight="1" thickBot="1">
      <c r="B14" s="900"/>
      <c r="C14" s="910">
        <f>IF($O$8=$O$9,"résultat",IF($O$8&lt;$O$9,$K$8,$K$9))</f>
        <v>0</v>
      </c>
      <c r="D14" s="911"/>
      <c r="E14" s="911"/>
      <c r="F14" s="912"/>
      <c r="G14" s="100">
        <v>0</v>
      </c>
      <c r="H14" s="101"/>
      <c r="I14" s="89"/>
      <c r="J14" s="900"/>
      <c r="K14" s="910">
        <f>IF(G8=G9,"résultat",IF($G$8&gt;$G$9,$C$8,$C$9))</f>
        <v>0</v>
      </c>
      <c r="L14" s="911"/>
      <c r="M14" s="911"/>
      <c r="N14" s="912"/>
      <c r="O14" s="92">
        <v>12</v>
      </c>
      <c r="P14" s="98"/>
      <c r="Q14" s="58"/>
      <c r="R14" s="900"/>
      <c r="S14" s="910">
        <f>IF($AE$8=$AE$9,"résultat",IF($AE$8&lt;$AE$9,$AA$8,$AA$9))</f>
        <v>0</v>
      </c>
      <c r="T14" s="911"/>
      <c r="U14" s="911"/>
      <c r="V14" s="912"/>
      <c r="W14" s="88">
        <v>0</v>
      </c>
      <c r="X14" s="89"/>
      <c r="Y14" s="82"/>
      <c r="Z14" s="898"/>
      <c r="AA14" s="910">
        <f>IF(($W$9=$W$8),"résultat",IF(W8&gt;W9,S8,S9))</f>
        <v>0</v>
      </c>
      <c r="AB14" s="911"/>
      <c r="AC14" s="911"/>
      <c r="AD14" s="912"/>
      <c r="AE14" s="92">
        <v>1</v>
      </c>
      <c r="AF14" s="97"/>
    </row>
    <row r="15" spans="1:35" ht="20.100000000000001" customHeight="1">
      <c r="B15" s="118"/>
      <c r="C15" s="82"/>
      <c r="D15" s="82"/>
      <c r="E15" s="82"/>
      <c r="F15" s="82"/>
      <c r="G15" s="82"/>
      <c r="H15" s="82"/>
      <c r="I15" s="124"/>
      <c r="J15" s="82"/>
      <c r="K15" s="82"/>
      <c r="L15" s="82"/>
      <c r="M15" s="82"/>
      <c r="N15" s="110"/>
      <c r="O15" s="110"/>
      <c r="P15" s="122"/>
      <c r="Q15" s="58"/>
      <c r="R15" s="118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110"/>
      <c r="AE15" s="110"/>
      <c r="AF15" s="122"/>
    </row>
    <row r="16" spans="1:35" ht="20.100000000000001" customHeight="1" thickBot="1">
      <c r="B16" s="118"/>
      <c r="C16" s="82"/>
      <c r="D16" s="82"/>
      <c r="E16" s="82"/>
      <c r="F16" s="89" t="s">
        <v>1</v>
      </c>
      <c r="G16" s="82"/>
      <c r="H16" s="921" t="s">
        <v>170</v>
      </c>
      <c r="I16" s="921"/>
      <c r="J16" s="82"/>
      <c r="K16" s="89" t="s">
        <v>0</v>
      </c>
      <c r="L16" s="89"/>
      <c r="M16" s="110"/>
      <c r="N16" s="110"/>
      <c r="O16" s="110"/>
      <c r="P16" s="97"/>
      <c r="Q16" s="82"/>
      <c r="R16" s="118"/>
      <c r="S16" s="82"/>
      <c r="T16" s="82"/>
      <c r="U16" s="82"/>
      <c r="V16" s="89" t="s">
        <v>1</v>
      </c>
      <c r="W16" s="82"/>
      <c r="X16" s="921" t="s">
        <v>170</v>
      </c>
      <c r="Y16" s="921"/>
      <c r="Z16" s="82"/>
      <c r="AA16" s="89" t="s">
        <v>0</v>
      </c>
      <c r="AB16" s="89"/>
      <c r="AC16" s="125"/>
      <c r="AD16" s="110"/>
      <c r="AE16" s="110"/>
      <c r="AF16" s="122"/>
    </row>
    <row r="17" spans="2:34" ht="20.100000000000001" customHeight="1" thickBot="1">
      <c r="B17" s="118"/>
      <c r="C17" s="82"/>
      <c r="D17" s="82"/>
      <c r="E17" s="141"/>
      <c r="F17" s="897">
        <v>7</v>
      </c>
      <c r="G17" s="917" t="b">
        <f>IF(F3+G3=43," ",IF($F$3+$G$3=43,IF(0&lt;0,0,0),(IF($F$3+$G$3=42,IF($O$13=$O$14,"résultat",IF($O$13&lt;$O$14,$K$13,$K$14)),IF($F$3+$G$3=32,IF($O$13=$O$14,"résultat",IF($O$13&lt;$O$14,$K$13,$K$14)))))))</f>
        <v>0</v>
      </c>
      <c r="H17" s="918"/>
      <c r="I17" s="918"/>
      <c r="J17" s="919"/>
      <c r="K17" s="88">
        <v>1</v>
      </c>
      <c r="L17" s="89"/>
      <c r="M17" s="110"/>
      <c r="N17" s="110"/>
      <c r="O17" s="110"/>
      <c r="P17" s="97"/>
      <c r="Q17" s="82"/>
      <c r="R17" s="118"/>
      <c r="S17" s="82"/>
      <c r="T17" s="82"/>
      <c r="U17" s="141"/>
      <c r="V17" s="897">
        <v>9</v>
      </c>
      <c r="W17" s="917" t="b">
        <f>IF($V$3+$W$3=53,IF(0&lt;0,0,0),(IF($V$3+$W$3=52,IF(#REF!=#REF!,"résultat",IF(#REF!&lt;#REF!,#REF!,#REF!)),IF($V$3+$W$3=43,IF(0&lt;0,0,0),(IF($V$3+$W$3=42,IF($AE$13=$AE$14,"résultat",IF($AE$13&lt;$AE$14,$AA$13,$AA$14)),IF($V$3+$W$3=32,IF($AE$13=$AE$14,"résultat",IF($AE$13&lt;$AE$14,$AA$13,$AA$14)),IF($V$3+$W$3=31,IF(#REF!=#REF!,"résultat",IF(#REF!&gt;#REF!,#REF!,#REF!))))))))))</f>
        <v>0</v>
      </c>
      <c r="X17" s="918"/>
      <c r="Y17" s="918"/>
      <c r="Z17" s="919"/>
      <c r="AA17" s="88">
        <v>2</v>
      </c>
      <c r="AB17" s="89"/>
      <c r="AC17" s="82"/>
      <c r="AD17" s="82"/>
      <c r="AE17" s="82"/>
      <c r="AF17" s="122"/>
    </row>
    <row r="18" spans="2:34" ht="20.100000000000001" customHeight="1" thickBot="1">
      <c r="B18" s="118"/>
      <c r="C18" s="82"/>
      <c r="D18" s="82"/>
      <c r="E18" s="82"/>
      <c r="F18" s="898"/>
      <c r="G18" s="914" t="b">
        <f>IF(F3+G3=43," ",IF($F$3+$G$3=43,IF(0&gt;0,0,0),(IF(F3+G3=42,IF($G$13=$G$14,"résultat",IF($G$13&gt;$G$14,$C$13,$C$14)),(IF($F$3+$G$3=32,IF($G$13=$G$14,"résultat",IF($G$13&gt;$G$14,$C$13,$C$14))))))))</f>
        <v>0</v>
      </c>
      <c r="H18" s="915"/>
      <c r="I18" s="915"/>
      <c r="J18" s="916"/>
      <c r="K18" s="88">
        <v>0</v>
      </c>
      <c r="L18" s="89"/>
      <c r="M18" s="110"/>
      <c r="N18" s="110"/>
      <c r="O18" s="110"/>
      <c r="P18" s="97"/>
      <c r="Q18" s="82"/>
      <c r="R18" s="118"/>
      <c r="S18" s="82"/>
      <c r="T18" s="82"/>
      <c r="U18" s="82"/>
      <c r="V18" s="898"/>
      <c r="W18" s="914" t="b">
        <f>IF($V$3+$W$3=53,IF(0&gt;0,0,0),(IF($V$3+$W$3=52,IF(#REF!=#REF!,"résultat",IF(#REF!&gt;#REF!,#REF!,#REF!)),IF($V$3+$W$3=43,IF(0&gt;0,0,0),(IF($V$3+$W$3=42,IF(W13=W14,"résultat",IF($W$13&gt;$W$14,$S$13,$S$14)),(IF($V$3+$W$3=32,IF(W13=W14,"résultat",IF($W$13&gt;$W$14,$S$13,$S$14)),(IF($V$3+$W$3=31,IF(AE13=AE14,"résultat",IF($AE$13&gt;$AE$14,$AA$13,$AA$14))))))))))))</f>
        <v>0</v>
      </c>
      <c r="X18" s="915"/>
      <c r="Y18" s="915"/>
      <c r="Z18" s="916"/>
      <c r="AA18" s="88">
        <v>1</v>
      </c>
      <c r="AB18" s="89"/>
      <c r="AC18" s="82"/>
      <c r="AD18" s="82"/>
      <c r="AE18" s="82"/>
      <c r="AF18" s="122"/>
    </row>
    <row r="19" spans="2:34" ht="29.25" customHeight="1" thickBot="1">
      <c r="B19" s="118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110"/>
      <c r="N19" s="110"/>
      <c r="O19" s="110"/>
      <c r="P19" s="97"/>
      <c r="Q19" s="58"/>
      <c r="R19" s="118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122"/>
      <c r="AG19" s="6"/>
      <c r="AH19" s="6"/>
    </row>
    <row r="20" spans="2:34" ht="20.100000000000001" customHeight="1" thickBot="1">
      <c r="B20" s="118"/>
      <c r="C20" s="82"/>
      <c r="D20" s="82"/>
      <c r="E20" s="82"/>
      <c r="F20" s="82"/>
      <c r="G20" s="970" t="s">
        <v>73</v>
      </c>
      <c r="H20" s="971"/>
      <c r="I20" s="971"/>
      <c r="J20" s="972"/>
      <c r="K20" s="82"/>
      <c r="L20" s="110"/>
      <c r="M20" s="110"/>
      <c r="N20" s="110"/>
      <c r="O20" s="110"/>
      <c r="P20" s="97"/>
      <c r="Q20" s="82"/>
      <c r="R20" s="118"/>
      <c r="S20" s="82"/>
      <c r="T20" s="82"/>
      <c r="U20" s="82"/>
      <c r="V20" s="82"/>
      <c r="W20" s="970" t="s">
        <v>73</v>
      </c>
      <c r="X20" s="971"/>
      <c r="Y20" s="971"/>
      <c r="Z20" s="972"/>
      <c r="AA20" s="82"/>
      <c r="AB20" s="110"/>
      <c r="AC20" s="126"/>
      <c r="AD20" s="82"/>
      <c r="AE20" s="82"/>
      <c r="AF20" s="122"/>
    </row>
    <row r="21" spans="2:34" ht="20.100000000000001" customHeight="1">
      <c r="B21" s="118"/>
      <c r="C21" s="82"/>
      <c r="D21" s="105" t="s">
        <v>146</v>
      </c>
      <c r="E21" s="110"/>
      <c r="F21" s="902" t="b">
        <f>IF($F$3+$G$3=43,IF($O$13=$O$14,"résultat",IF($O$13&gt;$O$14,$K$13,$K$14)),(IF($F$3+$G$3=42,IF($O$13=$O$14,"résultat",IF($O$13&gt;$O$14,$K$13,$K$14)),(IF($F$3+$G$3=32,IF($O$13=$O$14,"résultat",IF($O$13&gt;$O$14,$K$13,$K$14)))))))</f>
        <v>0</v>
      </c>
      <c r="G21" s="903"/>
      <c r="H21" s="903"/>
      <c r="I21" s="903"/>
      <c r="J21" s="903"/>
      <c r="K21" s="904"/>
      <c r="L21" s="110"/>
      <c r="M21" s="110"/>
      <c r="N21" s="110"/>
      <c r="O21" s="110"/>
      <c r="P21" s="97"/>
      <c r="Q21" s="58"/>
      <c r="R21" s="132"/>
      <c r="S21" s="110"/>
      <c r="T21" s="105" t="s">
        <v>146</v>
      </c>
      <c r="U21" s="82"/>
      <c r="V21" s="902" t="b">
        <f>IF($V$3+$W$3=43,IF($AE$13=$AE$14,"résultat",IF($AE$13&gt;$AE$14,$AA$13,$AA$14)),(IF($V$3+$W$3=42,IF($AE$13=$AE$14,"résultat",IF($AE$13&gt;$AE$14,$AA$13,$AA$14)),(IF($V$3+$W$3=32,IF($AE$13=$AE$14,"résultat",IF($AE$13&gt;$AE$14,$AA$13,$AA$14)))))))</f>
        <v>0</v>
      </c>
      <c r="W21" s="903"/>
      <c r="X21" s="903"/>
      <c r="Y21" s="903"/>
      <c r="Z21" s="903"/>
      <c r="AA21" s="904"/>
      <c r="AB21" s="110"/>
      <c r="AC21" s="82"/>
      <c r="AD21" s="82"/>
      <c r="AE21" s="82"/>
      <c r="AF21" s="122"/>
    </row>
    <row r="22" spans="2:34" ht="20.100000000000001" customHeight="1">
      <c r="B22" s="118"/>
      <c r="C22" s="82"/>
      <c r="D22" s="108" t="s">
        <v>147</v>
      </c>
      <c r="E22" s="110"/>
      <c r="F22" s="964" t="b">
        <f>IF($F$3+$G$3=43,IF($O$13=$O$14,"résultat",IF($O$13&lt;$O$14,$K$13,$K$14)),(IF($F$3+$G$3=42,IF($K$17=$K$18,"résultat",IF($K$17&gt;$K$18,$G$17,$G$18)),(IF($F$3+$G$3=32,IF($K$17=$K$18,"résultat",IF($K$17&gt;$K$18,$G$17,$G$18)))))))</f>
        <v>0</v>
      </c>
      <c r="G22" s="965"/>
      <c r="H22" s="965"/>
      <c r="I22" s="965"/>
      <c r="J22" s="965"/>
      <c r="K22" s="966"/>
      <c r="L22" s="110"/>
      <c r="M22" s="110"/>
      <c r="N22" s="110"/>
      <c r="O22" s="110"/>
      <c r="P22" s="97"/>
      <c r="Q22" s="58"/>
      <c r="R22" s="132"/>
      <c r="S22" s="110"/>
      <c r="T22" s="108" t="s">
        <v>147</v>
      </c>
      <c r="U22" s="82"/>
      <c r="V22" s="964" t="b">
        <f>IF($V$3+$W$3=43,IF($AE$13=$AE$14,"résultat",IF($AE$13&lt;$AE$14,$AA$13,$AA$14)),(IF($V$3+$W$3=42,IF($AA$17=$AA$18,"résultat",IF($AA$17&gt;$AA$18,$W$17,$W$18)),(IF($V$3+$W$3=32,IF($AA$17=$AA$18,"résultat",IF($AA$17&gt;$AA$18,$W$17,$W$18)))))))</f>
        <v>0</v>
      </c>
      <c r="W22" s="965"/>
      <c r="X22" s="965"/>
      <c r="Y22" s="965"/>
      <c r="Z22" s="965"/>
      <c r="AA22" s="966"/>
      <c r="AB22" s="110"/>
      <c r="AC22" s="82"/>
      <c r="AD22" s="127"/>
      <c r="AE22" s="127"/>
      <c r="AF22" s="122"/>
    </row>
    <row r="23" spans="2:34" ht="20.100000000000001" customHeight="1" thickBot="1">
      <c r="B23" s="118"/>
      <c r="C23" s="82"/>
      <c r="D23" s="109" t="s">
        <v>148</v>
      </c>
      <c r="E23" s="110"/>
      <c r="F23" s="961" t="str">
        <f>IF(F3+G3=0," ",IF($F$3+$G$3=43,IF($G$13=$G$14,"résultat",IF($G$13&gt;$G$14,$C$13,$C$14)),(IF($F$3+$G$3=42,"&amp;",(IF($F$3+$G$3=32,"&amp;"))))))</f>
        <v xml:space="preserve"> </v>
      </c>
      <c r="G23" s="962"/>
      <c r="H23" s="962"/>
      <c r="I23" s="962"/>
      <c r="J23" s="962"/>
      <c r="K23" s="963"/>
      <c r="L23" s="110"/>
      <c r="M23" s="110"/>
      <c r="N23" s="110"/>
      <c r="O23" s="110"/>
      <c r="P23" s="97"/>
      <c r="Q23" s="58"/>
      <c r="R23" s="132"/>
      <c r="S23" s="110"/>
      <c r="T23" s="109" t="s">
        <v>148</v>
      </c>
      <c r="U23" s="82"/>
      <c r="V23" s="907" t="str">
        <f>IF(V3+W3=0," ",IF($V$3+$W$3=43,IF(W13=W14,"résultat",IF(W13&gt;W14,S13,S14)),IF($V$3+$W$3=42,"&amp;",(IF($V$3+$W$3=32,"&amp;")))))</f>
        <v xml:space="preserve"> </v>
      </c>
      <c r="W23" s="908"/>
      <c r="X23" s="908"/>
      <c r="Y23" s="908"/>
      <c r="Z23" s="908"/>
      <c r="AA23" s="909"/>
      <c r="AB23" s="110"/>
      <c r="AC23" s="82"/>
      <c r="AD23" s="82"/>
      <c r="AE23" s="82"/>
      <c r="AF23" s="122"/>
    </row>
    <row r="24" spans="2:34" ht="20.100000000000001" customHeight="1" thickBot="1">
      <c r="B24" s="128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29"/>
      <c r="Q24" s="58"/>
      <c r="R24" s="128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29"/>
      <c r="AG24" s="6"/>
      <c r="AH24" s="6"/>
    </row>
    <row r="25" spans="2:34" ht="20.100000000000001" customHeight="1" thickBot="1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6"/>
      <c r="AH25" s="6"/>
    </row>
    <row r="26" spans="2:34" ht="20.100000000000001" customHeight="1" thickBot="1">
      <c r="B26" s="117"/>
      <c r="C26" s="117"/>
      <c r="D26" s="58"/>
      <c r="E26" s="58"/>
      <c r="F26" s="956" t="s">
        <v>76</v>
      </c>
      <c r="G26" s="957"/>
      <c r="H26" s="958"/>
      <c r="I26" s="117"/>
      <c r="J26" s="117"/>
      <c r="K26" s="117"/>
      <c r="L26" s="117"/>
      <c r="M26" s="58"/>
      <c r="N26" s="58"/>
      <c r="O26" s="58"/>
      <c r="P26" s="117"/>
      <c r="Q26" s="58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6"/>
      <c r="AH26" s="6"/>
    </row>
    <row r="27" spans="2:34" ht="20.100000000000001" customHeight="1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</row>
    <row r="28" spans="2:34">
      <c r="C28" s="7" t="b">
        <f>IF($F$3+$G$3=43,IF($G$13=$G$14,"résultat",IF($G$13&gt;$G$14,$C$13,$C$14)),(IF($F$3+$G$3=42,IF($K$17=$K$18,"résultat",IF($K$17&lt;$K$18,"&amp;")),(IF($F$3+$G$3=32,"&amp;")))))</f>
        <v>0</v>
      </c>
    </row>
  </sheetData>
  <sheetProtection formatCells="0" formatColumns="0" formatRows="0" insertColumns="0" insertRows="0" insertHyperlinks="0" deleteColumns="0" deleteRows="0" sort="0"/>
  <mergeCells count="63">
    <mergeCell ref="AD1:AE1"/>
    <mergeCell ref="AB12:AC12"/>
    <mergeCell ref="L12:M12"/>
    <mergeCell ref="D12:E12"/>
    <mergeCell ref="AA13:AD13"/>
    <mergeCell ref="B2:D2"/>
    <mergeCell ref="F2:G2"/>
    <mergeCell ref="I2:K2"/>
    <mergeCell ref="L2:P2"/>
    <mergeCell ref="AB2:AF2"/>
    <mergeCell ref="B1:D1"/>
    <mergeCell ref="E1:G1"/>
    <mergeCell ref="R1:T1"/>
    <mergeCell ref="U1:W1"/>
    <mergeCell ref="I1:L1"/>
    <mergeCell ref="Y1:AB1"/>
    <mergeCell ref="AA14:AD14"/>
    <mergeCell ref="T12:U12"/>
    <mergeCell ref="B4:P4"/>
    <mergeCell ref="K13:N13"/>
    <mergeCell ref="K14:N14"/>
    <mergeCell ref="B8:B9"/>
    <mergeCell ref="J8:J9"/>
    <mergeCell ref="C9:F9"/>
    <mergeCell ref="K9:N9"/>
    <mergeCell ref="C8:F8"/>
    <mergeCell ref="K8:N8"/>
    <mergeCell ref="AA8:AD8"/>
    <mergeCell ref="S9:V9"/>
    <mergeCell ref="AA9:AD9"/>
    <mergeCell ref="R4:AF4"/>
    <mergeCell ref="R8:R9"/>
    <mergeCell ref="F21:K21"/>
    <mergeCell ref="F22:K22"/>
    <mergeCell ref="C14:F14"/>
    <mergeCell ref="C13:F13"/>
    <mergeCell ref="G20:J20"/>
    <mergeCell ref="G18:J18"/>
    <mergeCell ref="G17:J17"/>
    <mergeCell ref="F26:H26"/>
    <mergeCell ref="N1:O1"/>
    <mergeCell ref="F23:K23"/>
    <mergeCell ref="V23:AA23"/>
    <mergeCell ref="V21:AA21"/>
    <mergeCell ref="V22:AA22"/>
    <mergeCell ref="R2:T2"/>
    <mergeCell ref="V2:W2"/>
    <mergeCell ref="Y2:AA2"/>
    <mergeCell ref="W18:Z18"/>
    <mergeCell ref="W20:Z20"/>
    <mergeCell ref="S13:V13"/>
    <mergeCell ref="S14:V14"/>
    <mergeCell ref="W17:Z17"/>
    <mergeCell ref="S8:V8"/>
    <mergeCell ref="Z8:Z9"/>
    <mergeCell ref="Z13:Z14"/>
    <mergeCell ref="V17:V18"/>
    <mergeCell ref="R13:R14"/>
    <mergeCell ref="J13:J14"/>
    <mergeCell ref="B13:B14"/>
    <mergeCell ref="F17:F18"/>
    <mergeCell ref="H16:I16"/>
    <mergeCell ref="X16:Y16"/>
  </mergeCells>
  <conditionalFormatting sqref="F21 U21:V21">
    <cfRule type="expression" dxfId="377" priority="221">
      <formula>$X$2=5</formula>
    </cfRule>
    <cfRule type="expression" dxfId="376" priority="222">
      <formula>$X$2=4</formula>
    </cfRule>
    <cfRule type="expression" dxfId="375" priority="223">
      <formula>$X$2=3</formula>
    </cfRule>
    <cfRule type="expression" dxfId="374" priority="224">
      <formula>$X$2=2</formula>
    </cfRule>
    <cfRule type="expression" dxfId="373" priority="225">
      <formula>$X$2=0</formula>
    </cfRule>
  </conditionalFormatting>
  <conditionalFormatting sqref="F22 U22:V22">
    <cfRule type="expression" dxfId="372" priority="216">
      <formula>$X$2=0</formula>
    </cfRule>
    <cfRule type="expression" dxfId="371" priority="217">
      <formula>$X$2=5</formula>
    </cfRule>
    <cfRule type="expression" dxfId="370" priority="218">
      <formula>$X$2=4</formula>
    </cfRule>
    <cfRule type="expression" dxfId="369" priority="219">
      <formula>$X$2=3</formula>
    </cfRule>
    <cfRule type="expression" dxfId="368" priority="220">
      <formula>$X$2=2</formula>
    </cfRule>
  </conditionalFormatting>
  <conditionalFormatting sqref="U23:V23">
    <cfRule type="expression" dxfId="367" priority="228">
      <formula>$X$2=0</formula>
    </cfRule>
    <cfRule type="expression" dxfId="366" priority="229">
      <formula>$X$2=5</formula>
    </cfRule>
    <cfRule type="expression" dxfId="365" priority="230">
      <formula>$X$2=4</formula>
    </cfRule>
    <cfRule type="expression" dxfId="364" priority="231">
      <formula>$X$2=3</formula>
    </cfRule>
  </conditionalFormatting>
  <conditionalFormatting sqref="F23">
    <cfRule type="expression" dxfId="363" priority="201">
      <formula>$H$2=0</formula>
    </cfRule>
    <cfRule type="expression" dxfId="362" priority="202">
      <formula>$H$2=5</formula>
    </cfRule>
    <cfRule type="expression" dxfId="361" priority="203">
      <formula>$H$2=4</formula>
    </cfRule>
    <cfRule type="expression" dxfId="360" priority="204">
      <formula>$H$2=3</formula>
    </cfRule>
  </conditionalFormatting>
  <conditionalFormatting sqref="V21">
    <cfRule type="expression" dxfId="359" priority="172">
      <formula>$X$2=2</formula>
    </cfRule>
    <cfRule type="expression" dxfId="358" priority="173">
      <formula>$X$2=5</formula>
    </cfRule>
    <cfRule type="expression" dxfId="357" priority="174">
      <formula>$X$2=4</formula>
    </cfRule>
    <cfRule type="expression" dxfId="356" priority="175">
      <formula>$X$2=3</formula>
    </cfRule>
    <cfRule type="expression" dxfId="355" priority="176">
      <formula>$H$2=0</formula>
    </cfRule>
  </conditionalFormatting>
  <conditionalFormatting sqref="V23">
    <cfRule type="expression" dxfId="354" priority="163">
      <formula>$X$2=0</formula>
    </cfRule>
    <cfRule type="expression" dxfId="353" priority="164">
      <formula>$X$2=5</formula>
    </cfRule>
    <cfRule type="expression" dxfId="352" priority="165">
      <formula>$X$2=4</formula>
    </cfRule>
    <cfRule type="expression" dxfId="351" priority="166">
      <formula>$X$2=3</formula>
    </cfRule>
  </conditionalFormatting>
  <conditionalFormatting sqref="V21">
    <cfRule type="expression" dxfId="350" priority="156">
      <formula>$X$2=1</formula>
    </cfRule>
  </conditionalFormatting>
  <conditionalFormatting sqref="F21">
    <cfRule type="expression" dxfId="349" priority="154">
      <formula>$H$2=0</formula>
    </cfRule>
    <cfRule type="expression" dxfId="348" priority="155" stopIfTrue="1">
      <formula>(OR(H2="1",H2="2",H2="3"))</formula>
    </cfRule>
  </conditionalFormatting>
  <conditionalFormatting sqref="F22">
    <cfRule type="expression" dxfId="347" priority="153">
      <formula>(OR(H2="2",H2="3"))</formula>
    </cfRule>
  </conditionalFormatting>
  <conditionalFormatting sqref="F23">
    <cfRule type="expression" dxfId="346" priority="152">
      <formula>(H2="3")</formula>
    </cfRule>
  </conditionalFormatting>
  <conditionalFormatting sqref="V23">
    <cfRule type="cellIs" dxfId="345" priority="151" operator="equal">
      <formula>0</formula>
    </cfRule>
  </conditionalFormatting>
  <conditionalFormatting sqref="V21">
    <cfRule type="expression" dxfId="344" priority="139">
      <formula>$H$2=0</formula>
    </cfRule>
    <cfRule type="expression" dxfId="343" priority="140" stopIfTrue="1">
      <formula>(OR(X2="1",X2="2",X2="3"))</formula>
    </cfRule>
  </conditionalFormatting>
  <conditionalFormatting sqref="V22">
    <cfRule type="expression" dxfId="342" priority="138">
      <formula>(OR(X2="2",X2="3"))</formula>
    </cfRule>
  </conditionalFormatting>
  <conditionalFormatting sqref="V23">
    <cfRule type="expression" dxfId="341" priority="137">
      <formula>(X2="3")</formula>
    </cfRule>
  </conditionalFormatting>
  <conditionalFormatting sqref="F21">
    <cfRule type="expression" dxfId="340" priority="94">
      <formula>$H$2=0</formula>
    </cfRule>
    <cfRule type="expression" dxfId="339" priority="95" stopIfTrue="1">
      <formula>(OR(H2="1",H2="2",H2="3"))</formula>
    </cfRule>
  </conditionalFormatting>
  <conditionalFormatting sqref="F22">
    <cfRule type="expression" dxfId="338" priority="93">
      <formula>(OR(H2="2",H2="3"))</formula>
    </cfRule>
  </conditionalFormatting>
  <conditionalFormatting sqref="F23">
    <cfRule type="cellIs" dxfId="337" priority="91" operator="equal">
      <formula>0</formula>
    </cfRule>
    <cfRule type="expression" dxfId="336" priority="92">
      <formula>(H2="3")</formula>
    </cfRule>
  </conditionalFormatting>
  <conditionalFormatting sqref="V21">
    <cfRule type="expression" dxfId="335" priority="89">
      <formula>$H$2=0</formula>
    </cfRule>
    <cfRule type="expression" dxfId="334" priority="90" stopIfTrue="1">
      <formula>(OR(X2="1",X2="2",X2="3"))</formula>
    </cfRule>
  </conditionalFormatting>
  <conditionalFormatting sqref="V22">
    <cfRule type="expression" dxfId="333" priority="88">
      <formula>(OR(X2="2",X2="3"))</formula>
    </cfRule>
  </conditionalFormatting>
  <conditionalFormatting sqref="V23">
    <cfRule type="expression" dxfId="332" priority="87">
      <formula>(X2="3")</formula>
    </cfRule>
  </conditionalFormatting>
  <conditionalFormatting sqref="K8:N9">
    <cfRule type="expression" dxfId="331" priority="17">
      <formula>(OR($E$2=3,$E$2=4,$E$2=5))</formula>
    </cfRule>
  </conditionalFormatting>
  <conditionalFormatting sqref="AA9:AD9">
    <cfRule type="containsText" dxfId="330" priority="6" operator="containsText" text="OFFICE">
      <formula>NOT(ISERROR(SEARCH("OFFICE",AA9)))</formula>
    </cfRule>
    <cfRule type="cellIs" dxfId="329" priority="9" operator="equal">
      <formula>$E$2=0</formula>
    </cfRule>
  </conditionalFormatting>
  <conditionalFormatting sqref="AA14">
    <cfRule type="expression" dxfId="328" priority="7">
      <formula>(OR($U$2=3,$U$2=4,$U$2=5))</formula>
    </cfRule>
  </conditionalFormatting>
  <conditionalFormatting sqref="G18:J18 S14:V14 K9:N9 C14:F14">
    <cfRule type="containsText" dxfId="327" priority="5" operator="containsText" text="OFFICE">
      <formula>NOT(ISERROR(SEARCH("OFFICE",C9)))</formula>
    </cfRule>
  </conditionalFormatting>
  <pageMargins left="0.23622047244094491" right="0.23622047244094491" top="0.74803149606299213" bottom="0.19685039370078741" header="0.31496062992125984" footer="0.31496062992125984"/>
  <pageSetup paperSize="9" scale="50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tabColor rgb="FFFFFF00"/>
  </sheetPr>
  <dimension ref="A1:AI29"/>
  <sheetViews>
    <sheetView zoomScale="80" zoomScaleNormal="80" zoomScaleSheetLayoutView="90" workbookViewId="0">
      <selection activeCell="T12" sqref="T12:U12"/>
    </sheetView>
  </sheetViews>
  <sheetFormatPr baseColWidth="10" defaultRowHeight="15"/>
  <cols>
    <col min="1" max="1" width="4" style="7" customWidth="1"/>
    <col min="2" max="2" width="6.85546875" style="7" customWidth="1"/>
    <col min="3" max="3" width="6.7109375" style="7" customWidth="1"/>
    <col min="4" max="5" width="8.7109375" style="7" customWidth="1"/>
    <col min="6" max="6" width="7.28515625" style="7" customWidth="1"/>
    <col min="7" max="7" width="6.7109375" style="7" customWidth="1"/>
    <col min="8" max="8" width="8.7109375" style="7" customWidth="1"/>
    <col min="9" max="9" width="6.42578125" style="7" customWidth="1"/>
    <col min="10" max="10" width="7.42578125" style="7" customWidth="1"/>
    <col min="11" max="11" width="6.7109375" style="7" customWidth="1"/>
    <col min="12" max="13" width="8.7109375" style="7" customWidth="1"/>
    <col min="14" max="14" width="7.140625" style="7" customWidth="1"/>
    <col min="15" max="15" width="6.5703125" style="7" customWidth="1"/>
    <col min="16" max="16" width="7.140625" style="7" customWidth="1"/>
    <col min="17" max="17" width="4.42578125" style="7" customWidth="1"/>
    <col min="18" max="18" width="6.5703125" style="7" customWidth="1"/>
    <col min="19" max="19" width="8.7109375" style="7" customWidth="1"/>
    <col min="20" max="20" width="8.5703125" style="7" customWidth="1"/>
    <col min="21" max="21" width="8.7109375" style="7" customWidth="1"/>
    <col min="22" max="22" width="6.7109375" style="7" customWidth="1"/>
    <col min="23" max="23" width="6.85546875" style="7" customWidth="1"/>
    <col min="24" max="24" width="8.28515625" style="7" customWidth="1"/>
    <col min="25" max="25" width="6.85546875" style="7" customWidth="1"/>
    <col min="26" max="27" width="6.7109375" style="7" customWidth="1"/>
    <col min="28" max="30" width="8.7109375" style="7" customWidth="1"/>
    <col min="31" max="31" width="6.85546875" style="7" customWidth="1"/>
    <col min="32" max="32" width="7.28515625" style="7" customWidth="1"/>
    <col min="33" max="34" width="10.7109375" style="7" customWidth="1"/>
    <col min="35" max="16384" width="11.42578125" style="7"/>
  </cols>
  <sheetData>
    <row r="1" spans="1:35" ht="19.5" customHeight="1" thickBot="1">
      <c r="B1" s="959" t="s">
        <v>150</v>
      </c>
      <c r="C1" s="969"/>
      <c r="D1" s="969"/>
      <c r="E1" s="969">
        <f>Données!J1</f>
        <v>0</v>
      </c>
      <c r="F1" s="969"/>
      <c r="G1" s="969"/>
      <c r="H1" s="130" t="str">
        <f>Données!$D$3</f>
        <v>F_U18</v>
      </c>
      <c r="I1" s="969">
        <f>Données!$J$3</f>
        <v>0</v>
      </c>
      <c r="J1" s="969"/>
      <c r="K1" s="969"/>
      <c r="L1" s="969"/>
      <c r="M1" s="131" t="str">
        <f>Données!$E$5</f>
        <v>Simple</v>
      </c>
      <c r="N1" s="959" t="s">
        <v>149</v>
      </c>
      <c r="O1" s="960"/>
      <c r="P1" s="17">
        <f>Données!$L13</f>
        <v>0</v>
      </c>
      <c r="R1" s="959" t="s">
        <v>150</v>
      </c>
      <c r="S1" s="969"/>
      <c r="T1" s="969"/>
      <c r="U1" s="969">
        <f>Données!J1</f>
        <v>0</v>
      </c>
      <c r="V1" s="969"/>
      <c r="W1" s="969"/>
      <c r="X1" s="130" t="str">
        <f>Données!$D$3</f>
        <v>F_U18</v>
      </c>
      <c r="Y1" s="969">
        <f>Données!$J$3</f>
        <v>0</v>
      </c>
      <c r="Z1" s="969"/>
      <c r="AA1" s="969"/>
      <c r="AB1" s="969"/>
      <c r="AC1" s="131" t="str">
        <f>Données!$E$5</f>
        <v>Simple</v>
      </c>
      <c r="AD1" s="959" t="s">
        <v>149</v>
      </c>
      <c r="AE1" s="960"/>
      <c r="AF1" s="17">
        <f>Données!$L13</f>
        <v>0</v>
      </c>
      <c r="AG1" s="6"/>
    </row>
    <row r="2" spans="1:35" ht="20.25" customHeight="1" thickBot="1">
      <c r="B2" s="959" t="s">
        <v>20</v>
      </c>
      <c r="C2" s="969"/>
      <c r="D2" s="969"/>
      <c r="E2" s="187">
        <f>Données!I18</f>
        <v>0</v>
      </c>
      <c r="F2" s="931" t="s">
        <v>14</v>
      </c>
      <c r="G2" s="931"/>
      <c r="H2" s="9">
        <f>Données!I19</f>
        <v>0</v>
      </c>
      <c r="I2" s="969" t="s">
        <v>15</v>
      </c>
      <c r="J2" s="969"/>
      <c r="K2" s="969"/>
      <c r="L2" s="934">
        <f ca="1">TODAY()</f>
        <v>44217</v>
      </c>
      <c r="M2" s="935"/>
      <c r="N2" s="935"/>
      <c r="O2" s="935"/>
      <c r="P2" s="936"/>
      <c r="R2" s="959" t="s">
        <v>21</v>
      </c>
      <c r="S2" s="969"/>
      <c r="T2" s="969"/>
      <c r="U2" s="187">
        <f>Données!J18</f>
        <v>0</v>
      </c>
      <c r="V2" s="931" t="s">
        <v>14</v>
      </c>
      <c r="W2" s="931"/>
      <c r="X2" s="9">
        <f>Données!J19</f>
        <v>0</v>
      </c>
      <c r="Y2" s="969" t="s">
        <v>15</v>
      </c>
      <c r="Z2" s="969"/>
      <c r="AA2" s="969"/>
      <c r="AB2" s="934">
        <f ca="1">TODAY()</f>
        <v>44217</v>
      </c>
      <c r="AC2" s="935"/>
      <c r="AD2" s="935"/>
      <c r="AE2" s="935"/>
      <c r="AF2" s="936"/>
      <c r="AG2" s="6"/>
    </row>
    <row r="3" spans="1:35" ht="20.100000000000001" customHeight="1" thickBot="1">
      <c r="B3" s="196">
        <f>+Données!$J$11</f>
        <v>0</v>
      </c>
      <c r="C3" s="89"/>
      <c r="D3" s="89"/>
      <c r="E3" s="89"/>
      <c r="F3" s="119" t="str">
        <f>CONCATENATE(E2,H2)</f>
        <v>00</v>
      </c>
      <c r="G3" s="89"/>
      <c r="H3" s="89"/>
      <c r="I3" s="89"/>
      <c r="J3" s="89"/>
      <c r="K3" s="89"/>
      <c r="L3" s="89"/>
      <c r="M3" s="89"/>
      <c r="N3" s="89"/>
      <c r="O3" s="89"/>
      <c r="P3" s="98"/>
      <c r="Q3" s="58"/>
      <c r="R3" s="196">
        <f>+Données!$J$11</f>
        <v>0</v>
      </c>
      <c r="S3" s="89"/>
      <c r="T3" s="89"/>
      <c r="U3" s="101"/>
      <c r="V3" s="119" t="str">
        <f>CONCATENATE(U2,X2)</f>
        <v>00</v>
      </c>
      <c r="W3" s="89"/>
      <c r="X3" s="89"/>
      <c r="Y3" s="89"/>
      <c r="Z3" s="89"/>
      <c r="AA3" s="89"/>
      <c r="AB3" s="89"/>
      <c r="AC3" s="89"/>
      <c r="AD3" s="89"/>
      <c r="AE3" s="89"/>
      <c r="AF3" s="98"/>
      <c r="AG3" s="6"/>
      <c r="AH3" s="6"/>
    </row>
    <row r="4" spans="1:35" ht="20.100000000000001" customHeight="1" thickBot="1">
      <c r="B4" s="949" t="s">
        <v>167</v>
      </c>
      <c r="C4" s="950"/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0"/>
      <c r="O4" s="950"/>
      <c r="P4" s="951"/>
      <c r="Q4" s="82"/>
      <c r="R4" s="940" t="s">
        <v>167</v>
      </c>
      <c r="S4" s="941"/>
      <c r="T4" s="941"/>
      <c r="U4" s="941"/>
      <c r="V4" s="941"/>
      <c r="W4" s="941"/>
      <c r="X4" s="941"/>
      <c r="Y4" s="941"/>
      <c r="Z4" s="941"/>
      <c r="AA4" s="941"/>
      <c r="AB4" s="941"/>
      <c r="AC4" s="941"/>
      <c r="AD4" s="941"/>
      <c r="AE4" s="941"/>
      <c r="AF4" s="942"/>
      <c r="AG4" s="6"/>
    </row>
    <row r="5" spans="1:35" ht="20.100000000000001" customHeight="1">
      <c r="B5" s="118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120"/>
      <c r="Q5" s="58"/>
      <c r="R5" s="118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120"/>
      <c r="AG5" s="6"/>
      <c r="AH5" s="6"/>
    </row>
    <row r="6" spans="1:35" ht="20.100000000000001" customHeight="1" thickBot="1">
      <c r="B6" s="118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97"/>
      <c r="Q6" s="58"/>
      <c r="R6" s="118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97"/>
      <c r="AG6" s="6"/>
      <c r="AH6" s="6"/>
    </row>
    <row r="7" spans="1:35" ht="20.100000000000001" customHeight="1" thickBot="1">
      <c r="B7" s="96" t="s">
        <v>1</v>
      </c>
      <c r="C7" s="121" t="s">
        <v>10</v>
      </c>
      <c r="D7" s="101"/>
      <c r="E7" s="82"/>
      <c r="F7" s="82"/>
      <c r="G7" s="89" t="s">
        <v>0</v>
      </c>
      <c r="H7" s="89"/>
      <c r="I7" s="89"/>
      <c r="J7" s="89" t="s">
        <v>1</v>
      </c>
      <c r="K7" s="121" t="str">
        <f>IF(E2=2,"","C")</f>
        <v>C</v>
      </c>
      <c r="L7" s="101"/>
      <c r="M7" s="82"/>
      <c r="N7" s="82"/>
      <c r="O7" s="89" t="s">
        <v>0</v>
      </c>
      <c r="P7" s="98"/>
      <c r="Q7" s="133"/>
      <c r="R7" s="96" t="s">
        <v>1</v>
      </c>
      <c r="S7" s="121" t="s">
        <v>10</v>
      </c>
      <c r="T7" s="101"/>
      <c r="U7" s="82"/>
      <c r="V7" s="82"/>
      <c r="W7" s="89" t="s">
        <v>0</v>
      </c>
      <c r="X7" s="89"/>
      <c r="Y7" s="89"/>
      <c r="Z7" s="89" t="s">
        <v>1</v>
      </c>
      <c r="AA7" s="121" t="str">
        <f>IF(U2=2,"","C")</f>
        <v>C</v>
      </c>
      <c r="AB7" s="101"/>
      <c r="AC7" s="82"/>
      <c r="AD7" s="82"/>
      <c r="AE7" s="89" t="s">
        <v>0</v>
      </c>
      <c r="AF7" s="97"/>
      <c r="AG7" s="14"/>
      <c r="AH7" s="6"/>
      <c r="AI7" s="6"/>
    </row>
    <row r="8" spans="1:35" ht="20.100000000000001" customHeight="1" thickBot="1">
      <c r="A8" s="40">
        <v>17</v>
      </c>
      <c r="B8" s="899">
        <v>9</v>
      </c>
      <c r="C8" s="902">
        <f>+Données!AG22</f>
        <v>0</v>
      </c>
      <c r="D8" s="903"/>
      <c r="E8" s="903"/>
      <c r="F8" s="904"/>
      <c r="G8" s="88">
        <v>1</v>
      </c>
      <c r="H8" s="89"/>
      <c r="I8" s="90">
        <v>19</v>
      </c>
      <c r="J8" s="899">
        <v>10</v>
      </c>
      <c r="K8" s="979">
        <f>+Données!AG24</f>
        <v>0</v>
      </c>
      <c r="L8" s="980"/>
      <c r="M8" s="980"/>
      <c r="N8" s="981"/>
      <c r="O8" s="88">
        <v>19</v>
      </c>
      <c r="P8" s="98"/>
      <c r="Q8" s="133"/>
      <c r="R8" s="899">
        <v>11</v>
      </c>
      <c r="S8" s="902">
        <f>+Données!AG26</f>
        <v>0</v>
      </c>
      <c r="T8" s="903"/>
      <c r="U8" s="903"/>
      <c r="V8" s="904"/>
      <c r="W8" s="88">
        <v>1</v>
      </c>
      <c r="X8" s="89"/>
      <c r="Y8" s="90">
        <v>23</v>
      </c>
      <c r="Z8" s="899">
        <v>12</v>
      </c>
      <c r="AA8" s="902">
        <f>+Données!AG28</f>
        <v>0</v>
      </c>
      <c r="AB8" s="903"/>
      <c r="AC8" s="903"/>
      <c r="AD8" s="904"/>
      <c r="AE8" s="88">
        <v>1</v>
      </c>
      <c r="AF8" s="97"/>
      <c r="AG8" s="14"/>
      <c r="AH8" s="6"/>
      <c r="AI8" s="6"/>
    </row>
    <row r="9" spans="1:35" ht="20.100000000000001" customHeight="1" thickBot="1">
      <c r="A9" s="40">
        <v>18</v>
      </c>
      <c r="B9" s="900"/>
      <c r="C9" s="937">
        <f>+Données!AG23</f>
        <v>0</v>
      </c>
      <c r="D9" s="938"/>
      <c r="E9" s="938"/>
      <c r="F9" s="939"/>
      <c r="G9" s="92">
        <v>0</v>
      </c>
      <c r="H9" s="89"/>
      <c r="I9" s="90">
        <v>20</v>
      </c>
      <c r="J9" s="900"/>
      <c r="K9" s="937">
        <f>Données!AG25</f>
        <v>0</v>
      </c>
      <c r="L9" s="938"/>
      <c r="M9" s="938"/>
      <c r="N9" s="939"/>
      <c r="O9" s="88">
        <v>0</v>
      </c>
      <c r="P9" s="98"/>
      <c r="Q9" s="133"/>
      <c r="R9" s="900"/>
      <c r="S9" s="937">
        <f>+Données!AG27</f>
        <v>0</v>
      </c>
      <c r="T9" s="938"/>
      <c r="U9" s="938"/>
      <c r="V9" s="939"/>
      <c r="W9" s="92">
        <v>0</v>
      </c>
      <c r="X9" s="89"/>
      <c r="Y9" s="90">
        <v>24</v>
      </c>
      <c r="Z9" s="900"/>
      <c r="AA9" s="937">
        <f>IF(OR(AND(B3&gt;170,B3&lt;210))," ",Données!AG29)</f>
        <v>0</v>
      </c>
      <c r="AB9" s="938"/>
      <c r="AC9" s="938"/>
      <c r="AD9" s="939"/>
      <c r="AE9" s="88">
        <v>0</v>
      </c>
      <c r="AF9" s="97"/>
      <c r="AG9" s="14"/>
      <c r="AH9" s="14"/>
      <c r="AI9" s="6"/>
    </row>
    <row r="10" spans="1:35" ht="20.100000000000001" customHeight="1" thickBot="1">
      <c r="B10" s="118"/>
      <c r="C10" s="93" t="s">
        <v>11</v>
      </c>
      <c r="D10" s="80"/>
      <c r="E10" s="81"/>
      <c r="F10" s="81"/>
      <c r="G10" s="82"/>
      <c r="H10" s="82"/>
      <c r="I10" s="82"/>
      <c r="J10" s="82"/>
      <c r="K10" s="86" t="s">
        <v>48</v>
      </c>
      <c r="L10" s="80"/>
      <c r="M10" s="81"/>
      <c r="N10" s="81"/>
      <c r="O10" s="82"/>
      <c r="P10" s="122"/>
      <c r="Q10" s="133"/>
      <c r="R10" s="118"/>
      <c r="S10" s="93" t="s">
        <v>11</v>
      </c>
      <c r="T10" s="80"/>
      <c r="U10" s="81"/>
      <c r="V10" s="81"/>
      <c r="W10" s="82"/>
      <c r="X10" s="82"/>
      <c r="Y10" s="82"/>
      <c r="Z10" s="82"/>
      <c r="AA10" s="86" t="s">
        <v>48</v>
      </c>
      <c r="AB10" s="80"/>
      <c r="AC10" s="81"/>
      <c r="AD10" s="81"/>
      <c r="AE10" s="82"/>
      <c r="AF10" s="94"/>
      <c r="AG10" s="14"/>
      <c r="AH10" s="14"/>
      <c r="AI10" s="6"/>
    </row>
    <row r="11" spans="1:35" ht="20.100000000000001" customHeight="1">
      <c r="B11" s="118"/>
      <c r="C11" s="81"/>
      <c r="D11" s="81"/>
      <c r="E11" s="81"/>
      <c r="F11" s="81"/>
      <c r="G11" s="82"/>
      <c r="H11" s="82"/>
      <c r="I11" s="82"/>
      <c r="J11" s="82"/>
      <c r="K11" s="81"/>
      <c r="L11" s="81"/>
      <c r="M11" s="81"/>
      <c r="N11" s="81"/>
      <c r="O11" s="82"/>
      <c r="P11" s="122"/>
      <c r="Q11" s="82"/>
      <c r="R11" s="118"/>
      <c r="S11" s="95"/>
      <c r="T11" s="95"/>
      <c r="U11" s="95"/>
      <c r="V11" s="95"/>
      <c r="W11" s="82"/>
      <c r="X11" s="82"/>
      <c r="Y11" s="82"/>
      <c r="Z11" s="82"/>
      <c r="AA11" s="81"/>
      <c r="AB11" s="81"/>
      <c r="AC11" s="81"/>
      <c r="AD11" s="81"/>
      <c r="AE11" s="82"/>
      <c r="AF11" s="94"/>
      <c r="AG11" s="14"/>
      <c r="AH11" s="14"/>
      <c r="AI11" s="6"/>
    </row>
    <row r="12" spans="1:35" ht="20.100000000000001" customHeight="1" thickBot="1">
      <c r="B12" s="96" t="s">
        <v>1</v>
      </c>
      <c r="C12" s="81"/>
      <c r="D12" s="952" t="s">
        <v>75</v>
      </c>
      <c r="E12" s="952"/>
      <c r="F12" s="81"/>
      <c r="G12" s="89" t="s">
        <v>0</v>
      </c>
      <c r="H12" s="89"/>
      <c r="I12" s="89"/>
      <c r="J12" s="89" t="s">
        <v>1</v>
      </c>
      <c r="K12" s="81"/>
      <c r="L12" s="901" t="s">
        <v>74</v>
      </c>
      <c r="M12" s="901"/>
      <c r="N12" s="81"/>
      <c r="O12" s="89" t="s">
        <v>0</v>
      </c>
      <c r="P12" s="98"/>
      <c r="Q12" s="89"/>
      <c r="R12" s="96" t="s">
        <v>1</v>
      </c>
      <c r="S12" s="95"/>
      <c r="T12" s="952" t="s">
        <v>75</v>
      </c>
      <c r="U12" s="952"/>
      <c r="V12" s="95"/>
      <c r="W12" s="89" t="s">
        <v>0</v>
      </c>
      <c r="X12" s="89"/>
      <c r="Y12" s="89"/>
      <c r="Z12" s="89" t="s">
        <v>1</v>
      </c>
      <c r="AA12" s="81"/>
      <c r="AB12" s="901" t="s">
        <v>74</v>
      </c>
      <c r="AC12" s="901"/>
      <c r="AD12" s="81"/>
      <c r="AE12" s="89" t="s">
        <v>0</v>
      </c>
      <c r="AF12" s="122"/>
    </row>
    <row r="13" spans="1:35" ht="20.100000000000001" customHeight="1" thickBot="1">
      <c r="B13" s="897">
        <v>12</v>
      </c>
      <c r="C13" s="902">
        <f>IF($G$8=$G$9,"résultat",IF($G$8&gt;$G$9,$C$9,$C$8))</f>
        <v>0</v>
      </c>
      <c r="D13" s="905"/>
      <c r="E13" s="905"/>
      <c r="F13" s="906"/>
      <c r="G13" s="88">
        <v>17</v>
      </c>
      <c r="H13" s="89"/>
      <c r="I13" s="89"/>
      <c r="J13" s="897">
        <v>13</v>
      </c>
      <c r="K13" s="902">
        <f>IF($O$8=$O$9,"résultat",IF($O$8&gt;$O$9,$K$8,$K$9))</f>
        <v>0</v>
      </c>
      <c r="L13" s="903"/>
      <c r="M13" s="903"/>
      <c r="N13" s="904"/>
      <c r="O13" s="88">
        <v>1</v>
      </c>
      <c r="P13" s="98"/>
      <c r="Q13" s="89"/>
      <c r="R13" s="897">
        <v>14</v>
      </c>
      <c r="S13" s="973">
        <f>IF($W$8=$W$9,"résultat",IF($W$8&gt;$W$9,$S$9,$S$8))</f>
        <v>0</v>
      </c>
      <c r="T13" s="905"/>
      <c r="U13" s="905"/>
      <c r="V13" s="906"/>
      <c r="W13" s="88">
        <v>1</v>
      </c>
      <c r="X13" s="89"/>
      <c r="Y13" s="89"/>
      <c r="Z13" s="897">
        <v>15</v>
      </c>
      <c r="AA13" s="902">
        <f>IF(AE8=AE9,"résultat",IF($AE$8&gt;$AE$9,$AA$8,$AA$9))</f>
        <v>0</v>
      </c>
      <c r="AB13" s="903"/>
      <c r="AC13" s="903"/>
      <c r="AD13" s="904"/>
      <c r="AE13" s="88">
        <v>1</v>
      </c>
      <c r="AF13" s="122"/>
    </row>
    <row r="14" spans="1:35" ht="20.100000000000001" customHeight="1" thickBot="1">
      <c r="B14" s="898"/>
      <c r="C14" s="910">
        <f>IF($O$8=$O$9,"résultat",IF($O$8&lt;$O$9,$K$8,$K$9))</f>
        <v>0</v>
      </c>
      <c r="D14" s="911"/>
      <c r="E14" s="911"/>
      <c r="F14" s="912"/>
      <c r="G14" s="100">
        <v>0</v>
      </c>
      <c r="H14" s="101"/>
      <c r="I14" s="89"/>
      <c r="J14" s="898"/>
      <c r="K14" s="910">
        <f>IF(G8=G9,"résultat",IF($G$8&gt;$G$9,$C$8,$C$9))</f>
        <v>0</v>
      </c>
      <c r="L14" s="911"/>
      <c r="M14" s="911"/>
      <c r="N14" s="912"/>
      <c r="O14" s="92">
        <v>2</v>
      </c>
      <c r="P14" s="98"/>
      <c r="Q14" s="89"/>
      <c r="R14" s="898"/>
      <c r="S14" s="910">
        <f>IF($AE$8=$AE$9,"résultat",IF($AE$8&lt;$AE$9,$AA$8,$AA$9))</f>
        <v>0</v>
      </c>
      <c r="T14" s="911"/>
      <c r="U14" s="911"/>
      <c r="V14" s="912"/>
      <c r="W14" s="88">
        <v>0</v>
      </c>
      <c r="X14" s="89"/>
      <c r="Y14" s="89"/>
      <c r="Z14" s="898"/>
      <c r="AA14" s="910">
        <f>IF(($W$9=$W$8),"résultat",IF(W8&gt;W9,S8,S9))</f>
        <v>0</v>
      </c>
      <c r="AB14" s="911"/>
      <c r="AC14" s="911"/>
      <c r="AD14" s="912"/>
      <c r="AE14" s="92">
        <v>2</v>
      </c>
      <c r="AF14" s="122"/>
    </row>
    <row r="15" spans="1:35" ht="20.100000000000001" customHeight="1">
      <c r="B15" s="118"/>
      <c r="C15" s="82"/>
      <c r="D15" s="82"/>
      <c r="E15" s="82"/>
      <c r="F15" s="82"/>
      <c r="G15" s="82"/>
      <c r="H15" s="82"/>
      <c r="I15" s="124"/>
      <c r="J15" s="82"/>
      <c r="K15" s="82"/>
      <c r="L15" s="82"/>
      <c r="M15" s="82"/>
      <c r="N15" s="110"/>
      <c r="O15" s="110"/>
      <c r="P15" s="122"/>
      <c r="Q15" s="58"/>
      <c r="R15" s="118"/>
      <c r="S15" s="82"/>
      <c r="T15" s="82"/>
      <c r="U15" s="82"/>
      <c r="V15" s="82"/>
      <c r="W15" s="82"/>
      <c r="X15" s="82"/>
      <c r="Y15" s="110"/>
      <c r="Z15" s="110"/>
      <c r="AA15" s="110"/>
      <c r="AB15" s="110"/>
      <c r="AC15" s="110"/>
      <c r="AD15" s="110"/>
      <c r="AE15" s="82"/>
      <c r="AF15" s="122"/>
      <c r="AG15" s="6"/>
      <c r="AH15" s="6"/>
    </row>
    <row r="16" spans="1:35" ht="20.100000000000001" customHeight="1" thickBot="1">
      <c r="B16" s="118"/>
      <c r="C16" s="82"/>
      <c r="D16" s="82"/>
      <c r="E16" s="82"/>
      <c r="F16" s="89" t="s">
        <v>1</v>
      </c>
      <c r="G16" s="82"/>
      <c r="H16" s="921" t="s">
        <v>170</v>
      </c>
      <c r="I16" s="921"/>
      <c r="J16" s="82"/>
      <c r="K16" s="89" t="s">
        <v>0</v>
      </c>
      <c r="L16" s="89"/>
      <c r="M16" s="125"/>
      <c r="N16" s="82"/>
      <c r="O16" s="82"/>
      <c r="P16" s="122"/>
      <c r="Q16" s="82"/>
      <c r="R16" s="118"/>
      <c r="S16" s="82"/>
      <c r="T16" s="82"/>
      <c r="U16" s="82"/>
      <c r="V16" s="89" t="s">
        <v>1</v>
      </c>
      <c r="W16" s="82"/>
      <c r="X16" s="921" t="s">
        <v>170</v>
      </c>
      <c r="Y16" s="921"/>
      <c r="Z16" s="82"/>
      <c r="AA16" s="89" t="s">
        <v>0</v>
      </c>
      <c r="AB16" s="89"/>
      <c r="AC16" s="125"/>
      <c r="AD16" s="82"/>
      <c r="AE16" s="82"/>
      <c r="AF16" s="122"/>
    </row>
    <row r="17" spans="1:34" ht="20.100000000000001" customHeight="1" thickBot="1">
      <c r="B17" s="118"/>
      <c r="C17" s="82"/>
      <c r="D17" s="82"/>
      <c r="E17" s="89"/>
      <c r="F17" s="897">
        <v>11</v>
      </c>
      <c r="G17" s="917" t="b">
        <f>IF(F3+G3=43," ",IF($F$3+$G$3=42,IF($O$13=$O$14,"résultat",IF($O$13&lt;$O$14,$K$13,$K$14)),IF($F$3+$G$3=32,IF($O$13=$O$14,"résultat",IF($O$13&lt;$O$14,$K$13,$K$14)))))</f>
        <v>0</v>
      </c>
      <c r="H17" s="918"/>
      <c r="I17" s="918"/>
      <c r="J17" s="919"/>
      <c r="K17" s="88">
        <v>1</v>
      </c>
      <c r="L17" s="89"/>
      <c r="M17" s="82"/>
      <c r="N17" s="82"/>
      <c r="O17" s="82"/>
      <c r="P17" s="122"/>
      <c r="Q17" s="82"/>
      <c r="R17" s="118"/>
      <c r="S17" s="82"/>
      <c r="T17" s="82"/>
      <c r="U17" s="89"/>
      <c r="V17" s="897">
        <v>13</v>
      </c>
      <c r="W17" s="917" t="str">
        <f>IF(V3+W3=0," ",IF($V$3+$W$3=43," ",(IF($V$3+$W$3=42,IF($AE$13=$AE$14,"résultat",IF($AE$13&lt;$AE$14,$AA$13,$AA$14)),IF($V$3+$W$3=32,IF($AE$13=$AE$14,"résultat",IF($AE$13&lt;$AE$14,$AA$13,$AA$14)))))))</f>
        <v xml:space="preserve"> </v>
      </c>
      <c r="X17" s="918"/>
      <c r="Y17" s="918"/>
      <c r="Z17" s="919"/>
      <c r="AA17" s="88">
        <v>1</v>
      </c>
      <c r="AB17" s="89"/>
      <c r="AC17" s="82"/>
      <c r="AD17" s="82"/>
      <c r="AE17" s="82"/>
      <c r="AF17" s="122"/>
    </row>
    <row r="18" spans="1:34" ht="20.100000000000001" customHeight="1" thickBot="1">
      <c r="B18" s="118"/>
      <c r="C18" s="82"/>
      <c r="D18" s="82"/>
      <c r="E18" s="82"/>
      <c r="F18" s="898"/>
      <c r="G18" s="914" t="b">
        <f>IF($F$3+$G$3=43," ",(IF(F3+G3=42,IF($G$13=$G$14,"résultat",IF($G$13&gt;$G$14,$C$13,$C$14)),(IF($F$3+$G$3=32,IF($G$13=$G$14,"résultat",IF($G$13&gt;$G$14,$C$13,$C$14)))))))</f>
        <v>0</v>
      </c>
      <c r="H18" s="915"/>
      <c r="I18" s="915"/>
      <c r="J18" s="916"/>
      <c r="K18" s="88">
        <v>0</v>
      </c>
      <c r="L18" s="89"/>
      <c r="M18" s="82"/>
      <c r="N18" s="82"/>
      <c r="O18" s="82"/>
      <c r="P18" s="122"/>
      <c r="Q18" s="82"/>
      <c r="R18" s="118"/>
      <c r="S18" s="82"/>
      <c r="T18" s="82"/>
      <c r="U18" s="82"/>
      <c r="V18" s="898"/>
      <c r="W18" s="907" t="str">
        <f>IF(V3+W3=0," ",IF($V$3+$W$3=43," ",(IF($V$3+$W$3=42,IF(W13=W14,"résultat",IF($W$13&gt;$W$14,$S$13,$S$14)),(IF($V$3+$W$3=32,IF(W13=W14,"résultat",IF($W$13&gt;$W$14,$S$13,$S$14))))))))</f>
        <v xml:space="preserve"> </v>
      </c>
      <c r="X18" s="908"/>
      <c r="Y18" s="908"/>
      <c r="Z18" s="909"/>
      <c r="AA18" s="88">
        <v>0</v>
      </c>
      <c r="AB18" s="89"/>
      <c r="AC18" s="82"/>
      <c r="AD18" s="82"/>
      <c r="AE18" s="82"/>
      <c r="AF18" s="122"/>
    </row>
    <row r="19" spans="1:34" s="50" customFormat="1" ht="19.5" customHeight="1" thickBot="1">
      <c r="B19" s="203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43"/>
      <c r="O19" s="204"/>
      <c r="P19" s="206"/>
      <c r="Q19" s="207"/>
      <c r="R19" s="203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5"/>
      <c r="AE19" s="204"/>
      <c r="AF19" s="206"/>
      <c r="AG19" s="67"/>
      <c r="AH19" s="67"/>
    </row>
    <row r="20" spans="1:34" ht="20.100000000000001" customHeight="1" thickBot="1">
      <c r="B20" s="118"/>
      <c r="C20" s="82"/>
      <c r="D20" s="82"/>
      <c r="E20" s="82"/>
      <c r="F20" s="82"/>
      <c r="G20" s="982" t="s">
        <v>73</v>
      </c>
      <c r="H20" s="983"/>
      <c r="I20" s="983"/>
      <c r="J20" s="984"/>
      <c r="K20" s="82"/>
      <c r="L20" s="82"/>
      <c r="M20" s="126"/>
      <c r="N20" s="82"/>
      <c r="O20" s="110"/>
      <c r="P20" s="97"/>
      <c r="Q20" s="82"/>
      <c r="R20" s="118"/>
      <c r="S20" s="82"/>
      <c r="T20" s="82"/>
      <c r="U20" s="82"/>
      <c r="V20" s="82"/>
      <c r="W20" s="982" t="s">
        <v>73</v>
      </c>
      <c r="X20" s="983"/>
      <c r="Y20" s="983"/>
      <c r="Z20" s="984"/>
      <c r="AA20" s="82"/>
      <c r="AB20" s="82"/>
      <c r="AC20" s="126"/>
      <c r="AD20" s="82"/>
      <c r="AE20" s="82"/>
      <c r="AF20" s="122"/>
    </row>
    <row r="21" spans="1:34" ht="20.100000000000001" customHeight="1">
      <c r="B21" s="118"/>
      <c r="C21" s="82"/>
      <c r="D21" s="105" t="s">
        <v>146</v>
      </c>
      <c r="E21" s="110"/>
      <c r="F21" s="902" t="b">
        <f>IF($F$3+$G$3=43,IF($O$13=$O$14,"résultat",IF($O$13&gt;$O$14,$K$13,$K$14)),(IF($F$3+$G$3=42,IF($O$13=$O$14,"résultat",IF($O$13&gt;$O$14,$K$13,$K$14)),(IF($F$3+$G$3=32,IF($O$13=$O$14,"résultat",IF($O$13&gt;$O$14,$K$13,$K$14)))))))</f>
        <v>0</v>
      </c>
      <c r="G21" s="903"/>
      <c r="H21" s="903"/>
      <c r="I21" s="903"/>
      <c r="J21" s="903"/>
      <c r="K21" s="904"/>
      <c r="L21" s="110"/>
      <c r="M21" s="82"/>
      <c r="N21" s="82"/>
      <c r="O21" s="110"/>
      <c r="P21" s="97"/>
      <c r="Q21" s="58"/>
      <c r="R21" s="132"/>
      <c r="S21" s="110"/>
      <c r="T21" s="105" t="s">
        <v>146</v>
      </c>
      <c r="U21" s="82"/>
      <c r="V21" s="902" t="str">
        <f>IF(V3+W3=0," ",IF($V$3+$W$3=43,IF($AE$13=$AE$14,"résultat",IF($AE$13&gt;$AE$14,$AA$13,$AA$14)),(IF($V$3+$W$3=42,IF($AE$13=$AE$14,"résultat",IF($AE$13&gt;$AE$14,$AA$13,$AA$14)),(IF($V$3+$W$3=32,IF($AE$13=$AE$14,"résultat",IF($AE$13&gt;$AE$14,$AA$13,$AA$14))))))))</f>
        <v xml:space="preserve"> </v>
      </c>
      <c r="W21" s="903"/>
      <c r="X21" s="903"/>
      <c r="Y21" s="903"/>
      <c r="Z21" s="903"/>
      <c r="AA21" s="904"/>
      <c r="AB21" s="110"/>
      <c r="AC21" s="82"/>
      <c r="AD21" s="82"/>
      <c r="AE21" s="82"/>
      <c r="AF21" s="122"/>
    </row>
    <row r="22" spans="1:34" ht="20.100000000000001" customHeight="1">
      <c r="B22" s="118"/>
      <c r="C22" s="82"/>
      <c r="D22" s="108" t="s">
        <v>147</v>
      </c>
      <c r="E22" s="110"/>
      <c r="F22" s="964" t="b">
        <f>IF($F$3+$G$3=43,IF($O$13=$O$14,"résultat",IF($O$13&lt;$O$14,$K$13,$K$14)),(IF($F$3+$G$3=42,IF($K$17=$K$18,"résultat",IF($K$17&gt;$K$18,$G$17,$G$18)),(IF($F$3+$G$3=32,IF($K$17=$K$18,"résultat",IF($K$17&gt;$K$18,$G$17,$G$18)))))))</f>
        <v>0</v>
      </c>
      <c r="G22" s="965"/>
      <c r="H22" s="965"/>
      <c r="I22" s="965"/>
      <c r="J22" s="965"/>
      <c r="K22" s="966"/>
      <c r="L22" s="110"/>
      <c r="M22" s="82"/>
      <c r="N22" s="127"/>
      <c r="O22" s="110"/>
      <c r="P22" s="97"/>
      <c r="Q22" s="58"/>
      <c r="R22" s="132"/>
      <c r="S22" s="110"/>
      <c r="T22" s="108" t="s">
        <v>147</v>
      </c>
      <c r="U22" s="82"/>
      <c r="V22" s="964" t="str">
        <f>IF(V3+W3=0," ",IF($V$3+$W$3=43,IF($AE$13=$AE$14,"résultat",IF($AE$13&lt;$AE$14,$AA$13,$AA$14)),(IF($V$3+$W$3=42,IF($AA$17=$AA$18,"résultat",IF($AA$17&gt;$AA$18,$W$17,$W$18)),(IF($V$3+$W$3=32,IF($AA$17=$AA$18,"résultat",IF($AA$17&gt;$AA$18,$W$17,$W$18))))))))</f>
        <v xml:space="preserve"> </v>
      </c>
      <c r="W22" s="965"/>
      <c r="X22" s="965"/>
      <c r="Y22" s="965"/>
      <c r="Z22" s="965"/>
      <c r="AA22" s="966"/>
      <c r="AB22" s="110"/>
      <c r="AC22" s="82"/>
      <c r="AD22" s="127"/>
      <c r="AE22" s="127"/>
      <c r="AF22" s="122"/>
    </row>
    <row r="23" spans="1:34" ht="20.100000000000001" customHeight="1" thickBot="1">
      <c r="B23" s="118"/>
      <c r="C23" s="82"/>
      <c r="D23" s="109" t="s">
        <v>148</v>
      </c>
      <c r="E23" s="110"/>
      <c r="F23" s="961" t="str">
        <f>IF(F3+G3=0," ",IF($F$3+$G$3=43,IF($G$13=$G$14,"résultat",IF($G$13&gt;$G$14,$C$13,$C$14)),(IF($F$3+$G$3=42,"&amp;",(IF($F$3+$G$3=32,"&amp;"))))))</f>
        <v xml:space="preserve"> </v>
      </c>
      <c r="G23" s="962"/>
      <c r="H23" s="962"/>
      <c r="I23" s="962"/>
      <c r="J23" s="962"/>
      <c r="K23" s="963"/>
      <c r="L23" s="110"/>
      <c r="M23" s="82"/>
      <c r="N23" s="82"/>
      <c r="O23" s="110"/>
      <c r="P23" s="97"/>
      <c r="Q23" s="58"/>
      <c r="R23" s="132"/>
      <c r="S23" s="110"/>
      <c r="T23" s="109" t="s">
        <v>148</v>
      </c>
      <c r="U23" s="82"/>
      <c r="V23" s="907" t="str">
        <f>IF(V3+W3=0," ",IF($V$3+$W$3=43,IF(W13=W14,"résultat",IF(W13&gt;W14,S13,S14)),IF($V$3+$W$3=42,"&amp;",(IF($V$3+$W$3=32,"&amp;")))))</f>
        <v xml:space="preserve"> </v>
      </c>
      <c r="W23" s="908"/>
      <c r="X23" s="908"/>
      <c r="Y23" s="908"/>
      <c r="Z23" s="908"/>
      <c r="AA23" s="909"/>
      <c r="AB23" s="110"/>
      <c r="AC23" s="82"/>
      <c r="AD23" s="82"/>
      <c r="AE23" s="82"/>
      <c r="AF23" s="122"/>
    </row>
    <row r="24" spans="1:34" ht="20.100000000000001" customHeight="1" thickBot="1">
      <c r="B24" s="128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29"/>
      <c r="Q24" s="58"/>
      <c r="R24" s="128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29"/>
      <c r="AG24" s="6"/>
      <c r="AH24" s="6"/>
    </row>
    <row r="25" spans="1:34" ht="20.100000000000001" customHeight="1" thickBot="1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</row>
    <row r="26" spans="1:34" ht="20.100000000000001" customHeight="1" thickBot="1">
      <c r="A26" s="6"/>
      <c r="B26" s="117"/>
      <c r="C26" s="117"/>
      <c r="D26" s="117"/>
      <c r="E26" s="117"/>
      <c r="F26" s="928" t="s">
        <v>76</v>
      </c>
      <c r="G26" s="929"/>
      <c r="H26" s="930"/>
      <c r="I26" s="117"/>
      <c r="J26" s="117"/>
      <c r="K26" s="117"/>
      <c r="L26" s="117"/>
      <c r="M26" s="58"/>
      <c r="N26" s="58"/>
      <c r="O26" s="58"/>
      <c r="P26" s="117"/>
      <c r="Q26" s="58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58"/>
    </row>
    <row r="27" spans="1:34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4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3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</sheetData>
  <sheetProtection formatCells="0" formatColumns="0" formatRows="0" insertColumns="0" insertRows="0" insertHyperlinks="0" deleteColumns="0" deleteRows="0" sort="0"/>
  <mergeCells count="63">
    <mergeCell ref="R8:R9"/>
    <mergeCell ref="D12:E12"/>
    <mergeCell ref="AB12:AC12"/>
    <mergeCell ref="T12:U12"/>
    <mergeCell ref="S8:V8"/>
    <mergeCell ref="K14:N14"/>
    <mergeCell ref="AA13:AD13"/>
    <mergeCell ref="AA14:AD14"/>
    <mergeCell ref="L12:M12"/>
    <mergeCell ref="C14:F14"/>
    <mergeCell ref="S14:V14"/>
    <mergeCell ref="S13:V13"/>
    <mergeCell ref="C13:F13"/>
    <mergeCell ref="Z13:Z14"/>
    <mergeCell ref="R13:R14"/>
    <mergeCell ref="K13:N13"/>
    <mergeCell ref="F26:H26"/>
    <mergeCell ref="G17:J17"/>
    <mergeCell ref="W17:Z17"/>
    <mergeCell ref="G18:J18"/>
    <mergeCell ref="W18:Z18"/>
    <mergeCell ref="G20:J20"/>
    <mergeCell ref="W20:Z20"/>
    <mergeCell ref="V21:AA21"/>
    <mergeCell ref="V22:AA22"/>
    <mergeCell ref="V23:AA23"/>
    <mergeCell ref="F21:K21"/>
    <mergeCell ref="F22:K22"/>
    <mergeCell ref="F23:K23"/>
    <mergeCell ref="V17:V18"/>
    <mergeCell ref="F17:F18"/>
    <mergeCell ref="I1:L1"/>
    <mergeCell ref="Z8:Z9"/>
    <mergeCell ref="AA8:AD8"/>
    <mergeCell ref="R2:T2"/>
    <mergeCell ref="V2:W2"/>
    <mergeCell ref="Y2:AA2"/>
    <mergeCell ref="B4:P4"/>
    <mergeCell ref="R4:AF4"/>
    <mergeCell ref="S9:V9"/>
    <mergeCell ref="AA9:AD9"/>
    <mergeCell ref="B8:B9"/>
    <mergeCell ref="C8:F8"/>
    <mergeCell ref="J8:J9"/>
    <mergeCell ref="K8:N8"/>
    <mergeCell ref="C9:F9"/>
    <mergeCell ref="K9:N9"/>
    <mergeCell ref="B13:B14"/>
    <mergeCell ref="J13:J14"/>
    <mergeCell ref="H16:I16"/>
    <mergeCell ref="X16:Y16"/>
    <mergeCell ref="Y1:AB1"/>
    <mergeCell ref="AB2:AF2"/>
    <mergeCell ref="B1:D1"/>
    <mergeCell ref="E1:G1"/>
    <mergeCell ref="R1:T1"/>
    <mergeCell ref="U1:W1"/>
    <mergeCell ref="F2:G2"/>
    <mergeCell ref="I2:K2"/>
    <mergeCell ref="B2:D2"/>
    <mergeCell ref="L2:P2"/>
    <mergeCell ref="N1:O1"/>
    <mergeCell ref="AD1:AE1"/>
  </mergeCells>
  <conditionalFormatting sqref="F21">
    <cfRule type="expression" dxfId="326" priority="138">
      <formula>$H$2=0</formula>
    </cfRule>
    <cfRule type="expression" dxfId="325" priority="139" stopIfTrue="1">
      <formula>(OR(H2="1",H2="2",H2="3"))</formula>
    </cfRule>
  </conditionalFormatting>
  <conditionalFormatting sqref="F22">
    <cfRule type="expression" dxfId="324" priority="137">
      <formula>(OR(H2="2",H2="3"))</formula>
    </cfRule>
  </conditionalFormatting>
  <conditionalFormatting sqref="F23">
    <cfRule type="expression" dxfId="323" priority="136">
      <formula>(H2="3")</formula>
    </cfRule>
  </conditionalFormatting>
  <conditionalFormatting sqref="V23">
    <cfRule type="cellIs" dxfId="322" priority="135" operator="equal">
      <formula>0</formula>
    </cfRule>
  </conditionalFormatting>
  <conditionalFormatting sqref="V22">
    <cfRule type="expression" dxfId="321" priority="151" stopIfTrue="1">
      <formula>$U$2=0</formula>
    </cfRule>
    <cfRule type="expression" dxfId="320" priority="152">
      <formula>$Z$2=5</formula>
    </cfRule>
    <cfRule type="expression" dxfId="319" priority="153">
      <formula>$Z$2=4</formula>
    </cfRule>
    <cfRule type="expression" dxfId="318" priority="154">
      <formula>$Z$2=3</formula>
    </cfRule>
    <cfRule type="expression" dxfId="317" priority="155">
      <formula>$Z$2=2</formula>
    </cfRule>
  </conditionalFormatting>
  <conditionalFormatting sqref="V23">
    <cfRule type="expression" dxfId="316" priority="147" stopIfTrue="1">
      <formula>$U$2=0</formula>
    </cfRule>
    <cfRule type="expression" dxfId="315" priority="148">
      <formula>$Z$2=5</formula>
    </cfRule>
    <cfRule type="expression" dxfId="314" priority="149">
      <formula>$Z$2=4</formula>
    </cfRule>
    <cfRule type="expression" dxfId="313" priority="150">
      <formula>$Z$2=3</formula>
    </cfRule>
  </conditionalFormatting>
  <conditionalFormatting sqref="V21">
    <cfRule type="expression" dxfId="312" priority="140">
      <formula>$Z$2=1</formula>
    </cfRule>
  </conditionalFormatting>
  <conditionalFormatting sqref="V21">
    <cfRule type="expression" dxfId="311" priority="123" stopIfTrue="1">
      <formula>$U$2=0</formula>
    </cfRule>
    <cfRule type="expression" dxfId="310" priority="124" stopIfTrue="1">
      <formula>(OR(Z2="1",Z2="2",Z2="3"))</formula>
    </cfRule>
  </conditionalFormatting>
  <conditionalFormatting sqref="V22">
    <cfRule type="expression" dxfId="309" priority="122">
      <formula>(OR(Z2="2",Z2="3"))</formula>
    </cfRule>
  </conditionalFormatting>
  <conditionalFormatting sqref="V23">
    <cfRule type="expression" dxfId="308" priority="121">
      <formula>(Z2="3")</formula>
    </cfRule>
  </conditionalFormatting>
  <conditionalFormatting sqref="V21">
    <cfRule type="expression" dxfId="307" priority="205">
      <formula>$Z$2=2</formula>
    </cfRule>
    <cfRule type="expression" dxfId="306" priority="206">
      <formula>$Z$2=5</formula>
    </cfRule>
    <cfRule type="expression" dxfId="305" priority="207">
      <formula>$Z$2=4</formula>
    </cfRule>
    <cfRule type="expression" dxfId="304" priority="208">
      <formula>$Z$2=3</formula>
    </cfRule>
    <cfRule type="expression" dxfId="303" priority="209">
      <formula>$H$2=0</formula>
    </cfRule>
  </conditionalFormatting>
  <conditionalFormatting sqref="V21">
    <cfRule type="expression" dxfId="302" priority="95">
      <formula>$X$2=2</formula>
    </cfRule>
    <cfRule type="expression" dxfId="301" priority="96">
      <formula>$X$2=5</formula>
    </cfRule>
    <cfRule type="expression" dxfId="300" priority="97">
      <formula>$X$2=4</formula>
    </cfRule>
    <cfRule type="expression" dxfId="299" priority="98">
      <formula>$X$2=3</formula>
    </cfRule>
    <cfRule type="expression" dxfId="298" priority="99">
      <formula>$H$2=0</formula>
    </cfRule>
  </conditionalFormatting>
  <conditionalFormatting sqref="V22">
    <cfRule type="expression" dxfId="297" priority="90">
      <formula>$X$2=0</formula>
    </cfRule>
    <cfRule type="expression" dxfId="296" priority="91">
      <formula>$X$2=5</formula>
    </cfRule>
    <cfRule type="expression" dxfId="295" priority="92">
      <formula>$X$2=4</formula>
    </cfRule>
    <cfRule type="expression" dxfId="294" priority="93">
      <formula>$X$2=3</formula>
    </cfRule>
    <cfRule type="expression" dxfId="293" priority="94">
      <formula>$X$2=2</formula>
    </cfRule>
  </conditionalFormatting>
  <conditionalFormatting sqref="V23">
    <cfRule type="expression" dxfId="292" priority="86">
      <formula>$X$2=0</formula>
    </cfRule>
    <cfRule type="expression" dxfId="291" priority="87">
      <formula>$X$2=5</formula>
    </cfRule>
    <cfRule type="expression" dxfId="290" priority="88">
      <formula>$X$2=4</formula>
    </cfRule>
    <cfRule type="expression" dxfId="289" priority="89">
      <formula>$X$2=3</formula>
    </cfRule>
  </conditionalFormatting>
  <conditionalFormatting sqref="V21">
    <cfRule type="expression" dxfId="288" priority="80">
      <formula>$X$2=1</formula>
    </cfRule>
  </conditionalFormatting>
  <conditionalFormatting sqref="F21">
    <cfRule type="expression" dxfId="287" priority="78">
      <formula>$H$2=0</formula>
    </cfRule>
    <cfRule type="expression" dxfId="286" priority="79" stopIfTrue="1">
      <formula>(OR(H2="1",H2="2",H2="3"))</formula>
    </cfRule>
  </conditionalFormatting>
  <conditionalFormatting sqref="F22">
    <cfRule type="expression" dxfId="285" priority="77">
      <formula>(OR(H2="2",H2="3"))</formula>
    </cfRule>
  </conditionalFormatting>
  <conditionalFormatting sqref="F23">
    <cfRule type="cellIs" dxfId="284" priority="75" operator="equal">
      <formula>0</formula>
    </cfRule>
    <cfRule type="expression" dxfId="283" priority="76">
      <formula>(H2="3")</formula>
    </cfRule>
  </conditionalFormatting>
  <conditionalFormatting sqref="V21">
    <cfRule type="expression" dxfId="282" priority="73">
      <formula>$H$2=0</formula>
    </cfRule>
    <cfRule type="expression" dxfId="281" priority="74" stopIfTrue="1">
      <formula>(OR(X2="1",X2="2",X2="3"))</formula>
    </cfRule>
  </conditionalFormatting>
  <conditionalFormatting sqref="V22">
    <cfRule type="expression" dxfId="280" priority="72">
      <formula>(OR(X2="2",X2="3"))</formula>
    </cfRule>
  </conditionalFormatting>
  <conditionalFormatting sqref="V23">
    <cfRule type="expression" dxfId="279" priority="71">
      <formula>(X2="3")</formula>
    </cfRule>
  </conditionalFormatting>
  <conditionalFormatting sqref="W18 C8:F9">
    <cfRule type="expression" dxfId="278" priority="44">
      <formula>(OR($E$2=3,$E$2=4,$E$2=5))</formula>
    </cfRule>
  </conditionalFormatting>
  <conditionalFormatting sqref="AA9:AD9 S14:V14 C14:F14">
    <cfRule type="containsText" dxfId="277" priority="5" operator="containsText" text="OFFICE">
      <formula>NOT(ISERROR(SEARCH("OFFICE",C9)))</formula>
    </cfRule>
  </conditionalFormatting>
  <conditionalFormatting sqref="K9:N9">
    <cfRule type="containsText" dxfId="276" priority="1" operator="containsText" text="OFFICE">
      <formula>NOT(ISERROR(SEARCH("OFFICE",K9)))</formula>
    </cfRule>
    <cfRule type="containsText" dxfId="275" priority="3" operator="containsText" text="OFFUCE">
      <formula>NOT(ISERROR(SEARCH("OFFUCE",K9)))</formula>
    </cfRule>
  </conditionalFormatting>
  <pageMargins left="0.24" right="0.4" top="0.34" bottom="0.74803149606299213" header="0.19" footer="0.31496062992125984"/>
  <pageSetup paperSize="9" orientation="landscape" horizontalDpi="4294967292" verticalDpi="0" r:id="rId1"/>
  <colBreaks count="1" manualBreakCount="1">
    <brk id="17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tabColor rgb="FFFFFF00"/>
  </sheetPr>
  <dimension ref="A1:AI28"/>
  <sheetViews>
    <sheetView zoomScale="90" zoomScaleNormal="90" zoomScaleSheetLayoutView="90" workbookViewId="0">
      <selection activeCell="O27" sqref="O27"/>
    </sheetView>
  </sheetViews>
  <sheetFormatPr baseColWidth="10" defaultColWidth="8.7109375" defaultRowHeight="15"/>
  <cols>
    <col min="1" max="1" width="4" style="14" customWidth="1"/>
    <col min="2" max="2" width="6.5703125" style="14" customWidth="1"/>
    <col min="3" max="3" width="6.7109375" style="14" customWidth="1"/>
    <col min="4" max="4" width="8.7109375" style="14" customWidth="1"/>
    <col min="5" max="5" width="8.85546875" style="14" customWidth="1"/>
    <col min="6" max="6" width="6.7109375" style="14" customWidth="1"/>
    <col min="7" max="7" width="6.85546875" style="14" customWidth="1"/>
    <col min="8" max="8" width="8.7109375" style="14" customWidth="1"/>
    <col min="9" max="10" width="6.7109375" style="14" customWidth="1"/>
    <col min="11" max="11" width="6.85546875" style="14" customWidth="1"/>
    <col min="12" max="13" width="8.7109375" style="14" customWidth="1"/>
    <col min="14" max="14" width="7.140625" style="14" customWidth="1"/>
    <col min="15" max="15" width="6.85546875" style="14" customWidth="1"/>
    <col min="16" max="16" width="7.140625" style="14" customWidth="1"/>
    <col min="17" max="17" width="4.42578125" style="14" customWidth="1"/>
    <col min="18" max="18" width="7.42578125" style="14" customWidth="1"/>
    <col min="19" max="19" width="6.85546875" style="14" customWidth="1"/>
    <col min="20" max="21" width="8.7109375" style="14" customWidth="1"/>
    <col min="22" max="22" width="7.28515625" style="14" customWidth="1"/>
    <col min="23" max="23" width="7" style="14" customWidth="1"/>
    <col min="24" max="24" width="8.7109375" style="14" customWidth="1"/>
    <col min="25" max="25" width="6.5703125" style="14" customWidth="1"/>
    <col min="26" max="26" width="6.85546875" style="14" customWidth="1"/>
    <col min="27" max="27" width="6.7109375" style="14" customWidth="1"/>
    <col min="28" max="30" width="8.7109375" style="14" customWidth="1"/>
    <col min="31" max="31" width="6.85546875" style="14" customWidth="1"/>
    <col min="32" max="32" width="7.28515625" style="14" customWidth="1"/>
    <col min="33" max="33" width="7.85546875" style="14" customWidth="1"/>
    <col min="34" max="34" width="11.140625" style="14" customWidth="1"/>
    <col min="35" max="16384" width="8.7109375" style="14"/>
  </cols>
  <sheetData>
    <row r="1" spans="1:35" ht="22.5" customHeight="1" thickBot="1">
      <c r="A1" s="4"/>
      <c r="B1" s="932" t="s">
        <v>150</v>
      </c>
      <c r="C1" s="933"/>
      <c r="D1" s="933"/>
      <c r="E1" s="931">
        <f>Données!J1</f>
        <v>0</v>
      </c>
      <c r="F1" s="931"/>
      <c r="G1" s="931"/>
      <c r="H1" s="69" t="str">
        <f>Données!$D$3</f>
        <v>F_U18</v>
      </c>
      <c r="I1" s="931">
        <f>Données!$J$3</f>
        <v>0</v>
      </c>
      <c r="J1" s="931"/>
      <c r="K1" s="931"/>
      <c r="L1" s="931"/>
      <c r="M1" s="70" t="str">
        <f>Données!$E$5</f>
        <v>Simple</v>
      </c>
      <c r="N1" s="989" t="s">
        <v>149</v>
      </c>
      <c r="O1" s="990"/>
      <c r="P1" s="17">
        <f>Données!$L13</f>
        <v>0</v>
      </c>
      <c r="Q1" s="4"/>
      <c r="R1" s="932" t="s">
        <v>150</v>
      </c>
      <c r="S1" s="933"/>
      <c r="T1" s="933"/>
      <c r="U1" s="931">
        <f>Données!J1</f>
        <v>0</v>
      </c>
      <c r="V1" s="931"/>
      <c r="W1" s="931"/>
      <c r="X1" s="69" t="str">
        <f>Données!$D$3</f>
        <v>F_U18</v>
      </c>
      <c r="Y1" s="931">
        <f>Données!$J$3</f>
        <v>0</v>
      </c>
      <c r="Z1" s="931"/>
      <c r="AA1" s="931"/>
      <c r="AB1" s="931"/>
      <c r="AC1" s="70" t="str">
        <f>Données!$E$5</f>
        <v>Simple</v>
      </c>
      <c r="AD1" s="989" t="s">
        <v>149</v>
      </c>
      <c r="AE1" s="990"/>
      <c r="AF1" s="17">
        <f>Données!$L13</f>
        <v>0</v>
      </c>
      <c r="AG1" s="5"/>
    </row>
    <row r="2" spans="1:35" ht="18" customHeight="1" thickBot="1">
      <c r="A2" s="4"/>
      <c r="B2" s="989" t="s">
        <v>22</v>
      </c>
      <c r="C2" s="931"/>
      <c r="D2" s="931"/>
      <c r="E2" s="134">
        <f>Données!K18</f>
        <v>0</v>
      </c>
      <c r="F2" s="931" t="s">
        <v>14</v>
      </c>
      <c r="G2" s="931"/>
      <c r="H2" s="9">
        <f>Données!K19</f>
        <v>0</v>
      </c>
      <c r="I2" s="932" t="s">
        <v>15</v>
      </c>
      <c r="J2" s="933"/>
      <c r="K2" s="933"/>
      <c r="L2" s="934">
        <f ca="1">TODAY()</f>
        <v>44217</v>
      </c>
      <c r="M2" s="935"/>
      <c r="N2" s="935"/>
      <c r="O2" s="935"/>
      <c r="P2" s="936"/>
      <c r="Q2" s="4"/>
      <c r="R2" s="989" t="s">
        <v>23</v>
      </c>
      <c r="S2" s="931"/>
      <c r="T2" s="931"/>
      <c r="U2" s="8">
        <f>Données!L18</f>
        <v>0</v>
      </c>
      <c r="V2" s="931" t="s">
        <v>14</v>
      </c>
      <c r="W2" s="931"/>
      <c r="X2" s="9">
        <f>Données!L19</f>
        <v>0</v>
      </c>
      <c r="Y2" s="932" t="s">
        <v>15</v>
      </c>
      <c r="Z2" s="933"/>
      <c r="AA2" s="933"/>
      <c r="AB2" s="934">
        <f ca="1">TODAY()</f>
        <v>44217</v>
      </c>
      <c r="AC2" s="935"/>
      <c r="AD2" s="935"/>
      <c r="AE2" s="935"/>
      <c r="AF2" s="936"/>
      <c r="AG2" s="5"/>
    </row>
    <row r="3" spans="1:35" ht="20.100000000000001" customHeight="1" thickBot="1">
      <c r="A3" s="4"/>
      <c r="B3" s="195">
        <f>+Données!$J$11</f>
        <v>0</v>
      </c>
      <c r="C3" s="76"/>
      <c r="D3" s="76"/>
      <c r="E3" s="76"/>
      <c r="F3" s="77" t="str">
        <f>CONCATENATE(E2,H2)</f>
        <v>00</v>
      </c>
      <c r="G3" s="76"/>
      <c r="H3" s="76"/>
      <c r="I3" s="76"/>
      <c r="J3" s="76"/>
      <c r="K3" s="76"/>
      <c r="L3" s="76"/>
      <c r="M3" s="76"/>
      <c r="N3" s="76"/>
      <c r="O3" s="76"/>
      <c r="P3" s="78"/>
      <c r="Q3" s="79"/>
      <c r="R3" s="195">
        <f>+Données!$J$11</f>
        <v>0</v>
      </c>
      <c r="S3" s="76"/>
      <c r="T3" s="76"/>
      <c r="U3" s="80"/>
      <c r="V3" s="77" t="str">
        <f>CONCATENATE(U2,X2)</f>
        <v>00</v>
      </c>
      <c r="W3" s="76"/>
      <c r="X3" s="76"/>
      <c r="Y3" s="76"/>
      <c r="Z3" s="76"/>
      <c r="AA3" s="76"/>
      <c r="AB3" s="76"/>
      <c r="AC3" s="76"/>
      <c r="AD3" s="76"/>
      <c r="AE3" s="76"/>
      <c r="AF3" s="78"/>
      <c r="AG3" s="5"/>
      <c r="AH3" s="5"/>
    </row>
    <row r="4" spans="1:35" ht="20.100000000000001" customHeight="1" thickBot="1">
      <c r="A4" s="4"/>
      <c r="B4" s="949" t="s">
        <v>167</v>
      </c>
      <c r="C4" s="950"/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0"/>
      <c r="O4" s="950"/>
      <c r="P4" s="951"/>
      <c r="Q4" s="82"/>
      <c r="R4" s="940" t="s">
        <v>167</v>
      </c>
      <c r="S4" s="941"/>
      <c r="T4" s="941"/>
      <c r="U4" s="941"/>
      <c r="V4" s="941"/>
      <c r="W4" s="941"/>
      <c r="X4" s="941"/>
      <c r="Y4" s="941"/>
      <c r="Z4" s="941"/>
      <c r="AA4" s="941"/>
      <c r="AB4" s="941"/>
      <c r="AC4" s="941"/>
      <c r="AD4" s="941"/>
      <c r="AE4" s="941"/>
      <c r="AF4" s="942"/>
      <c r="AG4" s="5"/>
    </row>
    <row r="5" spans="1:35" ht="20.100000000000001" customHeight="1">
      <c r="A5" s="4"/>
      <c r="B5" s="75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  <c r="Q5" s="79"/>
      <c r="R5" s="75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3"/>
      <c r="AG5" s="5"/>
      <c r="AH5" s="5"/>
    </row>
    <row r="6" spans="1:35" ht="20.100000000000001" customHeight="1" thickBot="1">
      <c r="A6" s="4"/>
      <c r="B6" s="75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97"/>
      <c r="Q6" s="79"/>
      <c r="R6" s="75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8"/>
      <c r="AG6" s="5"/>
      <c r="AH6" s="5"/>
    </row>
    <row r="7" spans="1:35" ht="20.100000000000001" customHeight="1" thickBot="1">
      <c r="A7" s="4"/>
      <c r="B7" s="85" t="s">
        <v>1</v>
      </c>
      <c r="C7" s="86" t="s">
        <v>10</v>
      </c>
      <c r="D7" s="80"/>
      <c r="E7" s="81"/>
      <c r="F7" s="81"/>
      <c r="G7" s="76" t="s">
        <v>0</v>
      </c>
      <c r="H7" s="76"/>
      <c r="I7" s="76"/>
      <c r="J7" s="76" t="s">
        <v>1</v>
      </c>
      <c r="K7" s="86" t="str">
        <f>IF(E2=2,"","C")</f>
        <v>C</v>
      </c>
      <c r="L7" s="80"/>
      <c r="M7" s="81"/>
      <c r="N7" s="81"/>
      <c r="O7" s="76" t="s">
        <v>0</v>
      </c>
      <c r="P7" s="97"/>
      <c r="Q7" s="81"/>
      <c r="R7" s="85" t="s">
        <v>1</v>
      </c>
      <c r="S7" s="86" t="s">
        <v>10</v>
      </c>
      <c r="T7" s="80"/>
      <c r="U7" s="81"/>
      <c r="V7" s="81"/>
      <c r="W7" s="76" t="s">
        <v>0</v>
      </c>
      <c r="X7" s="76"/>
      <c r="Y7" s="76"/>
      <c r="Z7" s="76" t="s">
        <v>1</v>
      </c>
      <c r="AA7" s="86" t="str">
        <f>IF(U2=2,"","C")</f>
        <v>C</v>
      </c>
      <c r="AB7" s="80"/>
      <c r="AC7" s="81"/>
      <c r="AD7" s="81"/>
      <c r="AE7" s="76" t="s">
        <v>0</v>
      </c>
      <c r="AF7" s="97"/>
      <c r="AH7" s="5"/>
      <c r="AI7" s="5"/>
    </row>
    <row r="8" spans="1:35" s="137" customFormat="1" ht="20.100000000000001" customHeight="1" thickBot="1">
      <c r="A8" s="40">
        <v>25</v>
      </c>
      <c r="B8" s="899">
        <v>13</v>
      </c>
      <c r="C8" s="917">
        <f>+Données!AG30</f>
        <v>0</v>
      </c>
      <c r="D8" s="991"/>
      <c r="E8" s="991"/>
      <c r="F8" s="992"/>
      <c r="G8" s="140">
        <v>1</v>
      </c>
      <c r="H8" s="141"/>
      <c r="I8" s="142">
        <v>27</v>
      </c>
      <c r="J8" s="899">
        <v>14</v>
      </c>
      <c r="K8" s="979">
        <f>+Données!AG32</f>
        <v>0</v>
      </c>
      <c r="L8" s="980"/>
      <c r="M8" s="980"/>
      <c r="N8" s="981"/>
      <c r="O8" s="140">
        <v>1</v>
      </c>
      <c r="P8" s="147"/>
      <c r="Q8" s="143"/>
      <c r="R8" s="899">
        <v>15</v>
      </c>
      <c r="S8" s="917">
        <f>+Données!AG34</f>
        <v>0</v>
      </c>
      <c r="T8" s="991"/>
      <c r="U8" s="991"/>
      <c r="V8" s="992"/>
      <c r="W8" s="140">
        <v>1</v>
      </c>
      <c r="X8" s="141"/>
      <c r="Y8" s="142">
        <v>31</v>
      </c>
      <c r="Z8" s="899">
        <v>16</v>
      </c>
      <c r="AA8" s="979">
        <f>+Données!AG36</f>
        <v>0</v>
      </c>
      <c r="AB8" s="980"/>
      <c r="AC8" s="980"/>
      <c r="AD8" s="981"/>
      <c r="AE8" s="140">
        <v>1</v>
      </c>
      <c r="AF8" s="147"/>
      <c r="AH8" s="138"/>
      <c r="AI8" s="138"/>
    </row>
    <row r="9" spans="1:35" s="137" customFormat="1" ht="20.100000000000001" customHeight="1" thickBot="1">
      <c r="A9" s="40">
        <v>26</v>
      </c>
      <c r="B9" s="900"/>
      <c r="C9" s="979">
        <f>+Données!AG31</f>
        <v>0</v>
      </c>
      <c r="D9" s="980"/>
      <c r="E9" s="980"/>
      <c r="F9" s="981"/>
      <c r="G9" s="144">
        <v>0</v>
      </c>
      <c r="H9" s="141"/>
      <c r="I9" s="142">
        <v>28</v>
      </c>
      <c r="J9" s="900"/>
      <c r="K9" s="995">
        <f>IF(OR(AND(B3&gt;170,B3&lt;250))," ",Données!AG33)</f>
        <v>0</v>
      </c>
      <c r="L9" s="980"/>
      <c r="M9" s="980"/>
      <c r="N9" s="981"/>
      <c r="O9" s="140">
        <v>0</v>
      </c>
      <c r="P9" s="147"/>
      <c r="Q9" s="143"/>
      <c r="R9" s="900"/>
      <c r="S9" s="979">
        <f>+Données!AG35</f>
        <v>0</v>
      </c>
      <c r="T9" s="980"/>
      <c r="U9" s="980"/>
      <c r="V9" s="981"/>
      <c r="W9" s="144">
        <v>0</v>
      </c>
      <c r="X9" s="141"/>
      <c r="Y9" s="142">
        <v>32</v>
      </c>
      <c r="Z9" s="900"/>
      <c r="AA9" s="979">
        <f>IF(OR(AND(R3&gt;170,R3&lt;250))," ",Données!AG37)</f>
        <v>0</v>
      </c>
      <c r="AB9" s="993"/>
      <c r="AC9" s="993"/>
      <c r="AD9" s="994"/>
      <c r="AE9" s="140">
        <v>0</v>
      </c>
      <c r="AF9" s="147"/>
      <c r="AH9" s="138"/>
      <c r="AI9" s="138"/>
    </row>
    <row r="10" spans="1:35" ht="20.100000000000001" customHeight="1" thickBot="1">
      <c r="A10" s="4"/>
      <c r="B10" s="75"/>
      <c r="C10" s="93" t="s">
        <v>11</v>
      </c>
      <c r="D10" s="80"/>
      <c r="E10" s="81"/>
      <c r="F10" s="81"/>
      <c r="G10" s="81"/>
      <c r="H10" s="81"/>
      <c r="I10" s="81"/>
      <c r="J10" s="81"/>
      <c r="K10" s="86" t="s">
        <v>48</v>
      </c>
      <c r="L10" s="80"/>
      <c r="M10" s="81"/>
      <c r="N10" s="81"/>
      <c r="O10" s="81" t="s">
        <v>136</v>
      </c>
      <c r="P10" s="97"/>
      <c r="Q10" s="81"/>
      <c r="R10" s="75"/>
      <c r="S10" s="93" t="s">
        <v>11</v>
      </c>
      <c r="T10" s="80"/>
      <c r="U10" s="81"/>
      <c r="V10" s="81"/>
      <c r="W10" s="81"/>
      <c r="X10" s="81"/>
      <c r="Y10" s="81"/>
      <c r="Z10" s="81"/>
      <c r="AA10" s="86" t="s">
        <v>48</v>
      </c>
      <c r="AB10" s="80"/>
      <c r="AC10" s="81"/>
      <c r="AD10" s="81"/>
      <c r="AE10" s="81"/>
      <c r="AF10" s="97"/>
      <c r="AI10" s="5"/>
    </row>
    <row r="11" spans="1:35" ht="20.100000000000001" customHeight="1">
      <c r="A11" s="4"/>
      <c r="B11" s="75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94"/>
      <c r="Q11" s="81"/>
      <c r="R11" s="75"/>
      <c r="S11" s="95"/>
      <c r="T11" s="95"/>
      <c r="U11" s="95"/>
      <c r="V11" s="95"/>
      <c r="W11" s="81"/>
      <c r="X11" s="81"/>
      <c r="Y11" s="81"/>
      <c r="Z11" s="81"/>
      <c r="AA11" s="81"/>
      <c r="AB11" s="81"/>
      <c r="AC11" s="81"/>
      <c r="AD11" s="81"/>
      <c r="AE11" s="81"/>
      <c r="AF11" s="97"/>
      <c r="AI11" s="5"/>
    </row>
    <row r="12" spans="1:35" ht="20.100000000000001" customHeight="1" thickBot="1">
      <c r="A12" s="4"/>
      <c r="B12" s="85" t="s">
        <v>1</v>
      </c>
      <c r="C12" s="81"/>
      <c r="D12" s="952" t="s">
        <v>75</v>
      </c>
      <c r="E12" s="952"/>
      <c r="F12" s="81"/>
      <c r="G12" s="76" t="s">
        <v>0</v>
      </c>
      <c r="H12" s="76"/>
      <c r="I12" s="76"/>
      <c r="J12" s="76" t="s">
        <v>1</v>
      </c>
      <c r="K12" s="81"/>
      <c r="L12" s="985" t="s">
        <v>74</v>
      </c>
      <c r="M12" s="985"/>
      <c r="N12" s="81"/>
      <c r="O12" s="76" t="s">
        <v>0</v>
      </c>
      <c r="P12" s="97"/>
      <c r="Q12" s="110"/>
      <c r="R12" s="96" t="s">
        <v>1</v>
      </c>
      <c r="S12" s="95"/>
      <c r="T12" s="952" t="s">
        <v>75</v>
      </c>
      <c r="U12" s="952"/>
      <c r="V12" s="95"/>
      <c r="W12" s="76" t="s">
        <v>0</v>
      </c>
      <c r="X12" s="76"/>
      <c r="Y12" s="76"/>
      <c r="Z12" s="76" t="s">
        <v>1</v>
      </c>
      <c r="AA12" s="81"/>
      <c r="AB12" s="985" t="s">
        <v>74</v>
      </c>
      <c r="AC12" s="985"/>
      <c r="AD12" s="81"/>
      <c r="AE12" s="78" t="s">
        <v>0</v>
      </c>
      <c r="AF12" s="97"/>
    </row>
    <row r="13" spans="1:35" ht="20.100000000000001" customHeight="1" thickBot="1">
      <c r="A13" s="4"/>
      <c r="B13" s="975">
        <v>16</v>
      </c>
      <c r="C13" s="902">
        <f>IF($G$8=$G$9,"résultat",IF($G$8&gt;$G$9,$C$9,$C$8))</f>
        <v>0</v>
      </c>
      <c r="D13" s="905"/>
      <c r="E13" s="905"/>
      <c r="F13" s="906"/>
      <c r="G13" s="88">
        <v>1</v>
      </c>
      <c r="H13" s="89"/>
      <c r="I13" s="76"/>
      <c r="J13" s="975">
        <v>17</v>
      </c>
      <c r="K13" s="902">
        <f>IF($O$8=$O$9,"résultat",IF($O$8&gt;$O$9,$K$8,$K$9))</f>
        <v>0</v>
      </c>
      <c r="L13" s="903"/>
      <c r="M13" s="903"/>
      <c r="N13" s="904"/>
      <c r="O13" s="88">
        <v>1</v>
      </c>
      <c r="P13" s="99"/>
      <c r="Q13" s="79"/>
      <c r="R13" s="975">
        <v>18</v>
      </c>
      <c r="S13" s="973">
        <f>IF($W$8=$W$9,"résultat",IF($W$8&gt;$W$9,$S$9,$S$8))</f>
        <v>0</v>
      </c>
      <c r="T13" s="905"/>
      <c r="U13" s="905"/>
      <c r="V13" s="906"/>
      <c r="W13" s="88">
        <v>1</v>
      </c>
      <c r="X13" s="89"/>
      <c r="Y13" s="76"/>
      <c r="Z13" s="975">
        <v>19</v>
      </c>
      <c r="AA13" s="902">
        <f>IF(AE8=AE9,"résultat",IF($AE$8&gt;$AE$9,$AA$8,$AA$9))</f>
        <v>0</v>
      </c>
      <c r="AB13" s="903"/>
      <c r="AC13" s="903"/>
      <c r="AD13" s="904"/>
      <c r="AE13" s="88">
        <v>0</v>
      </c>
      <c r="AF13" s="97"/>
    </row>
    <row r="14" spans="1:35" ht="20.100000000000001" customHeight="1" thickBot="1">
      <c r="A14" s="4"/>
      <c r="B14" s="976"/>
      <c r="C14" s="910">
        <f>IF($O$8=$O$9,"résultat",IF($O$8&lt;$O$9,$K$8,$K$9))</f>
        <v>0</v>
      </c>
      <c r="D14" s="911"/>
      <c r="E14" s="911"/>
      <c r="F14" s="912"/>
      <c r="G14" s="100">
        <v>0</v>
      </c>
      <c r="H14" s="101"/>
      <c r="I14" s="76"/>
      <c r="J14" s="976"/>
      <c r="K14" s="910">
        <f>IF(G8=G9,"résultat",IF($G$8&gt;$G$9,$C$8,$C$9))</f>
        <v>0</v>
      </c>
      <c r="L14" s="911"/>
      <c r="M14" s="911"/>
      <c r="N14" s="912"/>
      <c r="O14" s="92">
        <v>2</v>
      </c>
      <c r="P14" s="99"/>
      <c r="Q14" s="79"/>
      <c r="R14" s="976"/>
      <c r="S14" s="910">
        <f>IF($AE$8=$AE$9,"résultat",IF($AE$8&lt;$AE$9,$AA$8,$AA$9))</f>
        <v>0</v>
      </c>
      <c r="T14" s="911"/>
      <c r="U14" s="911"/>
      <c r="V14" s="912"/>
      <c r="W14" s="88">
        <v>0</v>
      </c>
      <c r="X14" s="89"/>
      <c r="Y14" s="76"/>
      <c r="Z14" s="976"/>
      <c r="AA14" s="910">
        <f>IF(($W$9=$W$8),"résultat",IF(W8&gt;W9,S8,S9))</f>
        <v>0</v>
      </c>
      <c r="AB14" s="911"/>
      <c r="AC14" s="911"/>
      <c r="AD14" s="912"/>
      <c r="AE14" s="92">
        <v>1</v>
      </c>
      <c r="AF14" s="97"/>
    </row>
    <row r="15" spans="1:35" ht="20.100000000000001" customHeight="1">
      <c r="A15" s="4"/>
      <c r="B15" s="75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94"/>
      <c r="Q15" s="81"/>
      <c r="R15" s="132"/>
      <c r="S15" s="110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97"/>
      <c r="AI15" s="5"/>
    </row>
    <row r="16" spans="1:35" ht="20.100000000000001" customHeight="1" thickBot="1">
      <c r="A16" s="4"/>
      <c r="B16" s="75"/>
      <c r="C16" s="81"/>
      <c r="D16" s="81"/>
      <c r="E16" s="81"/>
      <c r="F16" s="76" t="s">
        <v>1</v>
      </c>
      <c r="G16" s="81"/>
      <c r="H16" s="921" t="s">
        <v>170</v>
      </c>
      <c r="I16" s="921"/>
      <c r="J16" s="81"/>
      <c r="K16" s="76" t="s">
        <v>0</v>
      </c>
      <c r="L16" s="76"/>
      <c r="M16" s="145"/>
      <c r="N16" s="81"/>
      <c r="O16" s="81"/>
      <c r="P16" s="97"/>
      <c r="Q16" s="81"/>
      <c r="R16" s="75"/>
      <c r="S16" s="81"/>
      <c r="T16" s="81"/>
      <c r="U16" s="81"/>
      <c r="V16" s="76" t="s">
        <v>1</v>
      </c>
      <c r="W16" s="81"/>
      <c r="X16" s="988" t="s">
        <v>170</v>
      </c>
      <c r="Y16" s="988"/>
      <c r="Z16" s="81"/>
      <c r="AA16" s="76" t="s">
        <v>0</v>
      </c>
      <c r="AB16" s="76"/>
      <c r="AC16" s="145"/>
      <c r="AD16" s="81"/>
      <c r="AE16" s="81"/>
      <c r="AF16" s="97"/>
    </row>
    <row r="17" spans="1:34" ht="20.100000000000001" customHeight="1" thickBot="1">
      <c r="A17" s="4"/>
      <c r="B17" s="75"/>
      <c r="C17" s="81"/>
      <c r="D17" s="81"/>
      <c r="E17" s="76"/>
      <c r="F17" s="986">
        <v>15</v>
      </c>
      <c r="G17" s="917" t="str">
        <f>IF(F3+G3=0," ",IF($F$3+$G$3=43,IF(0&lt;0,0,0),(IF($F$3+$G$3=42,IF($O$13=$O$14,"résultat",IF($O$13&lt;$O$14,$K$13,$K$14)),IF($F$3+$G$3=32,IF($O$13=$O$14,"résultat",IF($O$13&lt;$O$14,$K$13,$K$14)))))))</f>
        <v xml:space="preserve"> </v>
      </c>
      <c r="H17" s="918"/>
      <c r="I17" s="918"/>
      <c r="J17" s="919"/>
      <c r="K17" s="88">
        <v>1</v>
      </c>
      <c r="L17" s="76"/>
      <c r="M17" s="81"/>
      <c r="N17" s="81"/>
      <c r="O17" s="81"/>
      <c r="P17" s="94"/>
      <c r="Q17" s="81"/>
      <c r="R17" s="75"/>
      <c r="S17" s="81"/>
      <c r="T17" s="81"/>
      <c r="U17" s="199"/>
      <c r="V17" s="986">
        <v>17</v>
      </c>
      <c r="W17" s="917" t="str">
        <f>IF(V3+W3=0," ",IF($V$3+$W$3=43,IF(0&lt;0,0,0),(IF($V$3+$W$3=42,IF($AE$13=$AE$14,"résultat",IF($AE$13&lt;$AE$14,$AA$13,$AA$14)),IF($V$3+$W$3=32,IF($AE$13=$AE$14,"résultat",IF($AE$13&lt;$AE$14,$AA$13,$AA$14)))))))</f>
        <v xml:space="preserve"> </v>
      </c>
      <c r="X17" s="918"/>
      <c r="Y17" s="918"/>
      <c r="Z17" s="919"/>
      <c r="AA17" s="88">
        <v>1</v>
      </c>
      <c r="AB17" s="76"/>
      <c r="AC17" s="81"/>
      <c r="AD17" s="81"/>
      <c r="AE17" s="81"/>
      <c r="AF17" s="97"/>
    </row>
    <row r="18" spans="1:34" ht="20.100000000000001" customHeight="1" thickBot="1">
      <c r="A18" s="4"/>
      <c r="B18" s="75"/>
      <c r="C18" s="81"/>
      <c r="D18" s="81"/>
      <c r="E18" s="81"/>
      <c r="F18" s="987"/>
      <c r="G18" s="914" t="str">
        <f>IF(F3+G3=0," ",IF($F$3+$G$3=43," ",(IF(F3+G3=42,IF($G$13=$G$14,"résultat",IF($G$13&gt;$G$14,$C$13,$C$14)),(IF($F$3+$G$3=32,IF($G$13=$G$14,"résultat",IF($G$13&gt;$G$14,$C$13,$C$14))))))))</f>
        <v xml:space="preserve"> </v>
      </c>
      <c r="H18" s="915"/>
      <c r="I18" s="915"/>
      <c r="J18" s="916"/>
      <c r="K18" s="88">
        <v>0</v>
      </c>
      <c r="L18" s="76"/>
      <c r="M18" s="81"/>
      <c r="N18" s="81"/>
      <c r="O18" s="81"/>
      <c r="P18" s="94"/>
      <c r="Q18" s="81"/>
      <c r="R18" s="75"/>
      <c r="S18" s="81"/>
      <c r="T18" s="81"/>
      <c r="U18" s="81"/>
      <c r="V18" s="987"/>
      <c r="W18" s="914" t="str">
        <f>IF(V3+W3=0," ",IF($V$3+$W$3=43,IF(0&gt;0,0,0),(IF($V$3+$W$3=42,IF(W13=W14,"résultat",IF($W$13&gt;$W$14,$S$13,$S$14)),(IF($V$3+$W$3=32,IF(W13=W14,"résultat",IF($W$13&gt;$W$14,$S$13,$S$14))))))))</f>
        <v xml:space="preserve"> </v>
      </c>
      <c r="X18" s="915"/>
      <c r="Y18" s="915"/>
      <c r="Z18" s="916"/>
      <c r="AA18" s="88">
        <v>0</v>
      </c>
      <c r="AB18" s="76"/>
      <c r="AC18" s="81"/>
      <c r="AD18" s="81"/>
      <c r="AE18" s="81"/>
      <c r="AF18" s="97"/>
    </row>
    <row r="19" spans="1:34" ht="20.100000000000001" customHeight="1" thickBot="1">
      <c r="A19" s="4"/>
      <c r="B19" s="75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94"/>
      <c r="Q19" s="79"/>
      <c r="R19" s="75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97"/>
    </row>
    <row r="20" spans="1:34" ht="20.100000000000001" customHeight="1" thickBot="1">
      <c r="A20" s="4"/>
      <c r="B20" s="75"/>
      <c r="C20" s="110"/>
      <c r="D20" s="81"/>
      <c r="E20" s="81"/>
      <c r="F20" s="81"/>
      <c r="G20" s="996" t="s">
        <v>73</v>
      </c>
      <c r="H20" s="997"/>
      <c r="I20" s="997"/>
      <c r="J20" s="998"/>
      <c r="K20" s="81"/>
      <c r="L20" s="110"/>
      <c r="M20" s="104"/>
      <c r="N20" s="102"/>
      <c r="O20" s="102"/>
      <c r="P20" s="97"/>
      <c r="Q20" s="81"/>
      <c r="R20" s="75"/>
      <c r="S20" s="81"/>
      <c r="T20" s="81"/>
      <c r="U20" s="81"/>
      <c r="V20" s="81"/>
      <c r="W20" s="996" t="s">
        <v>73</v>
      </c>
      <c r="X20" s="997"/>
      <c r="Y20" s="997"/>
      <c r="Z20" s="998"/>
      <c r="AA20" s="81"/>
      <c r="AB20" s="110"/>
      <c r="AC20" s="104"/>
      <c r="AD20" s="110"/>
      <c r="AE20" s="110"/>
      <c r="AF20" s="97"/>
    </row>
    <row r="21" spans="1:34" ht="20.100000000000001" customHeight="1">
      <c r="A21" s="4"/>
      <c r="B21" s="75"/>
      <c r="C21" s="110"/>
      <c r="D21" s="105" t="s">
        <v>146</v>
      </c>
      <c r="E21" s="110"/>
      <c r="F21" s="902" t="str">
        <f>IF(F3+G3=0," ",IF($F$3+$G$3=43,IF($O$13=$O$14,"résultat",IF($O$13&gt;$O$14,$K$13,$K$14)),(IF($F$3+$G$3=42,IF($O$13=$O$14,"résultat",IF($O$13&gt;$O$14,$K$13,$K$14)),(IF($F$3+$G$3=32,IF($O$13=$O$14,"résultat",IF($O$13&gt;$O$14,$K$13,$K$14))))))))</f>
        <v xml:space="preserve"> </v>
      </c>
      <c r="G21" s="903"/>
      <c r="H21" s="903"/>
      <c r="I21" s="903"/>
      <c r="J21" s="903"/>
      <c r="K21" s="904"/>
      <c r="L21" s="110"/>
      <c r="M21" s="81"/>
      <c r="N21" s="102"/>
      <c r="O21" s="102"/>
      <c r="P21" s="84"/>
      <c r="Q21" s="133"/>
      <c r="R21" s="132"/>
      <c r="S21" s="110"/>
      <c r="T21" s="105" t="s">
        <v>146</v>
      </c>
      <c r="U21" s="81"/>
      <c r="V21" s="902" t="str">
        <f>IF(V3+W3=0," ",IF($V$3+$W$3=43,IF($AE$13=$AE$14,"résultat",IF($AE$13&gt;$AE$14,$AA$13,$AA$14)),(IF($V$3+$W$3=42,IF($AE$13=$AE$14,"résultat",IF($AE$13&gt;$AE$14,$AA$13,$AA$14)),(IF($V$3+$W$3=32,IF($AE$13=$AE$14,"résultat",IF($AE$13&gt;$AE$14,$AA$13,$AA$14))))))))</f>
        <v xml:space="preserve"> </v>
      </c>
      <c r="W21" s="903"/>
      <c r="X21" s="903"/>
      <c r="Y21" s="903"/>
      <c r="Z21" s="903"/>
      <c r="AA21" s="904"/>
      <c r="AB21" s="110"/>
      <c r="AC21" s="81"/>
      <c r="AD21" s="81"/>
      <c r="AE21" s="110"/>
      <c r="AF21" s="97"/>
    </row>
    <row r="22" spans="1:34" ht="20.100000000000001" customHeight="1">
      <c r="A22" s="4"/>
      <c r="B22" s="75"/>
      <c r="C22" s="110"/>
      <c r="D22" s="108" t="s">
        <v>147</v>
      </c>
      <c r="E22" s="110"/>
      <c r="F22" s="964" t="str">
        <f>IF(F3+G3=0," ",IF($F$3+$G$3=43,IF($O$13=$O$14,"résultat",IF($O$13&lt;$O$14,$K$13,$K$14)),(IF($F$3+$G$3=42,IF($K$17=$K$18,"résultat",IF($K$17&gt;$K$18,$G$17,$G$18)),(IF($F$3+$G$3=32,IF($K$17=$K$18,"résultat",IF($K$17&gt;$K$18,$G$17,$G$18))))))))</f>
        <v xml:space="preserve"> </v>
      </c>
      <c r="G22" s="965"/>
      <c r="H22" s="965"/>
      <c r="I22" s="965"/>
      <c r="J22" s="965"/>
      <c r="K22" s="966"/>
      <c r="L22" s="110"/>
      <c r="M22" s="81"/>
      <c r="N22" s="102"/>
      <c r="O22" s="102"/>
      <c r="P22" s="84"/>
      <c r="Q22" s="133"/>
      <c r="R22" s="132"/>
      <c r="S22" s="110"/>
      <c r="T22" s="108" t="s">
        <v>147</v>
      </c>
      <c r="U22" s="81"/>
      <c r="V22" s="964" t="str">
        <f>IF(V3+W3=0," ",IF($V$3+$W$3=43,IF($AE$13=$AE$14,"résultat",IF($AE$13&lt;$AE$14,$AA$13,$AA$14)),(IF($V$3+$W$3=42,IF($AA$17=$AA$18,"résultat",IF($AA$17&gt;$AA$18,$W$17,$W$18)),(IF($V$3+$W$3=32,IF($AA$17=$AA$18,"résultat",IF($AA$17&gt;$AA$18,$W$17,$W$18))))))))</f>
        <v xml:space="preserve"> </v>
      </c>
      <c r="W22" s="965"/>
      <c r="X22" s="965"/>
      <c r="Y22" s="965"/>
      <c r="Z22" s="965"/>
      <c r="AA22" s="966"/>
      <c r="AB22" s="110"/>
      <c r="AC22" s="81"/>
      <c r="AD22" s="146"/>
      <c r="AE22" s="110"/>
      <c r="AF22" s="97"/>
    </row>
    <row r="23" spans="1:34" ht="20.100000000000001" customHeight="1" thickBot="1">
      <c r="A23" s="4"/>
      <c r="B23" s="75"/>
      <c r="C23" s="110"/>
      <c r="D23" s="109" t="s">
        <v>148</v>
      </c>
      <c r="E23" s="110"/>
      <c r="F23" s="961" t="str">
        <f>IF(F3+G3=0," ",IF($F$3+$G$3=43,IF($G$13=$G$14,"résultat",IF($G$13&gt;$G$14,$C$13,$C$14)),(IF($F$3+$G$3=42,"&amp;",(IF($F$3+$G$3=32,"&amp;"))))))</f>
        <v xml:space="preserve"> </v>
      </c>
      <c r="G23" s="962"/>
      <c r="H23" s="962"/>
      <c r="I23" s="962"/>
      <c r="J23" s="962"/>
      <c r="K23" s="963"/>
      <c r="L23" s="110"/>
      <c r="M23" s="81"/>
      <c r="N23" s="102"/>
      <c r="O23" s="102"/>
      <c r="P23" s="84"/>
      <c r="Q23" s="133"/>
      <c r="R23" s="132"/>
      <c r="S23" s="110"/>
      <c r="T23" s="109" t="s">
        <v>148</v>
      </c>
      <c r="U23" s="81"/>
      <c r="V23" s="907" t="str">
        <f>IF(V3+W3=0," ",IF($V$3+$W$3=43,IF(W13=W14,"résultat",IF(W13&gt;W14,S13,S14)),IF($V$3+$W$3=42,"&amp;",(IF($V$3+$W$3=32,"&amp;")))))</f>
        <v xml:space="preserve"> </v>
      </c>
      <c r="W23" s="908"/>
      <c r="X23" s="908"/>
      <c r="Y23" s="908"/>
      <c r="Z23" s="908"/>
      <c r="AA23" s="909"/>
      <c r="AB23" s="110"/>
      <c r="AC23" s="81"/>
      <c r="AD23" s="81"/>
      <c r="AE23" s="110"/>
      <c r="AF23" s="97"/>
    </row>
    <row r="24" spans="1:34" ht="20.100000000000001" customHeight="1" thickBot="1">
      <c r="A24" s="4"/>
      <c r="B24" s="111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4"/>
      <c r="O24" s="114"/>
      <c r="P24" s="115"/>
      <c r="Q24" s="79"/>
      <c r="R24" s="111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5"/>
      <c r="AG24" s="5"/>
      <c r="AH24" s="5"/>
    </row>
    <row r="25" spans="1:34" ht="20.100000000000001" customHeight="1" thickBot="1"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</row>
    <row r="26" spans="1:34" ht="20.100000000000001" customHeight="1" thickBot="1">
      <c r="B26" s="133"/>
      <c r="C26" s="133"/>
      <c r="D26" s="133"/>
      <c r="E26" s="133"/>
      <c r="F26" s="956" t="s">
        <v>76</v>
      </c>
      <c r="G26" s="957"/>
      <c r="H26" s="958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</row>
    <row r="27" spans="1:34" ht="18.75"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</row>
    <row r="28" spans="1:34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</sheetData>
  <sheetProtection formatCells="0" formatColumns="0" formatRows="0" insertColumns="0" insertRows="0" insertHyperlinks="0" deleteColumns="0" deleteRows="0" sort="0"/>
  <mergeCells count="63">
    <mergeCell ref="B4:P4"/>
    <mergeCell ref="R4:AF4"/>
    <mergeCell ref="W20:Z20"/>
    <mergeCell ref="G20:J20"/>
    <mergeCell ref="T12:U12"/>
    <mergeCell ref="D12:E12"/>
    <mergeCell ref="AA13:AD13"/>
    <mergeCell ref="K13:N13"/>
    <mergeCell ref="K14:N14"/>
    <mergeCell ref="AA14:AD14"/>
    <mergeCell ref="C14:F14"/>
    <mergeCell ref="S14:V14"/>
    <mergeCell ref="S13:V13"/>
    <mergeCell ref="R8:R9"/>
    <mergeCell ref="C13:F13"/>
    <mergeCell ref="B8:B9"/>
    <mergeCell ref="F26:H26"/>
    <mergeCell ref="G17:J17"/>
    <mergeCell ref="W17:Z17"/>
    <mergeCell ref="G18:J18"/>
    <mergeCell ref="W18:Z18"/>
    <mergeCell ref="F21:K21"/>
    <mergeCell ref="F22:K22"/>
    <mergeCell ref="F23:K23"/>
    <mergeCell ref="V21:AA21"/>
    <mergeCell ref="V22:AA22"/>
    <mergeCell ref="V23:AA23"/>
    <mergeCell ref="V17:V18"/>
    <mergeCell ref="C8:F8"/>
    <mergeCell ref="J8:J9"/>
    <mergeCell ref="K8:N8"/>
    <mergeCell ref="C9:F9"/>
    <mergeCell ref="K9:N9"/>
    <mergeCell ref="V2:W2"/>
    <mergeCell ref="Y2:AA2"/>
    <mergeCell ref="AB2:AF2"/>
    <mergeCell ref="AD1:AE1"/>
    <mergeCell ref="S8:V8"/>
    <mergeCell ref="Z8:Z9"/>
    <mergeCell ref="AA8:AD8"/>
    <mergeCell ref="S9:V9"/>
    <mergeCell ref="AA9:AD9"/>
    <mergeCell ref="B13:B14"/>
    <mergeCell ref="F17:F18"/>
    <mergeCell ref="H16:I16"/>
    <mergeCell ref="X16:Y16"/>
    <mergeCell ref="I1:L1"/>
    <mergeCell ref="B1:D1"/>
    <mergeCell ref="E1:G1"/>
    <mergeCell ref="B2:D2"/>
    <mergeCell ref="F2:G2"/>
    <mergeCell ref="I2:K2"/>
    <mergeCell ref="L2:P2"/>
    <mergeCell ref="N1:O1"/>
    <mergeCell ref="R2:T2"/>
    <mergeCell ref="R1:T1"/>
    <mergeCell ref="U1:W1"/>
    <mergeCell ref="Y1:AB1"/>
    <mergeCell ref="L12:M12"/>
    <mergeCell ref="AB12:AC12"/>
    <mergeCell ref="Z13:Z14"/>
    <mergeCell ref="R13:R14"/>
    <mergeCell ref="J13:J14"/>
  </mergeCells>
  <conditionalFormatting sqref="F21">
    <cfRule type="expression" dxfId="274" priority="201">
      <formula>$H$2=0</formula>
    </cfRule>
    <cfRule type="expression" dxfId="273" priority="202" stopIfTrue="1">
      <formula>(OR(H2="1",H2="2",H2="3"))</formula>
    </cfRule>
  </conditionalFormatting>
  <conditionalFormatting sqref="F22">
    <cfRule type="expression" dxfId="272" priority="200">
      <formula>(OR(H2="2",H2="3"))</formula>
    </cfRule>
  </conditionalFormatting>
  <conditionalFormatting sqref="F23">
    <cfRule type="expression" dxfId="271" priority="199">
      <formula>(H2="3")</formula>
    </cfRule>
  </conditionalFormatting>
  <conditionalFormatting sqref="V23 K13:K14 G17:J18 C13:F14">
    <cfRule type="cellIs" dxfId="270" priority="198" operator="equal">
      <formula>0</formula>
    </cfRule>
  </conditionalFormatting>
  <conditionalFormatting sqref="V22">
    <cfRule type="expression" dxfId="269" priority="214">
      <formula>$U$2=0</formula>
    </cfRule>
    <cfRule type="expression" dxfId="268" priority="215">
      <formula>$Z$2=5</formula>
    </cfRule>
    <cfRule type="expression" dxfId="267" priority="216">
      <formula>$Z$2=4</formula>
    </cfRule>
    <cfRule type="expression" dxfId="266" priority="217">
      <formula>$Z$2=3</formula>
    </cfRule>
    <cfRule type="expression" dxfId="265" priority="218">
      <formula>$Z$2=2</formula>
    </cfRule>
  </conditionalFormatting>
  <conditionalFormatting sqref="V23">
    <cfRule type="expression" dxfId="264" priority="210">
      <formula>$U$2=0</formula>
    </cfRule>
    <cfRule type="expression" dxfId="263" priority="211">
      <formula>$Z$2=5</formula>
    </cfRule>
    <cfRule type="expression" dxfId="262" priority="212">
      <formula>$Z$2=4</formula>
    </cfRule>
    <cfRule type="expression" dxfId="261" priority="213">
      <formula>$Z$2=3</formula>
    </cfRule>
  </conditionalFormatting>
  <conditionalFormatting sqref="V21">
    <cfRule type="expression" dxfId="260" priority="203">
      <formula>$Z$2=1</formula>
    </cfRule>
  </conditionalFormatting>
  <conditionalFormatting sqref="V21">
    <cfRule type="expression" dxfId="259" priority="186">
      <formula>$U$2=0</formula>
    </cfRule>
    <cfRule type="expression" dxfId="258" priority="187" stopIfTrue="1">
      <formula>(OR(Z2="1",Z2="2",Z2="3"))</formula>
    </cfRule>
  </conditionalFormatting>
  <conditionalFormatting sqref="V22">
    <cfRule type="expression" dxfId="257" priority="185">
      <formula>(OR(Z2="2",Z2="3"))</formula>
    </cfRule>
  </conditionalFormatting>
  <conditionalFormatting sqref="V23">
    <cfRule type="expression" dxfId="256" priority="184">
      <formula>(Z2="3")</formula>
    </cfRule>
  </conditionalFormatting>
  <conditionalFormatting sqref="V21">
    <cfRule type="expression" dxfId="255" priority="268">
      <formula>$Z$2=2</formula>
    </cfRule>
    <cfRule type="expression" dxfId="254" priority="269">
      <formula>$Z$2=5</formula>
    </cfRule>
    <cfRule type="expression" dxfId="253" priority="270">
      <formula>$Z$2=4</formula>
    </cfRule>
    <cfRule type="expression" dxfId="252" priority="271">
      <formula>$Z$2=3</formula>
    </cfRule>
    <cfRule type="expression" dxfId="251" priority="272">
      <formula>$U$2=0</formula>
    </cfRule>
  </conditionalFormatting>
  <conditionalFormatting sqref="V21">
    <cfRule type="expression" dxfId="250" priority="158">
      <formula>$X$2=2</formula>
    </cfRule>
    <cfRule type="expression" dxfId="249" priority="159">
      <formula>$X$2=5</formula>
    </cfRule>
    <cfRule type="expression" dxfId="248" priority="160">
      <formula>$X$2=4</formula>
    </cfRule>
    <cfRule type="expression" dxfId="247" priority="161">
      <formula>$X$2=3</formula>
    </cfRule>
    <cfRule type="expression" dxfId="246" priority="162">
      <formula>$H$2=0</formula>
    </cfRule>
  </conditionalFormatting>
  <conditionalFormatting sqref="V22">
    <cfRule type="expression" dxfId="245" priority="153">
      <formula>$X$2=0</formula>
    </cfRule>
    <cfRule type="expression" dxfId="244" priority="154">
      <formula>$X$2=5</formula>
    </cfRule>
    <cfRule type="expression" dxfId="243" priority="155">
      <formula>$X$2=4</formula>
    </cfRule>
    <cfRule type="expression" dxfId="242" priority="156">
      <formula>$X$2=3</formula>
    </cfRule>
    <cfRule type="expression" dxfId="241" priority="157">
      <formula>$X$2=2</formula>
    </cfRule>
  </conditionalFormatting>
  <conditionalFormatting sqref="V23">
    <cfRule type="expression" dxfId="240" priority="149">
      <formula>$X$2=0</formula>
    </cfRule>
    <cfRule type="expression" dxfId="239" priority="150">
      <formula>$X$2=5</formula>
    </cfRule>
    <cfRule type="expression" dxfId="238" priority="151">
      <formula>$X$2=4</formula>
    </cfRule>
    <cfRule type="expression" dxfId="237" priority="152">
      <formula>$X$2=3</formula>
    </cfRule>
  </conditionalFormatting>
  <conditionalFormatting sqref="V21">
    <cfRule type="expression" dxfId="236" priority="143">
      <formula>$X$2=1</formula>
    </cfRule>
  </conditionalFormatting>
  <conditionalFormatting sqref="F21">
    <cfRule type="expression" dxfId="235" priority="141">
      <formula>$H$2=0</formula>
    </cfRule>
    <cfRule type="expression" dxfId="234" priority="142" stopIfTrue="1">
      <formula>(OR(H2="1",H2="2",H2="3"))</formula>
    </cfRule>
  </conditionalFormatting>
  <conditionalFormatting sqref="F22">
    <cfRule type="expression" dxfId="233" priority="140">
      <formula>(OR(H2="2",H2="3"))</formula>
    </cfRule>
  </conditionalFormatting>
  <conditionalFormatting sqref="F23">
    <cfRule type="cellIs" dxfId="232" priority="138" operator="equal">
      <formula>0</formula>
    </cfRule>
    <cfRule type="expression" dxfId="231" priority="139">
      <formula>(H2="3")</formula>
    </cfRule>
  </conditionalFormatting>
  <conditionalFormatting sqref="V21">
    <cfRule type="expression" dxfId="230" priority="136">
      <formula>$H$2=0</formula>
    </cfRule>
    <cfRule type="expression" dxfId="229" priority="137" stopIfTrue="1">
      <formula>(OR(X2="1",X2="2",X2="3"))</formula>
    </cfRule>
  </conditionalFormatting>
  <conditionalFormatting sqref="V22">
    <cfRule type="expression" dxfId="228" priority="135">
      <formula>(OR(X2="2",X2="3"))</formula>
    </cfRule>
  </conditionalFormatting>
  <conditionalFormatting sqref="V23">
    <cfRule type="expression" dxfId="227" priority="134">
      <formula>(X2="3")</formula>
    </cfRule>
  </conditionalFormatting>
  <conditionalFormatting sqref="AA8:AA9 AB8:AD8 C8:F9">
    <cfRule type="expression" dxfId="226" priority="71">
      <formula>(OR($E$2=3,$E$2=4,$E$2=5))</formula>
    </cfRule>
  </conditionalFormatting>
  <conditionalFormatting sqref="AA9">
    <cfRule type="cellIs" dxfId="225" priority="11" operator="equal">
      <formula>$E$2=0</formula>
    </cfRule>
  </conditionalFormatting>
  <conditionalFormatting sqref="C14:F14 K9:N9 AA9 S14:V14">
    <cfRule type="containsText" dxfId="224" priority="4" operator="containsText" text="OFFICE">
      <formula>NOT(ISERROR(SEARCH("OFFICE",C9)))</formula>
    </cfRule>
  </conditionalFormatting>
  <pageMargins left="0.33" right="0.70866141732283472" top="0.36" bottom="0.44" header="0.22" footer="0.31496062992125984"/>
  <pageSetup paperSize="9" orientation="landscape" horizontalDpi="4294967292" verticalDpi="0" r:id="rId1"/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tabColor rgb="FFFFFF00"/>
  </sheetPr>
  <dimension ref="A1:AI28"/>
  <sheetViews>
    <sheetView zoomScale="80" zoomScaleNormal="80" workbookViewId="0">
      <selection activeCell="L12" sqref="L12:M12"/>
    </sheetView>
  </sheetViews>
  <sheetFormatPr baseColWidth="10" defaultRowHeight="15"/>
  <cols>
    <col min="1" max="1" width="4" style="14" customWidth="1"/>
    <col min="2" max="2" width="6.85546875" style="14" customWidth="1"/>
    <col min="3" max="3" width="6.7109375" style="14" customWidth="1"/>
    <col min="4" max="5" width="8.7109375" style="14" customWidth="1"/>
    <col min="6" max="6" width="6.7109375" style="14" customWidth="1"/>
    <col min="7" max="7" width="6.85546875" style="14" customWidth="1"/>
    <col min="8" max="8" width="8.7109375" style="14" customWidth="1"/>
    <col min="9" max="9" width="6.7109375" style="14" customWidth="1"/>
    <col min="10" max="10" width="7" style="14" customWidth="1"/>
    <col min="11" max="11" width="6.85546875" style="14" customWidth="1"/>
    <col min="12" max="14" width="8.7109375" style="14" customWidth="1"/>
    <col min="15" max="16" width="6.7109375" style="14" customWidth="1"/>
    <col min="17" max="17" width="4.5703125" style="14" customWidth="1"/>
    <col min="18" max="19" width="6.7109375" style="14" customWidth="1"/>
    <col min="20" max="21" width="8.7109375" style="14" customWidth="1"/>
    <col min="22" max="22" width="6.7109375" style="14" customWidth="1"/>
    <col min="23" max="23" width="6.85546875" style="14" customWidth="1"/>
    <col min="24" max="25" width="8.7109375" style="14" customWidth="1"/>
    <col min="26" max="26" width="6.7109375" style="14" customWidth="1"/>
    <col min="27" max="27" width="6.85546875" style="14" customWidth="1"/>
    <col min="28" max="30" width="8.7109375" style="14" customWidth="1"/>
    <col min="31" max="32" width="6.7109375" style="14" customWidth="1"/>
    <col min="33" max="33" width="10.7109375" style="14" customWidth="1"/>
    <col min="34" max="34" width="11.28515625" style="14" customWidth="1"/>
    <col min="35" max="16384" width="11.42578125" style="14"/>
  </cols>
  <sheetData>
    <row r="1" spans="1:35" ht="21" thickBot="1">
      <c r="A1" s="4"/>
      <c r="B1" s="932" t="s">
        <v>150</v>
      </c>
      <c r="C1" s="933"/>
      <c r="D1" s="933"/>
      <c r="E1" s="931">
        <f>Données!J1</f>
        <v>0</v>
      </c>
      <c r="F1" s="931"/>
      <c r="G1" s="931"/>
      <c r="H1" s="69" t="str">
        <f>Données!$D$3</f>
        <v>F_U18</v>
      </c>
      <c r="I1" s="931">
        <f>Données!$J$3</f>
        <v>0</v>
      </c>
      <c r="J1" s="931"/>
      <c r="K1" s="931"/>
      <c r="L1" s="931"/>
      <c r="M1" s="70" t="str">
        <f>Données!$E$5</f>
        <v>Simple</v>
      </c>
      <c r="N1" s="948" t="s">
        <v>149</v>
      </c>
      <c r="O1" s="936"/>
      <c r="P1" s="17">
        <f>Données!$L13</f>
        <v>0</v>
      </c>
      <c r="Q1" s="4"/>
      <c r="R1" s="932" t="s">
        <v>150</v>
      </c>
      <c r="S1" s="933"/>
      <c r="T1" s="933"/>
      <c r="U1" s="931">
        <f>Données!J1</f>
        <v>0</v>
      </c>
      <c r="V1" s="931"/>
      <c r="W1" s="931"/>
      <c r="X1" s="69" t="str">
        <f>Données!$D$3</f>
        <v>F_U18</v>
      </c>
      <c r="Y1" s="931">
        <f>Données!$J$3</f>
        <v>0</v>
      </c>
      <c r="Z1" s="931"/>
      <c r="AA1" s="931"/>
      <c r="AB1" s="931"/>
      <c r="AC1" s="70" t="str">
        <f>Données!$E$5</f>
        <v>Simple</v>
      </c>
      <c r="AD1" s="989" t="s">
        <v>149</v>
      </c>
      <c r="AE1" s="990"/>
      <c r="AF1" s="17">
        <f>Données!$L13</f>
        <v>0</v>
      </c>
      <c r="AG1" s="5"/>
    </row>
    <row r="2" spans="1:35" ht="19.5" customHeight="1" thickBot="1">
      <c r="A2" s="4"/>
      <c r="B2" s="989" t="s">
        <v>24</v>
      </c>
      <c r="C2" s="931"/>
      <c r="D2" s="931"/>
      <c r="E2" s="134">
        <f>Données!M18</f>
        <v>0</v>
      </c>
      <c r="F2" s="931" t="s">
        <v>14</v>
      </c>
      <c r="G2" s="931"/>
      <c r="H2" s="9">
        <f>Données!M19</f>
        <v>0</v>
      </c>
      <c r="I2" s="932" t="s">
        <v>15</v>
      </c>
      <c r="J2" s="933"/>
      <c r="K2" s="933"/>
      <c r="L2" s="934">
        <f ca="1">TODAY()</f>
        <v>44217</v>
      </c>
      <c r="M2" s="935"/>
      <c r="N2" s="935"/>
      <c r="O2" s="935"/>
      <c r="P2" s="936"/>
      <c r="Q2" s="4"/>
      <c r="R2" s="989" t="s">
        <v>25</v>
      </c>
      <c r="S2" s="931"/>
      <c r="T2" s="931"/>
      <c r="U2" s="8">
        <f>Données!N18</f>
        <v>0</v>
      </c>
      <c r="V2" s="931" t="s">
        <v>14</v>
      </c>
      <c r="W2" s="931"/>
      <c r="X2" s="9">
        <f>Données!N19</f>
        <v>0</v>
      </c>
      <c r="Y2" s="932" t="s">
        <v>15</v>
      </c>
      <c r="Z2" s="933"/>
      <c r="AA2" s="933"/>
      <c r="AB2" s="934">
        <f ca="1">TODAY()</f>
        <v>44217</v>
      </c>
      <c r="AC2" s="935"/>
      <c r="AD2" s="935"/>
      <c r="AE2" s="935"/>
      <c r="AF2" s="936"/>
      <c r="AG2" s="5"/>
    </row>
    <row r="3" spans="1:35" ht="20.100000000000001" customHeight="1" thickBot="1">
      <c r="A3" s="4"/>
      <c r="B3" s="190">
        <f>+Données!$J$11</f>
        <v>0</v>
      </c>
      <c r="C3" s="149"/>
      <c r="D3" s="149"/>
      <c r="E3" s="149"/>
      <c r="F3" s="77" t="str">
        <f>CONCATENATE(E2,H2)</f>
        <v>00</v>
      </c>
      <c r="G3" s="149"/>
      <c r="H3" s="149"/>
      <c r="I3" s="149"/>
      <c r="J3" s="149"/>
      <c r="K3" s="149"/>
      <c r="L3" s="149"/>
      <c r="M3" s="149"/>
      <c r="N3" s="149"/>
      <c r="O3" s="149"/>
      <c r="P3" s="150"/>
      <c r="Q3" s="79"/>
      <c r="R3" s="190">
        <f>+Données!$J$11</f>
        <v>0</v>
      </c>
      <c r="S3" s="149"/>
      <c r="T3" s="149"/>
      <c r="U3" s="151"/>
      <c r="V3" s="77" t="str">
        <f>CONCATENATE(U2,X2)</f>
        <v>00</v>
      </c>
      <c r="W3" s="149"/>
      <c r="X3" s="149"/>
      <c r="Y3" s="149"/>
      <c r="Z3" s="149"/>
      <c r="AA3" s="149"/>
      <c r="AB3" s="149"/>
      <c r="AC3" s="149"/>
      <c r="AD3" s="149"/>
      <c r="AE3" s="149"/>
      <c r="AF3" s="150"/>
      <c r="AG3" s="5"/>
      <c r="AH3" s="5"/>
    </row>
    <row r="4" spans="1:35" ht="20.100000000000001" customHeight="1" thickBot="1">
      <c r="A4" s="4"/>
      <c r="B4" s="949" t="s">
        <v>167</v>
      </c>
      <c r="C4" s="950"/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0"/>
      <c r="O4" s="950"/>
      <c r="P4" s="951"/>
      <c r="Q4" s="82"/>
      <c r="R4" s="940" t="s">
        <v>167</v>
      </c>
      <c r="S4" s="941"/>
      <c r="T4" s="941"/>
      <c r="U4" s="941"/>
      <c r="V4" s="941"/>
      <c r="W4" s="941"/>
      <c r="X4" s="941"/>
      <c r="Y4" s="941"/>
      <c r="Z4" s="941"/>
      <c r="AA4" s="941"/>
      <c r="AB4" s="941"/>
      <c r="AC4" s="941"/>
      <c r="AD4" s="941"/>
      <c r="AE4" s="941"/>
      <c r="AF4" s="942"/>
      <c r="AG4" s="5"/>
    </row>
    <row r="5" spans="1:35" ht="20.100000000000001" customHeight="1">
      <c r="A5" s="4"/>
      <c r="B5" s="75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  <c r="Q5" s="79"/>
      <c r="R5" s="148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3"/>
      <c r="AG5" s="5"/>
      <c r="AH5" s="5"/>
    </row>
    <row r="6" spans="1:35" ht="20.100000000000001" customHeight="1" thickBot="1">
      <c r="A6" s="4"/>
      <c r="B6" s="75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97"/>
      <c r="Q6" s="79"/>
      <c r="R6" s="75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8"/>
      <c r="AG6" s="5"/>
      <c r="AH6" s="5"/>
    </row>
    <row r="7" spans="1:35" ht="20.100000000000001" customHeight="1" thickBot="1">
      <c r="A7" s="4"/>
      <c r="B7" s="85" t="s">
        <v>1</v>
      </c>
      <c r="C7" s="86" t="s">
        <v>10</v>
      </c>
      <c r="D7" s="80"/>
      <c r="E7" s="81"/>
      <c r="F7" s="81"/>
      <c r="G7" s="76" t="s">
        <v>0</v>
      </c>
      <c r="H7" s="76"/>
      <c r="I7" s="76"/>
      <c r="J7" s="76" t="s">
        <v>1</v>
      </c>
      <c r="K7" s="86" t="str">
        <f>IF(E2=2,"","C")</f>
        <v>C</v>
      </c>
      <c r="L7" s="80"/>
      <c r="M7" s="81"/>
      <c r="N7" s="81"/>
      <c r="O7" s="76" t="s">
        <v>0</v>
      </c>
      <c r="P7" s="97"/>
      <c r="Q7" s="81"/>
      <c r="R7" s="85" t="s">
        <v>1</v>
      </c>
      <c r="S7" s="86" t="s">
        <v>10</v>
      </c>
      <c r="T7" s="80"/>
      <c r="U7" s="81"/>
      <c r="V7" s="81"/>
      <c r="W7" s="76" t="s">
        <v>0</v>
      </c>
      <c r="X7" s="76"/>
      <c r="Y7" s="76"/>
      <c r="Z7" s="76" t="s">
        <v>1</v>
      </c>
      <c r="AA7" s="86" t="str">
        <f>IF(U2=2,"","C")</f>
        <v>C</v>
      </c>
      <c r="AB7" s="80"/>
      <c r="AC7" s="81"/>
      <c r="AD7" s="81"/>
      <c r="AE7" s="76" t="s">
        <v>0</v>
      </c>
      <c r="AF7" s="97"/>
      <c r="AH7" s="5"/>
      <c r="AI7" s="5"/>
    </row>
    <row r="8" spans="1:35" ht="20.100000000000001" customHeight="1" thickBot="1">
      <c r="A8" s="40">
        <v>33</v>
      </c>
      <c r="B8" s="899">
        <v>17</v>
      </c>
      <c r="C8" s="902">
        <f>+Données!AG38</f>
        <v>0</v>
      </c>
      <c r="D8" s="903"/>
      <c r="E8" s="903"/>
      <c r="F8" s="904"/>
      <c r="G8" s="88">
        <v>1</v>
      </c>
      <c r="H8" s="89"/>
      <c r="I8" s="90">
        <v>35</v>
      </c>
      <c r="J8" s="899">
        <v>18</v>
      </c>
      <c r="K8" s="979">
        <f>+Données!AG40</f>
        <v>0</v>
      </c>
      <c r="L8" s="980"/>
      <c r="M8" s="980"/>
      <c r="N8" s="981"/>
      <c r="O8" s="88">
        <v>1</v>
      </c>
      <c r="P8" s="97"/>
      <c r="Q8" s="81"/>
      <c r="R8" s="899">
        <v>19</v>
      </c>
      <c r="S8" s="902">
        <f>+Données!AG42</f>
        <v>0</v>
      </c>
      <c r="T8" s="903"/>
      <c r="U8" s="903"/>
      <c r="V8" s="904"/>
      <c r="W8" s="88">
        <v>1</v>
      </c>
      <c r="X8" s="89"/>
      <c r="Y8" s="90">
        <v>39</v>
      </c>
      <c r="Z8" s="899">
        <v>20</v>
      </c>
      <c r="AA8" s="902">
        <f>+Données!AG44</f>
        <v>0</v>
      </c>
      <c r="AB8" s="903"/>
      <c r="AC8" s="903"/>
      <c r="AD8" s="904"/>
      <c r="AE8" s="88">
        <v>1</v>
      </c>
      <c r="AF8" s="97"/>
      <c r="AH8" s="5"/>
      <c r="AI8" s="5"/>
    </row>
    <row r="9" spans="1:35" ht="20.100000000000001" customHeight="1" thickBot="1">
      <c r="A9" s="40">
        <v>34</v>
      </c>
      <c r="B9" s="900"/>
      <c r="C9" s="937">
        <f>+Données!AG39</f>
        <v>0</v>
      </c>
      <c r="D9" s="938"/>
      <c r="E9" s="938"/>
      <c r="F9" s="939"/>
      <c r="G9" s="92">
        <v>0</v>
      </c>
      <c r="H9" s="89"/>
      <c r="I9" s="90">
        <v>36</v>
      </c>
      <c r="J9" s="900"/>
      <c r="K9" s="937">
        <f>IF(OR(AND(B3&gt;170,B3&lt;250))," ",Données!AG41)</f>
        <v>0</v>
      </c>
      <c r="L9" s="938"/>
      <c r="M9" s="938"/>
      <c r="N9" s="939"/>
      <c r="O9" s="88">
        <v>0</v>
      </c>
      <c r="P9" s="97"/>
      <c r="Q9" s="81"/>
      <c r="R9" s="900"/>
      <c r="S9" s="937">
        <f>+Données!AG43</f>
        <v>0</v>
      </c>
      <c r="T9" s="938"/>
      <c r="U9" s="938"/>
      <c r="V9" s="939"/>
      <c r="W9" s="169">
        <v>0</v>
      </c>
      <c r="X9" s="89"/>
      <c r="Y9" s="90">
        <v>40</v>
      </c>
      <c r="Z9" s="900"/>
      <c r="AA9" s="937">
        <f>IF(OR(AND(B3&gt;170,B3&lt;250))," ",Données!AG45)</f>
        <v>0</v>
      </c>
      <c r="AB9" s="938"/>
      <c r="AC9" s="938"/>
      <c r="AD9" s="939"/>
      <c r="AE9" s="88">
        <v>0</v>
      </c>
      <c r="AF9" s="97"/>
      <c r="AH9" s="5"/>
      <c r="AI9" s="5"/>
    </row>
    <row r="10" spans="1:35" ht="20.100000000000001" customHeight="1" thickBot="1">
      <c r="A10" s="4"/>
      <c r="B10" s="75"/>
      <c r="C10" s="93" t="s">
        <v>11</v>
      </c>
      <c r="D10" s="80"/>
      <c r="E10" s="81"/>
      <c r="F10" s="81"/>
      <c r="G10" s="81"/>
      <c r="H10" s="81"/>
      <c r="I10" s="81"/>
      <c r="J10" s="81"/>
      <c r="K10" s="86" t="s">
        <v>48</v>
      </c>
      <c r="L10" s="80"/>
      <c r="M10" s="81"/>
      <c r="N10" s="81"/>
      <c r="O10" s="81"/>
      <c r="P10" s="97"/>
      <c r="Q10" s="81"/>
      <c r="R10" s="75"/>
      <c r="S10" s="93" t="s">
        <v>11</v>
      </c>
      <c r="T10" s="80"/>
      <c r="U10" s="81"/>
      <c r="V10" s="81"/>
      <c r="W10" s="81"/>
      <c r="X10" s="81"/>
      <c r="Y10" s="81"/>
      <c r="Z10" s="81"/>
      <c r="AA10" s="86" t="s">
        <v>48</v>
      </c>
      <c r="AB10" s="80"/>
      <c r="AC10" s="81"/>
      <c r="AD10" s="81"/>
      <c r="AE10" s="81"/>
      <c r="AF10" s="97"/>
      <c r="AI10" s="5"/>
    </row>
    <row r="11" spans="1:35" ht="20.100000000000001" customHeight="1">
      <c r="A11" s="4"/>
      <c r="B11" s="75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94"/>
      <c r="Q11" s="81"/>
      <c r="R11" s="75"/>
      <c r="S11" s="95"/>
      <c r="T11" s="95"/>
      <c r="U11" s="95"/>
      <c r="V11" s="95"/>
      <c r="W11" s="81"/>
      <c r="X11" s="81"/>
      <c r="Y11" s="81"/>
      <c r="Z11" s="81"/>
      <c r="AA11" s="81"/>
      <c r="AB11" s="81"/>
      <c r="AC11" s="81"/>
      <c r="AD11" s="81"/>
      <c r="AE11" s="81"/>
      <c r="AF11" s="94"/>
      <c r="AI11" s="5"/>
    </row>
    <row r="12" spans="1:35" ht="20.100000000000001" customHeight="1" thickBot="1">
      <c r="A12" s="4"/>
      <c r="B12" s="85" t="s">
        <v>1</v>
      </c>
      <c r="C12" s="81"/>
      <c r="D12" s="999" t="s">
        <v>75</v>
      </c>
      <c r="E12" s="999"/>
      <c r="F12" s="81"/>
      <c r="G12" s="76" t="s">
        <v>0</v>
      </c>
      <c r="H12" s="76"/>
      <c r="I12" s="76"/>
      <c r="J12" s="76" t="s">
        <v>1</v>
      </c>
      <c r="K12" s="81"/>
      <c r="L12" s="985" t="s">
        <v>74</v>
      </c>
      <c r="M12" s="985"/>
      <c r="N12" s="81"/>
      <c r="O12" s="76" t="s">
        <v>0</v>
      </c>
      <c r="P12" s="78"/>
      <c r="Q12" s="79"/>
      <c r="R12" s="96" t="s">
        <v>1</v>
      </c>
      <c r="S12" s="95"/>
      <c r="T12" s="999" t="s">
        <v>75</v>
      </c>
      <c r="U12" s="999"/>
      <c r="V12" s="95"/>
      <c r="W12" s="76" t="s">
        <v>0</v>
      </c>
      <c r="X12" s="76"/>
      <c r="Y12" s="76"/>
      <c r="Z12" s="76" t="s">
        <v>1</v>
      </c>
      <c r="AA12" s="81"/>
      <c r="AB12" s="985" t="s">
        <v>74</v>
      </c>
      <c r="AC12" s="985"/>
      <c r="AD12" s="81"/>
      <c r="AE12" s="76" t="s">
        <v>0</v>
      </c>
      <c r="AF12" s="97"/>
    </row>
    <row r="13" spans="1:35" ht="20.100000000000001" customHeight="1" thickBot="1">
      <c r="A13" s="4"/>
      <c r="B13" s="975">
        <v>20</v>
      </c>
      <c r="C13" s="902">
        <f>IF($G$8=$G$9,"résultat",IF($G$8&gt;$G$9,$C$9,$C$8))</f>
        <v>0</v>
      </c>
      <c r="D13" s="905"/>
      <c r="E13" s="905"/>
      <c r="F13" s="906"/>
      <c r="G13" s="88">
        <v>1</v>
      </c>
      <c r="H13" s="89"/>
      <c r="I13" s="76"/>
      <c r="J13" s="975">
        <v>21</v>
      </c>
      <c r="K13" s="902">
        <f>IF($O$8=$O$9,"résultat",IF($O$8&gt;$O$9,$K$8,$K$9))</f>
        <v>0</v>
      </c>
      <c r="L13" s="903"/>
      <c r="M13" s="903"/>
      <c r="N13" s="904"/>
      <c r="O13" s="88">
        <v>1</v>
      </c>
      <c r="P13" s="98"/>
      <c r="Q13" s="79"/>
      <c r="R13" s="975">
        <v>22</v>
      </c>
      <c r="S13" s="973">
        <f>IF($W$8=$W$9,"résultat",IF($W$8&gt;$W$9,$S$9,$S$8))</f>
        <v>0</v>
      </c>
      <c r="T13" s="905"/>
      <c r="U13" s="905"/>
      <c r="V13" s="906"/>
      <c r="W13" s="88">
        <v>1</v>
      </c>
      <c r="X13" s="89"/>
      <c r="Y13" s="76"/>
      <c r="Z13" s="975">
        <v>23</v>
      </c>
      <c r="AA13" s="917">
        <f>IF(AE8=AE9,"résultat",IF($AE$8&gt;$AE$9,$AA$8,$AA$9))</f>
        <v>0</v>
      </c>
      <c r="AB13" s="991"/>
      <c r="AC13" s="991"/>
      <c r="AD13" s="992"/>
      <c r="AE13" s="152">
        <v>1</v>
      </c>
      <c r="AF13" s="97"/>
    </row>
    <row r="14" spans="1:35" ht="20.100000000000001" customHeight="1" thickBot="1">
      <c r="A14" s="4"/>
      <c r="B14" s="976"/>
      <c r="C14" s="910">
        <f>IF($O$8=$O$9,"résultat",IF($O$8&lt;$O$9,$K$8,$K$9))</f>
        <v>0</v>
      </c>
      <c r="D14" s="911"/>
      <c r="E14" s="911"/>
      <c r="F14" s="912"/>
      <c r="G14" s="100">
        <v>0</v>
      </c>
      <c r="H14" s="101"/>
      <c r="I14" s="76"/>
      <c r="J14" s="976"/>
      <c r="K14" s="961">
        <f>IF(G8=G9,"résultat",IF($G$8&gt;$G$9,$C$8,$C$9))</f>
        <v>0</v>
      </c>
      <c r="L14" s="962"/>
      <c r="M14" s="962"/>
      <c r="N14" s="963"/>
      <c r="O14" s="92">
        <v>2</v>
      </c>
      <c r="P14" s="98"/>
      <c r="Q14" s="79"/>
      <c r="R14" s="976"/>
      <c r="S14" s="910">
        <f>IF($AE$8=$AE$9,"résultat",IF($AE$8&lt;$AE$9,$AA$8,$AA$9))</f>
        <v>0</v>
      </c>
      <c r="T14" s="911"/>
      <c r="U14" s="911"/>
      <c r="V14" s="912"/>
      <c r="W14" s="88">
        <v>0</v>
      </c>
      <c r="X14" s="89"/>
      <c r="Y14" s="76"/>
      <c r="Z14" s="976"/>
      <c r="AA14" s="961">
        <f>IF(($W$9=$W$8),"résultat",IF(W8&gt;W9,S8,S9))</f>
        <v>0</v>
      </c>
      <c r="AB14" s="962"/>
      <c r="AC14" s="962"/>
      <c r="AD14" s="963"/>
      <c r="AE14" s="169">
        <v>2</v>
      </c>
      <c r="AF14" s="97"/>
    </row>
    <row r="15" spans="1:35" ht="20.100000000000001" customHeight="1">
      <c r="A15" s="4"/>
      <c r="B15" s="75"/>
      <c r="C15" s="81"/>
      <c r="D15" s="81"/>
      <c r="E15" s="81"/>
      <c r="F15" s="81"/>
      <c r="G15" s="81"/>
      <c r="H15" s="81"/>
      <c r="I15" s="110"/>
      <c r="J15" s="110"/>
      <c r="K15" s="110"/>
      <c r="L15" s="110"/>
      <c r="M15" s="110"/>
      <c r="N15" s="110"/>
      <c r="O15" s="81"/>
      <c r="P15" s="94"/>
      <c r="Q15" s="79"/>
      <c r="R15" s="75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94"/>
      <c r="AG15" s="5"/>
      <c r="AH15" s="5"/>
    </row>
    <row r="16" spans="1:35" ht="20.100000000000001" customHeight="1" thickBot="1">
      <c r="A16" s="4"/>
      <c r="B16" s="75"/>
      <c r="C16" s="81"/>
      <c r="D16" s="81"/>
      <c r="E16" s="81"/>
      <c r="F16" s="76" t="s">
        <v>1</v>
      </c>
      <c r="G16" s="81"/>
      <c r="H16" s="921" t="s">
        <v>170</v>
      </c>
      <c r="I16" s="921"/>
      <c r="J16" s="81"/>
      <c r="K16" s="76" t="s">
        <v>0</v>
      </c>
      <c r="L16" s="76"/>
      <c r="M16" s="145"/>
      <c r="N16" s="81"/>
      <c r="O16" s="81"/>
      <c r="P16" s="94"/>
      <c r="Q16" s="81"/>
      <c r="R16" s="75"/>
      <c r="S16" s="81"/>
      <c r="T16" s="81"/>
      <c r="U16" s="81"/>
      <c r="V16" s="76" t="s">
        <v>1</v>
      </c>
      <c r="W16" s="81"/>
      <c r="X16" s="921" t="s">
        <v>170</v>
      </c>
      <c r="Y16" s="921"/>
      <c r="Z16" s="81"/>
      <c r="AA16" s="76" t="s">
        <v>0</v>
      </c>
      <c r="AB16" s="76"/>
      <c r="AC16" s="145"/>
      <c r="AD16" s="81"/>
      <c r="AE16" s="81"/>
      <c r="AF16" s="97"/>
    </row>
    <row r="17" spans="1:34" ht="20.100000000000001" customHeight="1" thickBot="1">
      <c r="A17" s="4"/>
      <c r="B17" s="75"/>
      <c r="C17" s="81"/>
      <c r="D17" s="81"/>
      <c r="E17" s="76"/>
      <c r="F17" s="986">
        <v>19</v>
      </c>
      <c r="G17" s="917" t="str">
        <f>IF(F3+G3=0," ",IF($F$3+$G$3=43," ",(IF($F$3+$G$3=42,IF($O$13=$O$14,"résultat",IF($O$13&lt;$O$14,$K$13,$K$14)),IF($F$3+$G$3=32,IF($O$13=$O$14,"résultat",IF($O$13&lt;$O$14,$K$13,$K$14)))))))</f>
        <v xml:space="preserve"> </v>
      </c>
      <c r="H17" s="918"/>
      <c r="I17" s="918"/>
      <c r="J17" s="919"/>
      <c r="K17" s="88">
        <v>1</v>
      </c>
      <c r="L17" s="76"/>
      <c r="M17" s="81"/>
      <c r="N17" s="81"/>
      <c r="O17" s="81"/>
      <c r="P17" s="94"/>
      <c r="Q17" s="81"/>
      <c r="R17" s="75"/>
      <c r="S17" s="81"/>
      <c r="T17" s="81"/>
      <c r="U17" s="76"/>
      <c r="V17" s="986">
        <v>21</v>
      </c>
      <c r="W17" s="917" t="str">
        <f>IF(V3+W3=0," ",IF($V$3+$W$3=43," ",(IF($V$3+$W$3=42,IF($AE$13=$AE$14,"résultat",IF($AE$13&lt;$AE$14,$AA$13,$AA$14)),IF($V$3+$W$3=32,IF($AE$13=$AE$14,"résultat",IF($AE$13&lt;$AE$14,$AA$13,$AA$14)))))))</f>
        <v xml:space="preserve"> </v>
      </c>
      <c r="X17" s="918"/>
      <c r="Y17" s="918"/>
      <c r="Z17" s="919"/>
      <c r="AA17" s="88">
        <v>2</v>
      </c>
      <c r="AB17" s="76"/>
      <c r="AC17" s="81"/>
      <c r="AD17" s="81"/>
      <c r="AE17" s="81"/>
      <c r="AF17" s="97"/>
    </row>
    <row r="18" spans="1:34" ht="20.100000000000001" customHeight="1" thickBot="1">
      <c r="A18" s="4"/>
      <c r="B18" s="75"/>
      <c r="C18" s="81"/>
      <c r="D18" s="81"/>
      <c r="E18" s="81"/>
      <c r="F18" s="987"/>
      <c r="G18" s="914" t="str">
        <f>IF(F3+G3=0," ",IF($F$3+$G$3=43," ",IF(F3+G3=42,IF($G$13=$G$14,"résultat",IF($G$13&gt;$G$14,$C$13,$C$14)),(IF($F$3+$G$3=32,IF($G$13=$G$14,"résultat",IF($G$13&gt;$G$14,$C$13,$C$14)))))))</f>
        <v xml:space="preserve"> </v>
      </c>
      <c r="H18" s="915"/>
      <c r="I18" s="915"/>
      <c r="J18" s="916"/>
      <c r="K18" s="88">
        <v>0</v>
      </c>
      <c r="L18" s="76"/>
      <c r="M18" s="81"/>
      <c r="N18" s="81"/>
      <c r="O18" s="81"/>
      <c r="P18" s="94"/>
      <c r="Q18" s="81"/>
      <c r="R18" s="75"/>
      <c r="S18" s="81"/>
      <c r="T18" s="81"/>
      <c r="U18" s="81"/>
      <c r="V18" s="987"/>
      <c r="W18" s="914" t="str">
        <f>IF(V3+W3=0," ",IF($V$3+$W$3=43," ",IF($V$3+$W$3=42,IF(W13=W14,"résultat",IF($W$13&gt;$W$14,$S$13,$S$14)),(IF($V$3+$W$3=32,IF(W13=W14,"résultat",IF($W$13&gt;$W$14,$S$13,$S$14)))))))</f>
        <v xml:space="preserve"> </v>
      </c>
      <c r="X18" s="915"/>
      <c r="Y18" s="915"/>
      <c r="Z18" s="916"/>
      <c r="AA18" s="88">
        <v>0</v>
      </c>
      <c r="AB18" s="76"/>
      <c r="AC18" s="81"/>
      <c r="AD18" s="81"/>
      <c r="AE18" s="81"/>
      <c r="AF18" s="97"/>
    </row>
    <row r="19" spans="1:34" ht="20.100000000000001" customHeight="1" thickBot="1">
      <c r="A19" s="4"/>
      <c r="B19" s="75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94"/>
      <c r="Q19" s="79"/>
      <c r="R19" s="75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94"/>
      <c r="AG19" s="5"/>
      <c r="AH19" s="5"/>
    </row>
    <row r="20" spans="1:34" ht="20.100000000000001" customHeight="1" thickBot="1">
      <c r="A20" s="4"/>
      <c r="B20" s="75"/>
      <c r="C20" s="110"/>
      <c r="D20" s="81"/>
      <c r="E20" s="81"/>
      <c r="F20" s="81"/>
      <c r="G20" s="996" t="s">
        <v>73</v>
      </c>
      <c r="H20" s="997"/>
      <c r="I20" s="997"/>
      <c r="J20" s="998"/>
      <c r="K20" s="81"/>
      <c r="L20" s="110"/>
      <c r="M20" s="110"/>
      <c r="N20" s="81"/>
      <c r="O20" s="81"/>
      <c r="P20" s="94"/>
      <c r="Q20" s="133"/>
      <c r="R20" s="132"/>
      <c r="S20" s="110"/>
      <c r="T20" s="81"/>
      <c r="U20" s="81"/>
      <c r="V20" s="81"/>
      <c r="W20" s="996" t="s">
        <v>73</v>
      </c>
      <c r="X20" s="997"/>
      <c r="Y20" s="997"/>
      <c r="Z20" s="998"/>
      <c r="AA20" s="81"/>
      <c r="AB20" s="110"/>
      <c r="AC20" s="110"/>
      <c r="AD20" s="81"/>
      <c r="AE20" s="81"/>
      <c r="AF20" s="97"/>
    </row>
    <row r="21" spans="1:34" ht="20.100000000000001" customHeight="1">
      <c r="A21" s="4"/>
      <c r="B21" s="75"/>
      <c r="C21" s="110"/>
      <c r="D21" s="105" t="s">
        <v>146</v>
      </c>
      <c r="E21" s="110"/>
      <c r="F21" s="917" t="str">
        <f>IF(F3+G3=0," ",IF($F$3+$G$3=43,IF($O$13=$O$14,"résultat",IF($O$13&gt;$O$14,$K$13,$K$14)),(IF($F$3+$G$3=42,IF($O$13=$O$14,"résultat",IF($O$13&gt;$O$14,$K$13,$K$14)),(IF($F$3+$G$3=32,IF($O$13=$O$14,"résultat",IF($O$13&gt;$O$14,$K$13,$K$14))))))))</f>
        <v xml:space="preserve"> </v>
      </c>
      <c r="G21" s="991"/>
      <c r="H21" s="991"/>
      <c r="I21" s="991"/>
      <c r="J21" s="991"/>
      <c r="K21" s="992"/>
      <c r="L21" s="110"/>
      <c r="M21" s="110"/>
      <c r="N21" s="81"/>
      <c r="O21" s="81"/>
      <c r="P21" s="97"/>
      <c r="Q21" s="133"/>
      <c r="R21" s="132"/>
      <c r="S21" s="110"/>
      <c r="T21" s="105" t="s">
        <v>146</v>
      </c>
      <c r="U21" s="81"/>
      <c r="V21" s="917" t="str">
        <f>IF(V3+W3=0," ",IF($V$3+$W$3=43,IF($AE$13=$AE$14,"résultat",IF($AE$13&gt;$AE$14,$AA$13,$AA$14)),(IF($V$3+$W$3=42,IF($AE$13=$AE$14,"résultat",IF($AE$13&gt;$AE$14,$AA$13,$AA$14)),(IF($V$3+$W$3=32,IF($AE$13=$AE$14,"résultat",IF($AE$13&gt;$AE$14,$AA$13,$AA$14))))))))</f>
        <v xml:space="preserve"> </v>
      </c>
      <c r="W21" s="991"/>
      <c r="X21" s="991"/>
      <c r="Y21" s="991"/>
      <c r="Z21" s="991"/>
      <c r="AA21" s="992"/>
      <c r="AB21" s="110"/>
      <c r="AC21" s="110"/>
      <c r="AD21" s="81"/>
      <c r="AE21" s="110"/>
      <c r="AF21" s="97"/>
    </row>
    <row r="22" spans="1:34" ht="20.100000000000001" customHeight="1">
      <c r="A22" s="4"/>
      <c r="B22" s="75"/>
      <c r="C22" s="110"/>
      <c r="D22" s="108" t="s">
        <v>147</v>
      </c>
      <c r="E22" s="110"/>
      <c r="F22" s="964" t="str">
        <f>IF(F3+G3=0," ",IF($F$3+$G$3=43,IF($O$13=$O$14,"résultat",IF($O$13&lt;$O$14,$K$13,$K$14)),(IF($F$3+$G$3=42,IF($K$17=$K$18,"résultat",IF($K$17&gt;$K$18,$G$17,$G$18)),(IF($F$3+$G$3=32,IF($K$17=$K$18,"résultat",IF($K$17&gt;$K$18,$G$17,$G$18))))))))</f>
        <v xml:space="preserve"> </v>
      </c>
      <c r="G22" s="965"/>
      <c r="H22" s="965"/>
      <c r="I22" s="965"/>
      <c r="J22" s="965"/>
      <c r="K22" s="966"/>
      <c r="L22" s="110"/>
      <c r="M22" s="110"/>
      <c r="N22" s="146"/>
      <c r="O22" s="146"/>
      <c r="P22" s="97"/>
      <c r="Q22" s="133"/>
      <c r="R22" s="132"/>
      <c r="S22" s="110"/>
      <c r="T22" s="108" t="s">
        <v>147</v>
      </c>
      <c r="U22" s="81"/>
      <c r="V22" s="964" t="str">
        <f>IF(V3+W3=0," ",IF($V$3+$W$3=43,IF($AE$13=$AE$14,"résultat",IF($AE$13&lt;$AE$14,$AA$13,$AA$14)),(IF($V$3+$W$3=42,IF($AA$17=$AA$18,"résultat",IF($AA$17&gt;$AA$18,$W$17,$W$18)),(IF($V$3+$W$3=32,IF($AA$17=$AA$18,"résultat",IF($AA$17&gt;$AA$18,$W$17,$W$18))))))))</f>
        <v xml:space="preserve"> </v>
      </c>
      <c r="W22" s="965"/>
      <c r="X22" s="965"/>
      <c r="Y22" s="965"/>
      <c r="Z22" s="965"/>
      <c r="AA22" s="966"/>
      <c r="AB22" s="110"/>
      <c r="AC22" s="110"/>
      <c r="AD22" s="146"/>
      <c r="AE22" s="146"/>
      <c r="AF22" s="97"/>
    </row>
    <row r="23" spans="1:34" ht="20.100000000000001" customHeight="1" thickBot="1">
      <c r="A23" s="4"/>
      <c r="B23" s="75"/>
      <c r="C23" s="110"/>
      <c r="D23" s="109" t="s">
        <v>148</v>
      </c>
      <c r="E23" s="110"/>
      <c r="F23" s="961" t="str">
        <f>IF(F3+G3=0," ",IF($F$3+$G$3=43,IF($G$13=$G$14,"résultat",IF($G$13&gt;$G$14,$C$13,$C$14)),(IF($F$3+$G$3=42,"&amp;",(IF($F$3+$G$3=32,"&amp;"))))))</f>
        <v xml:space="preserve"> </v>
      </c>
      <c r="G23" s="962"/>
      <c r="H23" s="962"/>
      <c r="I23" s="962"/>
      <c r="J23" s="962"/>
      <c r="K23" s="963"/>
      <c r="L23" s="110"/>
      <c r="M23" s="110"/>
      <c r="N23" s="81"/>
      <c r="O23" s="81"/>
      <c r="P23" s="97"/>
      <c r="Q23" s="133"/>
      <c r="R23" s="132"/>
      <c r="S23" s="110"/>
      <c r="T23" s="109" t="s">
        <v>148</v>
      </c>
      <c r="U23" s="81"/>
      <c r="V23" s="907" t="str">
        <f>IF(V3+W3=0," ",IF($V$3+$W$3=43,IF(W13=W14,"résultat",IF(W13&gt;W14,S13,S14)),IF($V$3+$W$3=42,"&amp;",(IF($V$3+$W$3=32,"&amp;")))))</f>
        <v xml:space="preserve"> </v>
      </c>
      <c r="W23" s="908"/>
      <c r="X23" s="908"/>
      <c r="Y23" s="908"/>
      <c r="Z23" s="908"/>
      <c r="AA23" s="909"/>
      <c r="AB23" s="110"/>
      <c r="AC23" s="110"/>
      <c r="AD23" s="81"/>
      <c r="AE23" s="81"/>
      <c r="AF23" s="97"/>
    </row>
    <row r="24" spans="1:34" ht="20.100000000000001" customHeight="1" thickBot="1">
      <c r="A24" s="4"/>
      <c r="B24" s="111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4"/>
      <c r="O24" s="114"/>
      <c r="P24" s="115"/>
      <c r="Q24" s="79"/>
      <c r="R24" s="111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5"/>
      <c r="AG24" s="5"/>
      <c r="AH24" s="5"/>
    </row>
    <row r="25" spans="1:34" ht="20.100000000000001" customHeight="1" thickBot="1"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</row>
    <row r="26" spans="1:34" ht="20.100000000000001" customHeight="1" thickBot="1">
      <c r="B26" s="133"/>
      <c r="C26" s="133"/>
      <c r="D26" s="133"/>
      <c r="E26" s="133"/>
      <c r="F26" s="956" t="s">
        <v>76</v>
      </c>
      <c r="G26" s="957"/>
      <c r="H26" s="958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</row>
    <row r="28" spans="1:34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</sheetData>
  <sheetProtection formatCells="0" formatColumns="0" formatRows="0" insertColumns="0" insertRows="0" insertHyperlinks="0" deleteColumns="0" deleteRows="0" sort="0"/>
  <mergeCells count="63">
    <mergeCell ref="B8:B9"/>
    <mergeCell ref="C8:F8"/>
    <mergeCell ref="J8:J9"/>
    <mergeCell ref="K8:N8"/>
    <mergeCell ref="C9:F9"/>
    <mergeCell ref="K9:N9"/>
    <mergeCell ref="S8:V8"/>
    <mergeCell ref="Z8:Z9"/>
    <mergeCell ref="AA8:AD8"/>
    <mergeCell ref="S9:V9"/>
    <mergeCell ref="AA9:AD9"/>
    <mergeCell ref="F26:H26"/>
    <mergeCell ref="G17:J17"/>
    <mergeCell ref="W17:Z17"/>
    <mergeCell ref="G18:J18"/>
    <mergeCell ref="W18:Z18"/>
    <mergeCell ref="G20:J20"/>
    <mergeCell ref="F21:K21"/>
    <mergeCell ref="F22:K22"/>
    <mergeCell ref="F23:K23"/>
    <mergeCell ref="V21:AA21"/>
    <mergeCell ref="W20:Z20"/>
    <mergeCell ref="V22:AA22"/>
    <mergeCell ref="V23:AA23"/>
    <mergeCell ref="V17:V18"/>
    <mergeCell ref="F17:F18"/>
    <mergeCell ref="L2:P2"/>
    <mergeCell ref="N1:O1"/>
    <mergeCell ref="R13:R14"/>
    <mergeCell ref="B4:P4"/>
    <mergeCell ref="R4:AF4"/>
    <mergeCell ref="AB12:AC12"/>
    <mergeCell ref="T12:U12"/>
    <mergeCell ref="L12:M12"/>
    <mergeCell ref="AA13:AD13"/>
    <mergeCell ref="AA14:AD14"/>
    <mergeCell ref="S14:V14"/>
    <mergeCell ref="S13:V13"/>
    <mergeCell ref="K13:N13"/>
    <mergeCell ref="K14:N14"/>
    <mergeCell ref="Z13:Z14"/>
    <mergeCell ref="R8:R9"/>
    <mergeCell ref="B1:D1"/>
    <mergeCell ref="E1:G1"/>
    <mergeCell ref="B2:D2"/>
    <mergeCell ref="F2:G2"/>
    <mergeCell ref="I2:K2"/>
    <mergeCell ref="J13:J14"/>
    <mergeCell ref="B13:B14"/>
    <mergeCell ref="H16:I16"/>
    <mergeCell ref="X16:Y16"/>
    <mergeCell ref="U1:W1"/>
    <mergeCell ref="Y1:AB1"/>
    <mergeCell ref="V2:W2"/>
    <mergeCell ref="Y2:AA2"/>
    <mergeCell ref="AB2:AF2"/>
    <mergeCell ref="AD1:AE1"/>
    <mergeCell ref="C13:F13"/>
    <mergeCell ref="C14:F14"/>
    <mergeCell ref="D12:E12"/>
    <mergeCell ref="R2:T2"/>
    <mergeCell ref="R1:T1"/>
    <mergeCell ref="I1:L1"/>
  </mergeCells>
  <conditionalFormatting sqref="F21">
    <cfRule type="expression" dxfId="223" priority="293">
      <formula>$H$2=0</formula>
    </cfRule>
    <cfRule type="expression" dxfId="222" priority="294" stopIfTrue="1">
      <formula>(OR(H2="1",H2="2",H2="3"))</formula>
    </cfRule>
  </conditionalFormatting>
  <conditionalFormatting sqref="F22">
    <cfRule type="expression" dxfId="221" priority="292">
      <formula>(OR(H2="2",H2="3"))</formula>
    </cfRule>
  </conditionalFormatting>
  <conditionalFormatting sqref="F23">
    <cfRule type="expression" dxfId="220" priority="291">
      <formula>(H2="3")</formula>
    </cfRule>
  </conditionalFormatting>
  <conditionalFormatting sqref="V23 AA9:AD9">
    <cfRule type="cellIs" dxfId="219" priority="290" operator="equal">
      <formula>0</formula>
    </cfRule>
  </conditionalFormatting>
  <conditionalFormatting sqref="F21">
    <cfRule type="expression" dxfId="218" priority="233">
      <formula>$H$2=0</formula>
    </cfRule>
    <cfRule type="expression" dxfId="217" priority="234" stopIfTrue="1">
      <formula>(OR(H2="1",H2="2",H2="3"))</formula>
    </cfRule>
  </conditionalFormatting>
  <conditionalFormatting sqref="F22">
    <cfRule type="expression" dxfId="216" priority="232">
      <formula>(OR(H2="2",H2="3"))</formula>
    </cfRule>
  </conditionalFormatting>
  <conditionalFormatting sqref="F23">
    <cfRule type="cellIs" dxfId="215" priority="230" operator="equal">
      <formula>0</formula>
    </cfRule>
    <cfRule type="expression" dxfId="214" priority="231">
      <formula>(H2="3")</formula>
    </cfRule>
  </conditionalFormatting>
  <conditionalFormatting sqref="V21">
    <cfRule type="expression" dxfId="213" priority="229" stopIfTrue="1">
      <formula>(OR(X2="1",X2="2",X2="3"))</formula>
    </cfRule>
  </conditionalFormatting>
  <conditionalFormatting sqref="V22">
    <cfRule type="expression" dxfId="212" priority="227">
      <formula>(OR(X2="2",X2="3"))</formula>
    </cfRule>
  </conditionalFormatting>
  <conditionalFormatting sqref="C9:F9">
    <cfRule type="cellIs" dxfId="211" priority="141" operator="equal">
      <formula>$E$2=0</formula>
    </cfRule>
  </conditionalFormatting>
  <conditionalFormatting sqref="AA8:AD9 C8:F9">
    <cfRule type="expression" dxfId="210" priority="130">
      <formula>(OR($E$2=3,$E$2=4,$E$2=5))</formula>
    </cfRule>
  </conditionalFormatting>
  <conditionalFormatting sqref="AA9:AD9 S14:V14 C14:F14">
    <cfRule type="containsText" dxfId="209" priority="10" operator="containsText" text="OFFICE">
      <formula>NOT(ISERROR(SEARCH("OFFICE",C9)))</formula>
    </cfRule>
  </conditionalFormatting>
  <conditionalFormatting sqref="K9:N9">
    <cfRule type="containsText" dxfId="208" priority="7" operator="containsText" text="OFFICE">
      <formula>NOT(ISERROR(SEARCH("OFFICE",K9)))</formula>
    </cfRule>
    <cfRule type="containsText" dxfId="207" priority="8" operator="containsText" text="PFFICE">
      <formula>NOT(ISERROR(SEARCH("PFFICE",K9)))</formula>
    </cfRule>
  </conditionalFormatting>
  <conditionalFormatting sqref="V21:AA22">
    <cfRule type="expression" dxfId="206" priority="2">
      <formula>$X$2=2</formula>
    </cfRule>
    <cfRule type="expression" dxfId="205" priority="5">
      <formula>$X$2=3</formula>
    </cfRule>
  </conditionalFormatting>
  <conditionalFormatting sqref="V23">
    <cfRule type="expression" dxfId="204" priority="3">
      <formula>$X$2=3</formula>
    </cfRule>
  </conditionalFormatting>
  <pageMargins left="0.27559055118110237" right="0.23622047244094491" top="0.31496062992125984" bottom="0.43307086614173229" header="0.15748031496062992" footer="0.23622047244094491"/>
  <pageSetup paperSize="9" orientation="landscape" horizontalDpi="4294967292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tabColor rgb="FFFFFF00"/>
    <pageSetUpPr fitToPage="1"/>
  </sheetPr>
  <dimension ref="A1:AI26"/>
  <sheetViews>
    <sheetView zoomScale="80" zoomScaleNormal="80" workbookViewId="0">
      <selection activeCell="M30" sqref="M30"/>
    </sheetView>
  </sheetViews>
  <sheetFormatPr baseColWidth="10" defaultRowHeight="15"/>
  <cols>
    <col min="1" max="1" width="4" style="7" customWidth="1"/>
    <col min="2" max="3" width="6.5703125" style="7" customWidth="1"/>
    <col min="4" max="5" width="8.7109375" style="7" customWidth="1"/>
    <col min="6" max="6" width="6.7109375" style="7" customWidth="1"/>
    <col min="7" max="7" width="7" style="7" customWidth="1"/>
    <col min="8" max="8" width="8.7109375" style="7" customWidth="1"/>
    <col min="9" max="9" width="6.7109375" style="7" customWidth="1"/>
    <col min="10" max="10" width="6.85546875" style="7" customWidth="1"/>
    <col min="11" max="13" width="8.7109375" style="7" customWidth="1"/>
    <col min="14" max="14" width="6.85546875" style="7" customWidth="1"/>
    <col min="15" max="15" width="7.28515625" style="7" customWidth="1"/>
    <col min="16" max="16" width="6.7109375" style="7" customWidth="1"/>
    <col min="17" max="17" width="4.7109375" style="7" customWidth="1"/>
    <col min="18" max="18" width="6.85546875" style="7" customWidth="1"/>
    <col min="19" max="19" width="6.7109375" style="7" customWidth="1"/>
    <col min="20" max="21" width="8.7109375" style="7" customWidth="1"/>
    <col min="22" max="22" width="6.7109375" style="7" customWidth="1"/>
    <col min="23" max="23" width="6.5703125" style="7" customWidth="1"/>
    <col min="24" max="24" width="8.7109375" style="7" customWidth="1"/>
    <col min="25" max="26" width="6.7109375" style="7" customWidth="1"/>
    <col min="27" max="29" width="8.7109375" style="7" customWidth="1"/>
    <col min="30" max="30" width="6.85546875" style="7" customWidth="1"/>
    <col min="31" max="31" width="7.140625" style="7" customWidth="1"/>
    <col min="32" max="32" width="6.85546875" style="7" customWidth="1"/>
    <col min="33" max="33" width="7.140625" style="7" hidden="1" customWidth="1"/>
    <col min="34" max="34" width="6.28515625" style="7" hidden="1" customWidth="1"/>
    <col min="35" max="16384" width="11.42578125" style="7"/>
  </cols>
  <sheetData>
    <row r="1" spans="1:35" s="50" customFormat="1" ht="29.25" customHeight="1" thickBot="1">
      <c r="B1" s="1001" t="s">
        <v>150</v>
      </c>
      <c r="C1" s="1000"/>
      <c r="D1" s="1000"/>
      <c r="E1" s="752">
        <f>Données!J1</f>
        <v>0</v>
      </c>
      <c r="F1" s="752"/>
      <c r="G1" s="752"/>
      <c r="H1" s="153" t="str">
        <f>Données!$D$3</f>
        <v>F_U18</v>
      </c>
      <c r="I1" s="1000">
        <f>Données!$J$3</f>
        <v>0</v>
      </c>
      <c r="J1" s="1000"/>
      <c r="K1" s="1000"/>
      <c r="L1" s="1000"/>
      <c r="M1" s="154" t="str">
        <f>Données!$E$5</f>
        <v>Simple</v>
      </c>
      <c r="N1" s="750" t="s">
        <v>149</v>
      </c>
      <c r="O1" s="751"/>
      <c r="P1" s="17">
        <f>Données!$L13</f>
        <v>0</v>
      </c>
      <c r="R1" s="1001" t="s">
        <v>150</v>
      </c>
      <c r="S1" s="1000"/>
      <c r="T1" s="1000"/>
      <c r="U1" s="752">
        <f>Données!J1</f>
        <v>0</v>
      </c>
      <c r="V1" s="752"/>
      <c r="W1" s="752"/>
      <c r="X1" s="153" t="str">
        <f>Données!$D$3</f>
        <v>F_U18</v>
      </c>
      <c r="Y1" s="752">
        <f>Données!$J$3</f>
        <v>0</v>
      </c>
      <c r="Z1" s="752"/>
      <c r="AA1" s="752"/>
      <c r="AB1" s="752"/>
      <c r="AC1" s="154" t="str">
        <f>Données!$E$5</f>
        <v>Simple</v>
      </c>
      <c r="AD1" s="750" t="s">
        <v>149</v>
      </c>
      <c r="AE1" s="751"/>
      <c r="AF1" s="17">
        <f>Données!$L13</f>
        <v>0</v>
      </c>
      <c r="AG1" s="67"/>
    </row>
    <row r="2" spans="1:35" ht="21.75" customHeight="1" thickBot="1">
      <c r="B2" s="959" t="s">
        <v>26</v>
      </c>
      <c r="C2" s="969"/>
      <c r="D2" s="969"/>
      <c r="E2" s="8">
        <f>Données!O18</f>
        <v>0</v>
      </c>
      <c r="F2" s="931" t="s">
        <v>14</v>
      </c>
      <c r="G2" s="931"/>
      <c r="H2" s="9">
        <f>Données!O19</f>
        <v>0</v>
      </c>
      <c r="I2" s="977" t="s">
        <v>15</v>
      </c>
      <c r="J2" s="978"/>
      <c r="K2" s="978"/>
      <c r="L2" s="934">
        <f ca="1">TODAY()</f>
        <v>44217</v>
      </c>
      <c r="M2" s="935"/>
      <c r="N2" s="935"/>
      <c r="O2" s="935"/>
      <c r="P2" s="936"/>
      <c r="R2" s="959" t="s">
        <v>27</v>
      </c>
      <c r="S2" s="969"/>
      <c r="T2" s="969"/>
      <c r="U2" s="8">
        <f>Données!P18</f>
        <v>0</v>
      </c>
      <c r="V2" s="931" t="s">
        <v>14</v>
      </c>
      <c r="W2" s="931"/>
      <c r="X2" s="9">
        <f>Données!P19</f>
        <v>0</v>
      </c>
      <c r="Y2" s="977" t="s">
        <v>15</v>
      </c>
      <c r="Z2" s="978"/>
      <c r="AA2" s="978"/>
      <c r="AB2" s="934">
        <f ca="1">TODAY()</f>
        <v>44217</v>
      </c>
      <c r="AC2" s="935"/>
      <c r="AD2" s="935"/>
      <c r="AE2" s="935"/>
      <c r="AF2" s="936"/>
      <c r="AG2" s="6"/>
    </row>
    <row r="3" spans="1:35" ht="19.5" customHeight="1" thickBot="1">
      <c r="B3" s="193">
        <f>+Données!$J$11</f>
        <v>0</v>
      </c>
      <c r="C3" s="157"/>
      <c r="D3" s="157"/>
      <c r="E3" s="157"/>
      <c r="F3" s="181" t="str">
        <f>CONCATENATE(E2,H2)</f>
        <v>00</v>
      </c>
      <c r="G3" s="157"/>
      <c r="H3" s="157"/>
      <c r="I3" s="157"/>
      <c r="J3" s="157"/>
      <c r="K3" s="157"/>
      <c r="L3" s="157"/>
      <c r="M3" s="157"/>
      <c r="N3" s="157"/>
      <c r="O3" s="157"/>
      <c r="P3" s="158"/>
      <c r="R3" s="194">
        <f>+Données!$J$11</f>
        <v>0</v>
      </c>
      <c r="S3" s="38"/>
      <c r="T3" s="38"/>
      <c r="U3" s="73"/>
      <c r="V3" s="181" t="str">
        <f>CONCATENATE(U2,X2)</f>
        <v>00</v>
      </c>
      <c r="W3" s="38"/>
      <c r="X3" s="38"/>
      <c r="Y3" s="38"/>
      <c r="Z3" s="38"/>
      <c r="AA3" s="38"/>
      <c r="AB3" s="38"/>
      <c r="AC3" s="38"/>
      <c r="AD3" s="38"/>
      <c r="AE3" s="38"/>
      <c r="AF3" s="43"/>
      <c r="AG3" s="6"/>
      <c r="AH3" s="6"/>
    </row>
    <row r="4" spans="1:35" s="50" customFormat="1" ht="20.100000000000001" customHeight="1" thickBot="1">
      <c r="B4" s="949" t="s">
        <v>167</v>
      </c>
      <c r="C4" s="950"/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0"/>
      <c r="O4" s="950"/>
      <c r="P4" s="951"/>
      <c r="Q4" s="82"/>
      <c r="R4" s="940" t="s">
        <v>167</v>
      </c>
      <c r="S4" s="941"/>
      <c r="T4" s="941"/>
      <c r="U4" s="941"/>
      <c r="V4" s="941"/>
      <c r="W4" s="941"/>
      <c r="X4" s="941"/>
      <c r="Y4" s="941"/>
      <c r="Z4" s="941"/>
      <c r="AA4" s="941"/>
      <c r="AB4" s="941"/>
      <c r="AC4" s="941"/>
      <c r="AD4" s="941"/>
      <c r="AE4" s="941"/>
      <c r="AF4" s="942"/>
      <c r="AG4" s="67"/>
    </row>
    <row r="5" spans="1:35" ht="20.100000000000001" customHeight="1">
      <c r="B5" s="42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71"/>
      <c r="R5" s="156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159"/>
      <c r="AG5" s="6"/>
      <c r="AH5" s="6"/>
    </row>
    <row r="6" spans="1:35" ht="20.100000000000001" customHeight="1" thickBot="1">
      <c r="B6" s="42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3"/>
      <c r="R6" s="42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60"/>
      <c r="AF6" s="62"/>
      <c r="AG6" s="6"/>
    </row>
    <row r="7" spans="1:35" ht="20.100000000000001" customHeight="1" thickBot="1">
      <c r="B7" s="15" t="s">
        <v>1</v>
      </c>
      <c r="C7" s="44" t="s">
        <v>10</v>
      </c>
      <c r="D7" s="73"/>
      <c r="E7" s="39"/>
      <c r="F7" s="39"/>
      <c r="G7" s="38" t="s">
        <v>0</v>
      </c>
      <c r="H7" s="38"/>
      <c r="I7" s="38"/>
      <c r="J7" s="38" t="s">
        <v>1</v>
      </c>
      <c r="K7" s="44" t="str">
        <f>IF(E2=2,"","C")</f>
        <v>C</v>
      </c>
      <c r="L7" s="73"/>
      <c r="M7" s="39"/>
      <c r="N7" s="39"/>
      <c r="O7" s="38" t="s">
        <v>0</v>
      </c>
      <c r="P7" s="43"/>
      <c r="Q7" s="14"/>
      <c r="R7" s="15" t="s">
        <v>1</v>
      </c>
      <c r="S7" s="44" t="s">
        <v>10</v>
      </c>
      <c r="T7" s="73"/>
      <c r="U7" s="39"/>
      <c r="V7" s="39"/>
      <c r="W7" s="38" t="s">
        <v>0</v>
      </c>
      <c r="X7" s="38"/>
      <c r="Y7" s="38"/>
      <c r="Z7" s="38" t="s">
        <v>1</v>
      </c>
      <c r="AA7" s="44" t="str">
        <f>IF(U2=2,"","C")</f>
        <v>C</v>
      </c>
      <c r="AB7" s="73"/>
      <c r="AC7" s="39"/>
      <c r="AD7" s="39"/>
      <c r="AE7" s="38" t="s">
        <v>0</v>
      </c>
      <c r="AF7" s="43"/>
      <c r="AG7" s="14"/>
      <c r="AH7" s="6"/>
      <c r="AI7" s="6"/>
    </row>
    <row r="8" spans="1:35" ht="20.100000000000001" customHeight="1" thickBot="1">
      <c r="A8" s="40">
        <v>41</v>
      </c>
      <c r="B8" s="1002">
        <v>21</v>
      </c>
      <c r="C8" s="1004">
        <f>+Données!AG46</f>
        <v>0</v>
      </c>
      <c r="D8" s="1005"/>
      <c r="E8" s="1005"/>
      <c r="F8" s="1006"/>
      <c r="G8" s="13">
        <v>4</v>
      </c>
      <c r="H8" s="38"/>
      <c r="I8" s="41">
        <v>43</v>
      </c>
      <c r="J8" s="1002">
        <v>22</v>
      </c>
      <c r="K8" s="1010">
        <f>+Données!AG48</f>
        <v>0</v>
      </c>
      <c r="L8" s="1011"/>
      <c r="M8" s="1011"/>
      <c r="N8" s="1012"/>
      <c r="O8" s="13">
        <v>1</v>
      </c>
      <c r="P8" s="43"/>
      <c r="Q8" s="14"/>
      <c r="R8" s="1002">
        <v>23</v>
      </c>
      <c r="S8" s="1007">
        <f>+Données!AG50</f>
        <v>0</v>
      </c>
      <c r="T8" s="1008"/>
      <c r="U8" s="1008"/>
      <c r="V8" s="1009"/>
      <c r="W8" s="135">
        <v>1</v>
      </c>
      <c r="X8" s="56"/>
      <c r="Y8" s="136">
        <v>47</v>
      </c>
      <c r="Z8" s="1002">
        <v>24</v>
      </c>
      <c r="AA8" s="1007">
        <f>+Données!AG52</f>
        <v>0</v>
      </c>
      <c r="AB8" s="1008"/>
      <c r="AC8" s="1008"/>
      <c r="AD8" s="1009"/>
      <c r="AE8" s="135">
        <v>1</v>
      </c>
      <c r="AF8" s="43"/>
      <c r="AG8" s="14"/>
      <c r="AH8" s="6"/>
      <c r="AI8" s="6"/>
    </row>
    <row r="9" spans="1:35" ht="20.100000000000001" customHeight="1" thickBot="1">
      <c r="A9" s="40">
        <v>42</v>
      </c>
      <c r="B9" s="1003"/>
      <c r="C9" s="1013">
        <f>+Données!AG47</f>
        <v>0</v>
      </c>
      <c r="D9" s="1014"/>
      <c r="E9" s="1014"/>
      <c r="F9" s="1015"/>
      <c r="G9" s="68">
        <v>0</v>
      </c>
      <c r="H9" s="38"/>
      <c r="I9" s="41">
        <v>44</v>
      </c>
      <c r="J9" s="1003"/>
      <c r="K9" s="1013">
        <f>IF(OR(AND(B3&gt;170,B3&lt;250))," ",Données!AG49)</f>
        <v>0</v>
      </c>
      <c r="L9" s="1014"/>
      <c r="M9" s="1014"/>
      <c r="N9" s="1015"/>
      <c r="O9" s="13">
        <v>0</v>
      </c>
      <c r="P9" s="43"/>
      <c r="Q9" s="14"/>
      <c r="R9" s="1003"/>
      <c r="S9" s="1010">
        <f>+Données!AG51</f>
        <v>0</v>
      </c>
      <c r="T9" s="1011"/>
      <c r="U9" s="1011"/>
      <c r="V9" s="1012"/>
      <c r="W9" s="139">
        <v>0</v>
      </c>
      <c r="X9" s="56"/>
      <c r="Y9" s="136">
        <v>48</v>
      </c>
      <c r="Z9" s="1003"/>
      <c r="AA9" s="1010">
        <f>IF(OR(AND(B3&gt;170,B3&lt;250))," ",Données!AG53)</f>
        <v>0</v>
      </c>
      <c r="AB9" s="1011"/>
      <c r="AC9" s="1011"/>
      <c r="AD9" s="1012"/>
      <c r="AE9" s="135">
        <v>0</v>
      </c>
      <c r="AF9" s="43"/>
      <c r="AG9" s="14"/>
      <c r="AH9" s="6"/>
      <c r="AI9" s="6"/>
    </row>
    <row r="10" spans="1:35" ht="20.100000000000001" customHeight="1" thickBot="1">
      <c r="B10" s="42"/>
      <c r="C10" s="18" t="s">
        <v>11</v>
      </c>
      <c r="D10" s="72"/>
      <c r="E10" s="10"/>
      <c r="F10" s="10"/>
      <c r="G10" s="39"/>
      <c r="H10" s="39"/>
      <c r="I10" s="39"/>
      <c r="J10" s="39"/>
      <c r="K10" s="12" t="s">
        <v>48</v>
      </c>
      <c r="L10" s="72"/>
      <c r="M10" s="10"/>
      <c r="N10" s="10"/>
      <c r="O10" s="39"/>
      <c r="P10" s="45"/>
      <c r="Q10" s="14"/>
      <c r="R10" s="42"/>
      <c r="S10" s="18" t="s">
        <v>11</v>
      </c>
      <c r="T10" s="72"/>
      <c r="U10" s="10"/>
      <c r="V10" s="10"/>
      <c r="W10" s="39"/>
      <c r="X10" s="39"/>
      <c r="Y10" s="39"/>
      <c r="Z10" s="39"/>
      <c r="AA10" s="12" t="s">
        <v>48</v>
      </c>
      <c r="AB10" s="72"/>
      <c r="AC10" s="10"/>
      <c r="AD10" s="10"/>
      <c r="AE10" s="39"/>
      <c r="AF10" s="45"/>
      <c r="AG10" s="45"/>
      <c r="AH10" s="6"/>
      <c r="AI10" s="6"/>
    </row>
    <row r="11" spans="1:35" ht="20.100000000000001" customHeight="1">
      <c r="B11" s="42"/>
      <c r="C11" s="10"/>
      <c r="D11" s="10"/>
      <c r="E11" s="10"/>
      <c r="F11" s="10"/>
      <c r="G11" s="39"/>
      <c r="H11" s="39"/>
      <c r="I11" s="39"/>
      <c r="J11" s="39"/>
      <c r="K11" s="10"/>
      <c r="L11" s="10"/>
      <c r="M11" s="10"/>
      <c r="N11" s="10"/>
      <c r="O11" s="39"/>
      <c r="P11" s="45"/>
      <c r="Q11" s="39"/>
      <c r="R11" s="42"/>
      <c r="S11" s="11"/>
      <c r="T11" s="11"/>
      <c r="U11" s="11"/>
      <c r="V11" s="11"/>
      <c r="W11" s="39"/>
      <c r="X11" s="39"/>
      <c r="Y11" s="39"/>
      <c r="Z11" s="39"/>
      <c r="AA11" s="10"/>
      <c r="AB11" s="10"/>
      <c r="AC11" s="10"/>
      <c r="AD11" s="10"/>
      <c r="AE11" s="39"/>
      <c r="AF11" s="45"/>
      <c r="AG11" s="45"/>
      <c r="AH11" s="6"/>
      <c r="AI11" s="6"/>
    </row>
    <row r="12" spans="1:35" ht="20.100000000000001" customHeight="1" thickBot="1">
      <c r="B12" s="15" t="s">
        <v>1</v>
      </c>
      <c r="C12" s="10"/>
      <c r="D12" s="999" t="s">
        <v>75</v>
      </c>
      <c r="E12" s="999"/>
      <c r="F12" s="10"/>
      <c r="G12" s="38" t="s">
        <v>0</v>
      </c>
      <c r="H12" s="38"/>
      <c r="I12" s="38"/>
      <c r="J12" s="38" t="s">
        <v>1</v>
      </c>
      <c r="K12" s="10"/>
      <c r="L12" s="985" t="s">
        <v>74</v>
      </c>
      <c r="M12" s="985"/>
      <c r="N12" s="10"/>
      <c r="O12" s="38" t="s">
        <v>0</v>
      </c>
      <c r="P12" s="43"/>
      <c r="Q12" s="38"/>
      <c r="R12" s="15" t="s">
        <v>1</v>
      </c>
      <c r="S12" s="11"/>
      <c r="T12" s="999" t="s">
        <v>75</v>
      </c>
      <c r="U12" s="999"/>
      <c r="V12" s="11"/>
      <c r="W12" s="38" t="s">
        <v>0</v>
      </c>
      <c r="X12" s="38"/>
      <c r="Y12" s="38"/>
      <c r="Z12" s="38" t="s">
        <v>1</v>
      </c>
      <c r="AA12" s="10"/>
      <c r="AB12" s="985" t="s">
        <v>74</v>
      </c>
      <c r="AC12" s="985"/>
      <c r="AD12" s="10"/>
      <c r="AE12" s="43" t="s">
        <v>0</v>
      </c>
      <c r="AF12" s="45"/>
    </row>
    <row r="13" spans="1:35" ht="20.100000000000001" customHeight="1" thickBot="1">
      <c r="B13" s="1016">
        <v>24</v>
      </c>
      <c r="C13" s="1004">
        <f>IF($G$8=$G$9,"résultat",IF($G$8&gt;$G$9,$C$9,$C$8))</f>
        <v>0</v>
      </c>
      <c r="D13" s="1042"/>
      <c r="E13" s="1042"/>
      <c r="F13" s="1043"/>
      <c r="G13" s="13">
        <v>1</v>
      </c>
      <c r="H13" s="38"/>
      <c r="I13" s="38"/>
      <c r="J13" s="1044">
        <v>25</v>
      </c>
      <c r="K13" s="1004">
        <f>IF($O$8=$O$9,"résultat",IF($O$8&gt;$O$9,$K$8,$K$9))</f>
        <v>0</v>
      </c>
      <c r="L13" s="1005"/>
      <c r="M13" s="1005"/>
      <c r="N13" s="1006"/>
      <c r="O13" s="13">
        <v>0</v>
      </c>
      <c r="P13" s="43"/>
      <c r="Q13" s="38"/>
      <c r="R13" s="1044">
        <v>26</v>
      </c>
      <c r="S13" s="1041">
        <f>IF($W$8=$W$9,"résultat",IF($W$8&gt;$W$9,$S$9,$S$8))</f>
        <v>0</v>
      </c>
      <c r="T13" s="1042"/>
      <c r="U13" s="1042"/>
      <c r="V13" s="1043"/>
      <c r="W13" s="13">
        <v>1</v>
      </c>
      <c r="X13" s="38"/>
      <c r="Y13" s="38"/>
      <c r="Z13" s="1044">
        <v>27</v>
      </c>
      <c r="AA13" s="1004">
        <f>IF(AE8=AE9,"résultat",IF($AE$8&gt;$AE$9,$AA$8,$AA$9))</f>
        <v>0</v>
      </c>
      <c r="AB13" s="1005"/>
      <c r="AC13" s="1005"/>
      <c r="AD13" s="1006"/>
      <c r="AE13" s="13">
        <v>1</v>
      </c>
      <c r="AF13" s="61"/>
      <c r="AG13" s="14"/>
    </row>
    <row r="14" spans="1:35" ht="20.100000000000001" customHeight="1" thickBot="1">
      <c r="B14" s="1017"/>
      <c r="C14" s="1038">
        <f>IF($O$8=$O$9,"résultat",IF($O$8&lt;$O$9,$K$8,$K$9))</f>
        <v>0</v>
      </c>
      <c r="D14" s="1039"/>
      <c r="E14" s="1039"/>
      <c r="F14" s="1040"/>
      <c r="G14" s="16">
        <v>0</v>
      </c>
      <c r="H14" s="73"/>
      <c r="I14" s="38"/>
      <c r="J14" s="1045"/>
      <c r="K14" s="1038">
        <f>IF(G8=G9,"résultat",IF($G$8&gt;$G$9,$C$8,$C$9))</f>
        <v>0</v>
      </c>
      <c r="L14" s="1039"/>
      <c r="M14" s="1039"/>
      <c r="N14" s="1040"/>
      <c r="O14" s="68">
        <v>1</v>
      </c>
      <c r="P14" s="43"/>
      <c r="Q14" s="38"/>
      <c r="R14" s="1045"/>
      <c r="S14" s="1038">
        <f>IF($AE$8=$AE$9,"résultat",IF($AE$8&lt;$AE$9,$AA$8,$AA$9))</f>
        <v>0</v>
      </c>
      <c r="T14" s="1039"/>
      <c r="U14" s="1039"/>
      <c r="V14" s="1040"/>
      <c r="W14" s="13">
        <v>0</v>
      </c>
      <c r="X14" s="38"/>
      <c r="Y14" s="38"/>
      <c r="Z14" s="1045"/>
      <c r="AA14" s="1038">
        <f>IF(W8=W9,"résultat",IF($W$8&gt;$W$9,S8,S9))</f>
        <v>0</v>
      </c>
      <c r="AB14" s="1039"/>
      <c r="AC14" s="1039"/>
      <c r="AD14" s="1040"/>
      <c r="AE14" s="68">
        <v>2</v>
      </c>
      <c r="AF14" s="61"/>
      <c r="AG14" s="14"/>
    </row>
    <row r="15" spans="1:35" ht="20.100000000000001" customHeight="1">
      <c r="B15" s="42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45"/>
      <c r="R15" s="42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45"/>
      <c r="AG15" s="6"/>
      <c r="AH15" s="6"/>
    </row>
    <row r="16" spans="1:35" ht="20.100000000000001" customHeight="1" thickBot="1">
      <c r="B16" s="42"/>
      <c r="C16" s="39"/>
      <c r="D16" s="39"/>
      <c r="E16" s="39"/>
      <c r="F16" s="38" t="s">
        <v>1</v>
      </c>
      <c r="G16" s="39"/>
      <c r="H16" s="988" t="s">
        <v>170</v>
      </c>
      <c r="I16" s="988"/>
      <c r="J16" s="39"/>
      <c r="K16" s="38" t="s">
        <v>0</v>
      </c>
      <c r="L16" s="38"/>
      <c r="M16" s="60"/>
      <c r="N16" s="60"/>
      <c r="O16" s="60"/>
      <c r="P16" s="61"/>
      <c r="Q16" s="39"/>
      <c r="R16" s="42"/>
      <c r="S16" s="39"/>
      <c r="T16" s="39"/>
      <c r="U16" s="39"/>
      <c r="V16" s="38" t="s">
        <v>1</v>
      </c>
      <c r="W16" s="39"/>
      <c r="X16" s="988" t="s">
        <v>170</v>
      </c>
      <c r="Y16" s="988"/>
      <c r="Z16" s="39"/>
      <c r="AA16" s="38" t="s">
        <v>0</v>
      </c>
      <c r="AB16" s="38"/>
      <c r="AC16" s="47"/>
      <c r="AD16" s="39"/>
      <c r="AE16" s="39"/>
      <c r="AF16" s="45"/>
    </row>
    <row r="17" spans="2:34" ht="20.100000000000001" customHeight="1" thickBot="1">
      <c r="B17" s="42"/>
      <c r="C17" s="39"/>
      <c r="D17" s="39"/>
      <c r="E17" s="38"/>
      <c r="F17" s="1016">
        <v>23</v>
      </c>
      <c r="G17" s="1007" t="str">
        <f>IF(F3+G3=0," ",IF($F$3+$G$3=43," ",(IF($F$3+$G$3=42,IF($O$13=$O$14,"résultat",IF($O$13&lt;$O$14,$K$13,$K$14)),IF($F$3+$G$3=32,IF($O$13=$O$14,"résultat",IF($O$13&lt;$O$14,$K$13,$K$14)))))))</f>
        <v xml:space="preserve"> </v>
      </c>
      <c r="H17" s="1021"/>
      <c r="I17" s="1021"/>
      <c r="J17" s="1022"/>
      <c r="K17" s="13">
        <v>1</v>
      </c>
      <c r="L17" s="38"/>
      <c r="M17" s="60"/>
      <c r="N17" s="60"/>
      <c r="O17" s="60"/>
      <c r="P17" s="61"/>
      <c r="Q17" s="39"/>
      <c r="R17" s="42"/>
      <c r="S17" s="39"/>
      <c r="T17" s="39"/>
      <c r="U17" s="38"/>
      <c r="V17" s="1016">
        <v>25</v>
      </c>
      <c r="W17" s="1007" t="str">
        <f>IF($V$3+$W$3=0," ",IF($V$3+$W$3=43,IF(0&lt;0,0,0),(IF($V$3+$W$3=42,IF($AE$13=$AE$14,"résultat",IF($AE$13&lt;$AE$14,$AA$13,$AA$14)),IF($V$3+$W$3=32,IF($AE$13=$AE$14,"résultat",IF($AE$13&lt;$AE$14,$AA$13,$AA$14)))))))</f>
        <v xml:space="preserve"> </v>
      </c>
      <c r="X17" s="1021"/>
      <c r="Y17" s="1021"/>
      <c r="Z17" s="1022"/>
      <c r="AA17" s="13">
        <v>1</v>
      </c>
      <c r="AB17" s="38"/>
      <c r="AC17" s="39"/>
      <c r="AD17" s="39"/>
      <c r="AE17" s="39"/>
      <c r="AF17" s="45"/>
    </row>
    <row r="18" spans="2:34" ht="20.100000000000001" customHeight="1" thickBot="1">
      <c r="B18" s="42"/>
      <c r="C18" s="39"/>
      <c r="D18" s="39"/>
      <c r="E18" s="39"/>
      <c r="F18" s="1017"/>
      <c r="G18" s="1023" t="str">
        <f>IF(F3+G3=0," ",IF($F$3+$G$3=43," ",IF(F3+G3=42,IF($G$13=$G$14,"résultat",IF($G$13&gt;$G$14,$C$13,$C$14)),(IF($F$3+$G$3=32,IF($G$13=$G$14,"résultat",IF($G$13&gt;$G$14,$C$13,$C$14)))))))</f>
        <v xml:space="preserve"> </v>
      </c>
      <c r="H18" s="1024"/>
      <c r="I18" s="1024"/>
      <c r="J18" s="1025"/>
      <c r="K18" s="13">
        <v>0</v>
      </c>
      <c r="L18" s="38"/>
      <c r="M18" s="60"/>
      <c r="N18" s="60"/>
      <c r="O18" s="60"/>
      <c r="P18" s="61"/>
      <c r="Q18" s="39"/>
      <c r="R18" s="42"/>
      <c r="S18" s="39"/>
      <c r="T18" s="39"/>
      <c r="U18" s="39"/>
      <c r="V18" s="1017"/>
      <c r="W18" s="1023" t="str">
        <f>IF($V$3+$W$3=0," ",IF($V$3+$W$3=43,IF(0&gt;0,0,0),(IF($V$3+$W$3=42,IF(W13=W14,"résultat",IF($W$13&gt;$W$14,$S$13,$S$14)),(IF($V$3+$W$3=32,IF(W13=W14,"résultat",IF($W$13&gt;$W$14,$S$13,$S$14))))))))</f>
        <v xml:space="preserve"> </v>
      </c>
      <c r="X18" s="1024"/>
      <c r="Y18" s="1024"/>
      <c r="Z18" s="1025"/>
      <c r="AA18" s="13">
        <v>0</v>
      </c>
      <c r="AB18" s="38"/>
      <c r="AC18" s="39"/>
      <c r="AD18" s="39"/>
      <c r="AE18" s="39"/>
      <c r="AF18" s="45"/>
    </row>
    <row r="19" spans="2:34" ht="29.25" customHeight="1" thickBot="1">
      <c r="B19" s="42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60"/>
      <c r="N19" s="60"/>
      <c r="O19" s="60"/>
      <c r="P19" s="61"/>
      <c r="R19" s="42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45"/>
      <c r="AG19" s="6"/>
      <c r="AH19" s="6"/>
    </row>
    <row r="20" spans="2:34" ht="20.100000000000001" customHeight="1" thickBot="1">
      <c r="B20" s="42"/>
      <c r="C20" s="39"/>
      <c r="D20" s="60"/>
      <c r="E20" s="60"/>
      <c r="F20" s="39"/>
      <c r="G20" s="1026" t="s">
        <v>73</v>
      </c>
      <c r="H20" s="1027"/>
      <c r="I20" s="1027"/>
      <c r="J20" s="1028"/>
      <c r="K20" s="39"/>
      <c r="L20" s="60"/>
      <c r="M20" s="60"/>
      <c r="N20" s="60"/>
      <c r="O20" s="60"/>
      <c r="P20" s="61"/>
      <c r="Q20" s="39"/>
      <c r="R20" s="42"/>
      <c r="S20" s="39"/>
      <c r="T20" s="39"/>
      <c r="U20" s="39"/>
      <c r="V20" s="39"/>
      <c r="W20" s="1026" t="s">
        <v>73</v>
      </c>
      <c r="X20" s="1027"/>
      <c r="Y20" s="1027"/>
      <c r="Z20" s="1028"/>
      <c r="AA20" s="39"/>
      <c r="AB20" s="60"/>
      <c r="AC20" s="46"/>
      <c r="AD20" s="39"/>
      <c r="AE20" s="39"/>
      <c r="AF20" s="45"/>
    </row>
    <row r="21" spans="2:34" ht="20.100000000000001" customHeight="1">
      <c r="B21" s="42"/>
      <c r="C21" s="39"/>
      <c r="D21" s="105" t="s">
        <v>146</v>
      </c>
      <c r="E21" s="60"/>
      <c r="F21" s="1007" t="str">
        <f>IF(F3+G3=0," ",IF($F$3+$G$3=43,IF($O$13=$O$14,"résultat",IF($O$13&gt;$O$14,$K$13,$K$14)),(IF($F$3+$G$3=42,IF($O$13=$O$14,"résultat",IF($O$13&gt;$O$14,$K$13,$K$14)),(IF($F$3+$G$3=32,IF($O$13=$O$14,"résultat",IF($O$13&gt;$O$14,$K$13,$K$14))))))))</f>
        <v xml:space="preserve"> </v>
      </c>
      <c r="G21" s="1008"/>
      <c r="H21" s="1008"/>
      <c r="I21" s="1008"/>
      <c r="J21" s="1008"/>
      <c r="K21" s="1009"/>
      <c r="L21" s="60"/>
      <c r="M21" s="60"/>
      <c r="N21" s="60"/>
      <c r="O21" s="60"/>
      <c r="P21" s="61"/>
      <c r="R21" s="28"/>
      <c r="S21" s="60"/>
      <c r="T21" s="105" t="s">
        <v>146</v>
      </c>
      <c r="U21" s="39"/>
      <c r="V21" s="1007" t="str">
        <f>IF(V3+W3=0," ",IF($V$3+$W$3=43,IF($AE$13=$AE$14,"résultat",IF($AE$13&gt;$AE$14,$AA$13,$AA$14)),(IF($V$3+$W$3=42,IF($AE$13=$AE$14,"résultat",IF($AE$13&gt;$AE$14,$AA$13,$AA$14)),(IF($V$3+$W$3=32,IF($AE$13=$AE$14,"résultat",IF($AE$13&gt;$AE$14,$AA$13,$AA$14))))))))</f>
        <v xml:space="preserve"> </v>
      </c>
      <c r="W21" s="1008"/>
      <c r="X21" s="1008"/>
      <c r="Y21" s="1008"/>
      <c r="Z21" s="1008"/>
      <c r="AA21" s="1009"/>
      <c r="AB21" s="60"/>
      <c r="AC21" s="39"/>
      <c r="AD21" s="39"/>
      <c r="AE21" s="39"/>
      <c r="AF21" s="45"/>
    </row>
    <row r="22" spans="2:34" ht="20.100000000000001" customHeight="1">
      <c r="B22" s="42"/>
      <c r="C22" s="39"/>
      <c r="D22" s="108" t="s">
        <v>147</v>
      </c>
      <c r="E22" s="60"/>
      <c r="F22" s="1032" t="str">
        <f>IF(F3+G3=0," ",IF($F$3+$G$3=43,IF($O$13=$O$14,"résultat",IF($O$13&lt;$O$14,$K$13,$K$14)),(IF($F$3+$G$3=42,IF($K$17=$K$18,"résultat",IF($K$17&gt;$K$18,$G$17,$G$18)),(IF($F$3+$G$3=32,IF($K$17=$K$18,"résultat",IF($K$17&gt;$K$18,$G$17,$G$18))))))))</f>
        <v xml:space="preserve"> </v>
      </c>
      <c r="G22" s="1033"/>
      <c r="H22" s="1033"/>
      <c r="I22" s="1033"/>
      <c r="J22" s="1033"/>
      <c r="K22" s="1034"/>
      <c r="L22" s="60"/>
      <c r="M22" s="60"/>
      <c r="N22" s="60"/>
      <c r="O22" s="60"/>
      <c r="P22" s="61"/>
      <c r="R22" s="28"/>
      <c r="S22" s="60"/>
      <c r="T22" s="108" t="s">
        <v>147</v>
      </c>
      <c r="U22" s="39"/>
      <c r="V22" s="1032" t="str">
        <f>IF(V3+W3=0," ",IF($V$3+$W$3=43,IF($AE$13=$AE$14,"résultat",IF($AE$13&lt;$AE$14,$AA$13,$AA$14)),(IF($V$3+$W$3=42,IF($AA$17=$AA$18,"résultat",IF($AA$17&gt;$AA$18,$W$17,$W$18)),(IF($V$3+$W$3=32,IF($AA$17=$AA$18,"résultat",IF($AA$17&gt;$AA$18,$W$17,$W$18))))))))</f>
        <v xml:space="preserve"> </v>
      </c>
      <c r="W22" s="1033"/>
      <c r="X22" s="1033"/>
      <c r="Y22" s="1033"/>
      <c r="Z22" s="1033"/>
      <c r="AA22" s="1034"/>
      <c r="AB22" s="60"/>
      <c r="AC22" s="39"/>
      <c r="AD22" s="48"/>
      <c r="AE22" s="39"/>
      <c r="AF22" s="45"/>
    </row>
    <row r="23" spans="2:34" ht="20.100000000000001" customHeight="1" thickBot="1">
      <c r="B23" s="42"/>
      <c r="C23" s="39"/>
      <c r="D23" s="109" t="s">
        <v>148</v>
      </c>
      <c r="E23" s="60"/>
      <c r="F23" s="1029" t="str">
        <f>IF(F3+G3=0," ",IF($F$3+$G$3=43,IF($G$13=$G$14,"résultat",IF($G$13&gt;$G$14,$C$13,$C$14)),(IF($F$3+$G$3=42,"&amp;",(IF($F$3+$G$3=32,"&amp;"))))))</f>
        <v xml:space="preserve"> </v>
      </c>
      <c r="G23" s="1030"/>
      <c r="H23" s="1030"/>
      <c r="I23" s="1030"/>
      <c r="J23" s="1030"/>
      <c r="K23" s="1031"/>
      <c r="L23" s="60"/>
      <c r="M23" s="60"/>
      <c r="N23" s="60"/>
      <c r="O23" s="60"/>
      <c r="P23" s="61"/>
      <c r="R23" s="28"/>
      <c r="S23" s="60"/>
      <c r="T23" s="109" t="s">
        <v>148</v>
      </c>
      <c r="U23" s="39"/>
      <c r="V23" s="1035" t="str">
        <f>IF(V3+W3=0," ",IF($V$3+$W$3=43,IF(W13=W14,"résultat",IF(W13&gt;W14,S13,S14)),IF($V$3+$W$3=42,"&amp;",(IF($V$3+$W$3=32,"&amp;")))))</f>
        <v xml:space="preserve"> </v>
      </c>
      <c r="W23" s="1036"/>
      <c r="X23" s="1036"/>
      <c r="Y23" s="1036"/>
      <c r="Z23" s="1036"/>
      <c r="AA23" s="1037"/>
      <c r="AB23" s="60"/>
      <c r="AC23" s="39"/>
      <c r="AD23" s="39"/>
      <c r="AE23" s="39"/>
      <c r="AF23" s="45"/>
    </row>
    <row r="24" spans="2:34" ht="20.100000000000001" customHeight="1" thickBot="1">
      <c r="B24" s="49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37"/>
      <c r="R24" s="49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37"/>
      <c r="AG24" s="6"/>
      <c r="AH24" s="6"/>
    </row>
    <row r="25" spans="2:34" ht="20.100000000000001" customHeight="1" thickBot="1"/>
    <row r="26" spans="2:34" ht="20.100000000000001" customHeight="1" thickBot="1">
      <c r="F26" s="1018" t="s">
        <v>76</v>
      </c>
      <c r="G26" s="1019"/>
      <c r="H26" s="1020"/>
    </row>
  </sheetData>
  <sheetProtection formatCells="0" formatColumns="0" formatRows="0" insertColumns="0" insertRows="0" insertHyperlinks="0" deleteColumns="0" deleteRows="0" sort="0"/>
  <mergeCells count="63">
    <mergeCell ref="AA13:AD13"/>
    <mergeCell ref="AA14:AD14"/>
    <mergeCell ref="D12:E12"/>
    <mergeCell ref="L12:M12"/>
    <mergeCell ref="AB12:AC12"/>
    <mergeCell ref="T12:U12"/>
    <mergeCell ref="C14:F14"/>
    <mergeCell ref="S14:V14"/>
    <mergeCell ref="S13:V13"/>
    <mergeCell ref="C13:F13"/>
    <mergeCell ref="Z13:Z14"/>
    <mergeCell ref="R13:R14"/>
    <mergeCell ref="J13:J14"/>
    <mergeCell ref="K13:N13"/>
    <mergeCell ref="K14:N14"/>
    <mergeCell ref="B13:B14"/>
    <mergeCell ref="F26:H26"/>
    <mergeCell ref="G17:J17"/>
    <mergeCell ref="W17:Z17"/>
    <mergeCell ref="G18:J18"/>
    <mergeCell ref="W18:Z18"/>
    <mergeCell ref="W20:Z20"/>
    <mergeCell ref="G20:J20"/>
    <mergeCell ref="F23:K23"/>
    <mergeCell ref="V21:AA21"/>
    <mergeCell ref="V22:AA22"/>
    <mergeCell ref="V23:AA23"/>
    <mergeCell ref="F22:K22"/>
    <mergeCell ref="F21:K21"/>
    <mergeCell ref="V17:V18"/>
    <mergeCell ref="F17:F18"/>
    <mergeCell ref="S9:V9"/>
    <mergeCell ref="AA9:AD9"/>
    <mergeCell ref="B4:P4"/>
    <mergeCell ref="R4:AF4"/>
    <mergeCell ref="R8:R9"/>
    <mergeCell ref="S8:V8"/>
    <mergeCell ref="Z8:Z9"/>
    <mergeCell ref="J8:J9"/>
    <mergeCell ref="K8:N8"/>
    <mergeCell ref="C9:F9"/>
    <mergeCell ref="K9:N9"/>
    <mergeCell ref="V2:W2"/>
    <mergeCell ref="Y2:AA2"/>
    <mergeCell ref="AB2:AF2"/>
    <mergeCell ref="AD1:AE1"/>
    <mergeCell ref="AA8:AD8"/>
    <mergeCell ref="H16:I16"/>
    <mergeCell ref="X16:Y16"/>
    <mergeCell ref="I1:L1"/>
    <mergeCell ref="N1:O1"/>
    <mergeCell ref="B1:D1"/>
    <mergeCell ref="E1:G1"/>
    <mergeCell ref="B2:D2"/>
    <mergeCell ref="F2:G2"/>
    <mergeCell ref="I2:K2"/>
    <mergeCell ref="L2:P2"/>
    <mergeCell ref="R2:T2"/>
    <mergeCell ref="R1:T1"/>
    <mergeCell ref="U1:W1"/>
    <mergeCell ref="Y1:AB1"/>
    <mergeCell ref="B8:B9"/>
    <mergeCell ref="C8:F8"/>
  </mergeCells>
  <conditionalFormatting sqref="F21">
    <cfRule type="expression" dxfId="203" priority="248">
      <formula>$H$2=0</formula>
    </cfRule>
    <cfRule type="expression" dxfId="202" priority="249" stopIfTrue="1">
      <formula>(OR(H2="1",H2="2",H2="3"))</formula>
    </cfRule>
  </conditionalFormatting>
  <conditionalFormatting sqref="F22">
    <cfRule type="expression" dxfId="201" priority="247">
      <formula>(OR(H2="2",H2="3"))</formula>
    </cfRule>
  </conditionalFormatting>
  <conditionalFormatting sqref="F23">
    <cfRule type="expression" dxfId="200" priority="246">
      <formula>(H2="3")</formula>
    </cfRule>
  </conditionalFormatting>
  <conditionalFormatting sqref="K13:K14 V23 S8:V9">
    <cfRule type="cellIs" dxfId="199" priority="245" operator="equal">
      <formula>0</formula>
    </cfRule>
  </conditionalFormatting>
  <conditionalFormatting sqref="V23">
    <cfRule type="expression" dxfId="198" priority="275">
      <formula>$U$2=0</formula>
    </cfRule>
  </conditionalFormatting>
  <conditionalFormatting sqref="V22">
    <cfRule type="expression" dxfId="197" priority="261">
      <formula>$U$2=0</formula>
    </cfRule>
    <cfRule type="expression" dxfId="196" priority="262">
      <formula>$Z$2=5</formula>
    </cfRule>
    <cfRule type="expression" dxfId="195" priority="263">
      <formula>$Z$2=4</formula>
    </cfRule>
    <cfRule type="expression" dxfId="194" priority="264">
      <formula>$Z$2=3</formula>
    </cfRule>
    <cfRule type="expression" dxfId="193" priority="265">
      <formula>$Z$2=2</formula>
    </cfRule>
  </conditionalFormatting>
  <conditionalFormatting sqref="V21">
    <cfRule type="expression" dxfId="192" priority="233">
      <formula>$U$2=0</formula>
    </cfRule>
    <cfRule type="expression" dxfId="191" priority="234">
      <formula>(OR(X2="1",X2="2",X2="3"))</formula>
    </cfRule>
  </conditionalFormatting>
  <conditionalFormatting sqref="V22">
    <cfRule type="expression" dxfId="190" priority="232">
      <formula>(OR(X2="2",X2="3"))</formula>
    </cfRule>
  </conditionalFormatting>
  <conditionalFormatting sqref="V23">
    <cfRule type="expression" dxfId="189" priority="231">
      <formula>(X2="3")</formula>
    </cfRule>
  </conditionalFormatting>
  <conditionalFormatting sqref="V21">
    <cfRule type="expression" dxfId="188" priority="205">
      <formula>$X$2=2</formula>
    </cfRule>
    <cfRule type="expression" dxfId="187" priority="206">
      <formula>$X$2=5</formula>
    </cfRule>
    <cfRule type="expression" dxfId="186" priority="207">
      <formula>$X$2=4</formula>
    </cfRule>
    <cfRule type="expression" dxfId="185" priority="208">
      <formula>$X$2=3</formula>
    </cfRule>
    <cfRule type="expression" dxfId="184" priority="209">
      <formula>$H$2=0</formula>
    </cfRule>
  </conditionalFormatting>
  <conditionalFormatting sqref="V22">
    <cfRule type="expression" dxfId="183" priority="200">
      <formula>$X$2=0</formula>
    </cfRule>
    <cfRule type="expression" dxfId="182" priority="201">
      <formula>$X$2=5</formula>
    </cfRule>
    <cfRule type="expression" dxfId="181" priority="202">
      <formula>$X$2=4</formula>
    </cfRule>
    <cfRule type="expression" dxfId="180" priority="203">
      <formula>$X$2=3</formula>
    </cfRule>
    <cfRule type="expression" dxfId="179" priority="204">
      <formula>$X$2=2</formula>
    </cfRule>
  </conditionalFormatting>
  <conditionalFormatting sqref="V23">
    <cfRule type="expression" dxfId="178" priority="196">
      <formula>$X$2=0</formula>
    </cfRule>
    <cfRule type="expression" dxfId="177" priority="197">
      <formula>$X$2=5</formula>
    </cfRule>
    <cfRule type="expression" dxfId="176" priority="198">
      <formula>$X$2=4</formula>
    </cfRule>
    <cfRule type="expression" dxfId="175" priority="199">
      <formula>$X$2=3</formula>
    </cfRule>
  </conditionalFormatting>
  <conditionalFormatting sqref="V21">
    <cfRule type="expression" dxfId="174" priority="190">
      <formula>$X$2=1</formula>
    </cfRule>
  </conditionalFormatting>
  <conditionalFormatting sqref="F21">
    <cfRule type="expression" dxfId="173" priority="188">
      <formula>$H$2=0</formula>
    </cfRule>
    <cfRule type="expression" dxfId="172" priority="189" stopIfTrue="1">
      <formula>(OR(H2="1",H2="2",H2="3"))</formula>
    </cfRule>
  </conditionalFormatting>
  <conditionalFormatting sqref="F22">
    <cfRule type="expression" dxfId="171" priority="187">
      <formula>(OR(H2="2",H2="3"))</formula>
    </cfRule>
  </conditionalFormatting>
  <conditionalFormatting sqref="F23">
    <cfRule type="cellIs" dxfId="170" priority="185" operator="equal">
      <formula>0</formula>
    </cfRule>
    <cfRule type="expression" dxfId="169" priority="186">
      <formula>(H2="3")</formula>
    </cfRule>
  </conditionalFormatting>
  <conditionalFormatting sqref="V21">
    <cfRule type="expression" dxfId="168" priority="183">
      <formula>$H$2=0</formula>
    </cfRule>
    <cfRule type="expression" dxfId="167" priority="184" stopIfTrue="1">
      <formula>(OR(X2="1",X2="2",X2="3"))</formula>
    </cfRule>
  </conditionalFormatting>
  <conditionalFormatting sqref="V22">
    <cfRule type="expression" dxfId="166" priority="182">
      <formula>(OR(X2="2",X2="3"))</formula>
    </cfRule>
  </conditionalFormatting>
  <conditionalFormatting sqref="V23">
    <cfRule type="expression" dxfId="165" priority="181">
      <formula>(X2="3")</formula>
    </cfRule>
  </conditionalFormatting>
  <conditionalFormatting sqref="AA8:AD9 C8:F9">
    <cfRule type="expression" dxfId="164" priority="101">
      <formula>(OR($E$2=3,$E$2=4,$E$2=5))</formula>
    </cfRule>
  </conditionalFormatting>
  <conditionalFormatting sqref="AA9:AD9 S14:V14 K9:N9 C14:F14">
    <cfRule type="containsText" dxfId="163" priority="4" operator="containsText" text="OFFICE">
      <formula>NOT(ISERROR(SEARCH("OFFICE",C9)))</formula>
    </cfRule>
  </conditionalFormatting>
  <pageMargins left="0.7" right="0.7" top="0.75" bottom="0.75" header="0.3" footer="0.3"/>
  <pageSetup paperSize="9" scale="80" orientation="landscape" horizontalDpi="4294967292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tabColor rgb="FFFFFF00"/>
    <pageSetUpPr fitToPage="1"/>
  </sheetPr>
  <dimension ref="A1:AI27"/>
  <sheetViews>
    <sheetView zoomScale="80" zoomScaleNormal="80" workbookViewId="0">
      <selection activeCell="D12" sqref="D12:E12"/>
    </sheetView>
  </sheetViews>
  <sheetFormatPr baseColWidth="10" defaultRowHeight="15"/>
  <cols>
    <col min="1" max="1" width="4" style="14" customWidth="1"/>
    <col min="2" max="3" width="6.7109375" style="14" customWidth="1"/>
    <col min="4" max="5" width="8.7109375" style="14" customWidth="1"/>
    <col min="6" max="7" width="6.7109375" style="14" customWidth="1"/>
    <col min="8" max="9" width="8.7109375" style="14" customWidth="1"/>
    <col min="10" max="11" width="6.7109375" style="14" customWidth="1"/>
    <col min="12" max="14" width="8.7109375" style="14" customWidth="1"/>
    <col min="15" max="15" width="6.85546875" style="14" customWidth="1"/>
    <col min="16" max="16" width="6.7109375" style="14" customWidth="1"/>
    <col min="17" max="17" width="4.5703125" style="14" customWidth="1"/>
    <col min="18" max="18" width="6.5703125" style="14" customWidth="1"/>
    <col min="19" max="21" width="8.7109375" style="14" customWidth="1"/>
    <col min="22" max="22" width="6.5703125" style="14" customWidth="1"/>
    <col min="23" max="23" width="6.85546875" style="14" customWidth="1"/>
    <col min="24" max="25" width="8.7109375" style="14" customWidth="1"/>
    <col min="26" max="27" width="6.7109375" style="14" customWidth="1"/>
    <col min="28" max="30" width="8.7109375" style="14" customWidth="1"/>
    <col min="31" max="31" width="6.7109375" style="14" customWidth="1"/>
    <col min="32" max="32" width="6.5703125" style="14" customWidth="1"/>
    <col min="33" max="33" width="11.28515625" style="14" customWidth="1"/>
    <col min="34" max="34" width="11.5703125" style="14" customWidth="1"/>
    <col min="35" max="16384" width="11.42578125" style="14"/>
  </cols>
  <sheetData>
    <row r="1" spans="1:35" s="137" customFormat="1" ht="30" customHeight="1" thickBot="1">
      <c r="A1" s="65"/>
      <c r="B1" s="948" t="s">
        <v>150</v>
      </c>
      <c r="C1" s="935"/>
      <c r="D1" s="935"/>
      <c r="E1" s="935">
        <f>Données!J1</f>
        <v>0</v>
      </c>
      <c r="F1" s="935"/>
      <c r="G1" s="935"/>
      <c r="H1" s="162" t="str">
        <f>Données!$D$3</f>
        <v>F_U18</v>
      </c>
      <c r="I1" s="935">
        <f>Données!$J$3</f>
        <v>0</v>
      </c>
      <c r="J1" s="935"/>
      <c r="K1" s="935"/>
      <c r="L1" s="935"/>
      <c r="M1" s="160" t="str">
        <f>Données!$E$5</f>
        <v>Simple</v>
      </c>
      <c r="N1" s="1046" t="s">
        <v>149</v>
      </c>
      <c r="O1" s="1047"/>
      <c r="P1" s="17">
        <f>Données!$L13</f>
        <v>0</v>
      </c>
      <c r="Q1" s="65"/>
      <c r="R1" s="948" t="s">
        <v>150</v>
      </c>
      <c r="S1" s="935"/>
      <c r="T1" s="935"/>
      <c r="U1" s="935">
        <f>Données!J1</f>
        <v>0</v>
      </c>
      <c r="V1" s="935"/>
      <c r="W1" s="935"/>
      <c r="X1" s="162" t="str">
        <f>Données!$D$3</f>
        <v>F_U18</v>
      </c>
      <c r="Y1" s="935">
        <f>Données!$J$3</f>
        <v>0</v>
      </c>
      <c r="Z1" s="935"/>
      <c r="AA1" s="935"/>
      <c r="AB1" s="935"/>
      <c r="AC1" s="160" t="str">
        <f>Données!$E$5</f>
        <v>Simple</v>
      </c>
      <c r="AD1" s="164" t="s">
        <v>149</v>
      </c>
      <c r="AE1" s="165"/>
      <c r="AF1" s="17">
        <f>Données!$L13</f>
        <v>0</v>
      </c>
      <c r="AG1" s="166"/>
    </row>
    <row r="2" spans="1:35" s="137" customFormat="1" ht="21.75" customHeight="1" thickBot="1">
      <c r="A2" s="65"/>
      <c r="B2" s="948" t="s">
        <v>28</v>
      </c>
      <c r="C2" s="935"/>
      <c r="D2" s="935"/>
      <c r="E2" s="176">
        <f>Données!Q18</f>
        <v>0</v>
      </c>
      <c r="F2" s="935" t="s">
        <v>14</v>
      </c>
      <c r="G2" s="935"/>
      <c r="H2" s="168">
        <f>Données!Q19</f>
        <v>0</v>
      </c>
      <c r="I2" s="935" t="s">
        <v>15</v>
      </c>
      <c r="J2" s="935"/>
      <c r="K2" s="935"/>
      <c r="L2" s="934">
        <f ca="1">TODAY()</f>
        <v>44217</v>
      </c>
      <c r="M2" s="935"/>
      <c r="N2" s="935"/>
      <c r="O2" s="935"/>
      <c r="P2" s="936"/>
      <c r="Q2" s="65"/>
      <c r="R2" s="948" t="s">
        <v>29</v>
      </c>
      <c r="S2" s="935"/>
      <c r="T2" s="935"/>
      <c r="U2" s="167">
        <f>Données!$R$18</f>
        <v>0</v>
      </c>
      <c r="V2" s="935" t="s">
        <v>14</v>
      </c>
      <c r="W2" s="935"/>
      <c r="X2" s="168">
        <f>Données!$R$19</f>
        <v>0</v>
      </c>
      <c r="Y2" s="935" t="s">
        <v>15</v>
      </c>
      <c r="Z2" s="935"/>
      <c r="AA2" s="935"/>
      <c r="AB2" s="934">
        <f ca="1">TODAY()</f>
        <v>44217</v>
      </c>
      <c r="AC2" s="935"/>
      <c r="AD2" s="935"/>
      <c r="AE2" s="935"/>
      <c r="AF2" s="936"/>
      <c r="AG2" s="166"/>
    </row>
    <row r="3" spans="1:35" ht="20.100000000000001" customHeight="1" thickBot="1">
      <c r="A3" s="4"/>
      <c r="B3" s="192">
        <f>+Données!$J$11</f>
        <v>0</v>
      </c>
      <c r="C3" s="170"/>
      <c r="D3" s="170"/>
      <c r="E3" s="170"/>
      <c r="F3" s="182" t="str">
        <f>CONCATENATE(E2,H2)</f>
        <v>00</v>
      </c>
      <c r="G3" s="170"/>
      <c r="H3" s="170"/>
      <c r="I3" s="170"/>
      <c r="J3" s="170"/>
      <c r="K3" s="170"/>
      <c r="L3" s="170"/>
      <c r="M3" s="170"/>
      <c r="N3" s="170"/>
      <c r="O3" s="170"/>
      <c r="P3" s="171"/>
      <c r="Q3" s="4"/>
      <c r="R3" s="192">
        <f>+Données!$J$11</f>
        <v>0</v>
      </c>
      <c r="S3" s="170"/>
      <c r="T3" s="170"/>
      <c r="U3" s="177"/>
      <c r="V3" s="182" t="str">
        <f>CONCATENATE(U2,X2)</f>
        <v>00</v>
      </c>
      <c r="W3" s="170"/>
      <c r="X3" s="170"/>
      <c r="Y3" s="170"/>
      <c r="Z3" s="170"/>
      <c r="AA3" s="170"/>
      <c r="AB3" s="170"/>
      <c r="AC3" s="170"/>
      <c r="AD3" s="170"/>
      <c r="AE3" s="170"/>
      <c r="AF3" s="171"/>
      <c r="AG3" s="5"/>
      <c r="AH3" s="5"/>
    </row>
    <row r="4" spans="1:35" ht="20.100000000000001" customHeight="1" thickBot="1">
      <c r="A4" s="4"/>
      <c r="B4" s="949" t="s">
        <v>167</v>
      </c>
      <c r="C4" s="950"/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0"/>
      <c r="O4" s="950"/>
      <c r="P4" s="951"/>
      <c r="Q4" s="82"/>
      <c r="R4" s="940" t="s">
        <v>167</v>
      </c>
      <c r="S4" s="941"/>
      <c r="T4" s="941"/>
      <c r="U4" s="941"/>
      <c r="V4" s="941"/>
      <c r="W4" s="941"/>
      <c r="X4" s="941"/>
      <c r="Y4" s="941"/>
      <c r="Z4" s="941"/>
      <c r="AA4" s="941"/>
      <c r="AB4" s="941"/>
      <c r="AC4" s="941"/>
      <c r="AD4" s="941"/>
      <c r="AE4" s="941"/>
      <c r="AF4" s="942"/>
      <c r="AG4" s="5"/>
    </row>
    <row r="5" spans="1:35" ht="20.100000000000001" customHeight="1">
      <c r="A5" s="4"/>
      <c r="B5" s="75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  <c r="Q5" s="79"/>
      <c r="R5" s="148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3"/>
      <c r="AG5" s="5"/>
      <c r="AH5" s="5"/>
    </row>
    <row r="6" spans="1:35" ht="20.100000000000001" customHeight="1" thickBot="1">
      <c r="A6" s="4"/>
      <c r="B6" s="75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97"/>
      <c r="Q6" s="79"/>
      <c r="R6" s="75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97"/>
      <c r="AG6" s="5"/>
      <c r="AH6" s="5"/>
    </row>
    <row r="7" spans="1:35" ht="20.100000000000001" customHeight="1" thickBot="1">
      <c r="A7" s="4"/>
      <c r="B7" s="85" t="s">
        <v>1</v>
      </c>
      <c r="C7" s="86" t="s">
        <v>10</v>
      </c>
      <c r="D7" s="80"/>
      <c r="E7" s="81"/>
      <c r="F7" s="81"/>
      <c r="G7" s="76" t="s">
        <v>0</v>
      </c>
      <c r="H7" s="76"/>
      <c r="I7" s="76"/>
      <c r="J7" s="76" t="s">
        <v>1</v>
      </c>
      <c r="K7" s="86" t="str">
        <f>IF(E2=2,"","C")</f>
        <v>C</v>
      </c>
      <c r="L7" s="80"/>
      <c r="M7" s="81"/>
      <c r="N7" s="81"/>
      <c r="O7" s="76" t="s">
        <v>0</v>
      </c>
      <c r="P7" s="97"/>
      <c r="Q7" s="81"/>
      <c r="R7" s="85" t="s">
        <v>1</v>
      </c>
      <c r="S7" s="86" t="s">
        <v>10</v>
      </c>
      <c r="T7" s="80"/>
      <c r="U7" s="81"/>
      <c r="V7" s="81"/>
      <c r="W7" s="76" t="s">
        <v>0</v>
      </c>
      <c r="X7" s="76"/>
      <c r="Y7" s="76"/>
      <c r="Z7" s="76" t="s">
        <v>1</v>
      </c>
      <c r="AA7" s="86" t="str">
        <f>IF(U2=2,"","C")</f>
        <v>C</v>
      </c>
      <c r="AB7" s="80"/>
      <c r="AC7" s="81"/>
      <c r="AD7" s="81"/>
      <c r="AE7" s="76" t="s">
        <v>0</v>
      </c>
      <c r="AF7" s="97"/>
      <c r="AH7" s="5"/>
      <c r="AI7" s="5"/>
    </row>
    <row r="8" spans="1:35" ht="20.100000000000001" customHeight="1" thickBot="1">
      <c r="A8" s="40">
        <v>49</v>
      </c>
      <c r="B8" s="899">
        <v>25</v>
      </c>
      <c r="C8" s="902">
        <f>+Données!AG54</f>
        <v>0</v>
      </c>
      <c r="D8" s="903"/>
      <c r="E8" s="903"/>
      <c r="F8" s="904"/>
      <c r="G8" s="88">
        <v>1</v>
      </c>
      <c r="H8" s="89"/>
      <c r="I8" s="90">
        <v>51</v>
      </c>
      <c r="J8" s="899">
        <v>25</v>
      </c>
      <c r="K8" s="979">
        <f>+Données!AG56</f>
        <v>0</v>
      </c>
      <c r="L8" s="980"/>
      <c r="M8" s="980"/>
      <c r="N8" s="981"/>
      <c r="O8" s="88">
        <v>1</v>
      </c>
      <c r="P8" s="97"/>
      <c r="Q8" s="81"/>
      <c r="R8" s="899">
        <v>27</v>
      </c>
      <c r="S8" s="902">
        <f>+Données!AG58</f>
        <v>0</v>
      </c>
      <c r="T8" s="903"/>
      <c r="U8" s="903"/>
      <c r="V8" s="904"/>
      <c r="W8" s="88">
        <v>1</v>
      </c>
      <c r="X8" s="89"/>
      <c r="Y8" s="174">
        <v>55</v>
      </c>
      <c r="Z8" s="899">
        <v>28</v>
      </c>
      <c r="AA8" s="902">
        <f>+Données!AG60</f>
        <v>0</v>
      </c>
      <c r="AB8" s="903"/>
      <c r="AC8" s="903"/>
      <c r="AD8" s="904"/>
      <c r="AE8" s="88">
        <v>1</v>
      </c>
      <c r="AF8" s="97"/>
      <c r="AH8" s="5"/>
      <c r="AI8" s="5"/>
    </row>
    <row r="9" spans="1:35" ht="20.100000000000001" customHeight="1" thickBot="1">
      <c r="A9" s="40">
        <v>50</v>
      </c>
      <c r="B9" s="900"/>
      <c r="C9" s="937">
        <f>+Données!AG55</f>
        <v>0</v>
      </c>
      <c r="D9" s="938"/>
      <c r="E9" s="938"/>
      <c r="F9" s="939"/>
      <c r="G9" s="161">
        <v>0</v>
      </c>
      <c r="H9" s="89"/>
      <c r="I9" s="90">
        <v>52</v>
      </c>
      <c r="J9" s="900"/>
      <c r="K9" s="937">
        <f>IF(OR(AND(B3&gt;170,B3&lt;250))," ",Données!AG57)</f>
        <v>0</v>
      </c>
      <c r="L9" s="954"/>
      <c r="M9" s="954"/>
      <c r="N9" s="955"/>
      <c r="O9" s="88">
        <v>0</v>
      </c>
      <c r="P9" s="97"/>
      <c r="Q9" s="81"/>
      <c r="R9" s="900"/>
      <c r="S9" s="937">
        <f>+Données!AG59</f>
        <v>0</v>
      </c>
      <c r="T9" s="938"/>
      <c r="U9" s="938"/>
      <c r="V9" s="939"/>
      <c r="W9" s="161">
        <v>0</v>
      </c>
      <c r="X9" s="89"/>
      <c r="Y9" s="174">
        <v>56</v>
      </c>
      <c r="Z9" s="900"/>
      <c r="AA9" s="937">
        <f>IF(OR(AND(B3&gt;170,B3&lt;250))," ",Données!AG61)</f>
        <v>0</v>
      </c>
      <c r="AB9" s="954"/>
      <c r="AC9" s="954"/>
      <c r="AD9" s="955"/>
      <c r="AE9" s="88">
        <v>0</v>
      </c>
      <c r="AF9" s="97"/>
      <c r="AH9" s="5"/>
      <c r="AI9" s="5"/>
    </row>
    <row r="10" spans="1:35" ht="20.100000000000001" customHeight="1" thickBot="1">
      <c r="A10" s="4"/>
      <c r="B10" s="75"/>
      <c r="C10" s="93" t="s">
        <v>11</v>
      </c>
      <c r="D10" s="80"/>
      <c r="E10" s="81"/>
      <c r="F10" s="81"/>
      <c r="G10" s="81"/>
      <c r="H10" s="81"/>
      <c r="I10" s="81"/>
      <c r="J10" s="81"/>
      <c r="K10" s="86" t="s">
        <v>48</v>
      </c>
      <c r="L10" s="80"/>
      <c r="M10" s="81"/>
      <c r="N10" s="81"/>
      <c r="O10" s="81"/>
      <c r="P10" s="97"/>
      <c r="Q10" s="81"/>
      <c r="R10" s="75"/>
      <c r="S10" s="93" t="s">
        <v>11</v>
      </c>
      <c r="T10" s="80"/>
      <c r="U10" s="81"/>
      <c r="V10" s="81"/>
      <c r="W10" s="81"/>
      <c r="X10" s="81"/>
      <c r="Y10" s="81"/>
      <c r="Z10" s="81"/>
      <c r="AA10" s="86" t="s">
        <v>48</v>
      </c>
      <c r="AB10" s="80"/>
      <c r="AC10" s="81"/>
      <c r="AD10" s="81"/>
      <c r="AE10" s="81"/>
      <c r="AF10" s="97"/>
      <c r="AI10" s="5"/>
    </row>
    <row r="11" spans="1:35" ht="20.100000000000001" customHeight="1">
      <c r="A11" s="4"/>
      <c r="B11" s="75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94"/>
      <c r="Q11" s="81"/>
      <c r="R11" s="75"/>
      <c r="S11" s="95"/>
      <c r="T11" s="95"/>
      <c r="U11" s="95"/>
      <c r="V11" s="95"/>
      <c r="W11" s="81"/>
      <c r="X11" s="81"/>
      <c r="Y11" s="81"/>
      <c r="Z11" s="81"/>
      <c r="AA11" s="81"/>
      <c r="AB11" s="81"/>
      <c r="AC11" s="81"/>
      <c r="AD11" s="81"/>
      <c r="AE11" s="81"/>
      <c r="AF11" s="94"/>
      <c r="AI11" s="5"/>
    </row>
    <row r="12" spans="1:35" ht="20.100000000000001" customHeight="1" thickBot="1">
      <c r="A12" s="4"/>
      <c r="B12" s="85" t="s">
        <v>1</v>
      </c>
      <c r="C12" s="81"/>
      <c r="D12" s="952" t="s">
        <v>75</v>
      </c>
      <c r="E12" s="952"/>
      <c r="F12" s="81"/>
      <c r="G12" s="76" t="s">
        <v>0</v>
      </c>
      <c r="H12" s="76"/>
      <c r="I12" s="76"/>
      <c r="J12" s="76" t="s">
        <v>1</v>
      </c>
      <c r="K12" s="81"/>
      <c r="L12" s="985" t="s">
        <v>74</v>
      </c>
      <c r="M12" s="985"/>
      <c r="N12" s="81"/>
      <c r="O12" s="76" t="s">
        <v>0</v>
      </c>
      <c r="P12" s="78"/>
      <c r="Q12" s="133"/>
      <c r="R12" s="96" t="s">
        <v>1</v>
      </c>
      <c r="S12" s="95"/>
      <c r="T12" s="952" t="s">
        <v>75</v>
      </c>
      <c r="U12" s="952"/>
      <c r="V12" s="95"/>
      <c r="W12" s="76" t="s">
        <v>0</v>
      </c>
      <c r="X12" s="76"/>
      <c r="Y12" s="76"/>
      <c r="Z12" s="76" t="s">
        <v>1</v>
      </c>
      <c r="AA12" s="81"/>
      <c r="AB12" s="985" t="s">
        <v>74</v>
      </c>
      <c r="AC12" s="985"/>
      <c r="AD12" s="81"/>
      <c r="AE12" s="78" t="s">
        <v>0</v>
      </c>
      <c r="AF12" s="97"/>
    </row>
    <row r="13" spans="1:35" ht="20.100000000000001" customHeight="1" thickBot="1">
      <c r="A13" s="4"/>
      <c r="B13" s="975">
        <v>28</v>
      </c>
      <c r="C13" s="902">
        <f>IF($G$8=$G$9,"résultat",IF($G$8&gt;$G$9,$C$9,$C$8))</f>
        <v>0</v>
      </c>
      <c r="D13" s="905"/>
      <c r="E13" s="905"/>
      <c r="F13" s="906"/>
      <c r="G13" s="88">
        <v>1</v>
      </c>
      <c r="H13" s="89"/>
      <c r="I13" s="76"/>
      <c r="J13" s="975">
        <v>29</v>
      </c>
      <c r="K13" s="902">
        <f>IF($O$8=$O$9,"résultat",IF($O$8&gt;$O$9,$K$8,$K$9))</f>
        <v>0</v>
      </c>
      <c r="L13" s="903"/>
      <c r="M13" s="903"/>
      <c r="N13" s="904"/>
      <c r="O13" s="88">
        <v>1</v>
      </c>
      <c r="P13" s="98"/>
      <c r="Q13" s="175">
        <f>IF(G9&gt;G8,1)+IF(O9&gt;O8,1)</f>
        <v>0</v>
      </c>
      <c r="R13" s="975">
        <v>30</v>
      </c>
      <c r="S13" s="973">
        <f>IF($W$8=$W$9,"résultat",IF($W$8&gt;$W$9,$S$9,$S$8))</f>
        <v>0</v>
      </c>
      <c r="T13" s="905"/>
      <c r="U13" s="905"/>
      <c r="V13" s="906"/>
      <c r="W13" s="88">
        <v>1</v>
      </c>
      <c r="X13" s="89"/>
      <c r="Y13" s="76"/>
      <c r="Z13" s="975">
        <v>31</v>
      </c>
      <c r="AA13" s="902">
        <f>IF(AE8=AE9,"résultat",IF($AE$8&gt;$AE$9,$AA$8,$AA$9))</f>
        <v>0</v>
      </c>
      <c r="AB13" s="903"/>
      <c r="AC13" s="903"/>
      <c r="AD13" s="904"/>
      <c r="AE13" s="88">
        <v>1</v>
      </c>
      <c r="AF13" s="99">
        <f>IF(W8&gt;W9,1)+IF(AE8&gt;AE9,1)</f>
        <v>2</v>
      </c>
    </row>
    <row r="14" spans="1:35" ht="20.100000000000001" customHeight="1" thickBot="1">
      <c r="A14" s="4"/>
      <c r="B14" s="976"/>
      <c r="C14" s="910">
        <f>IF($O$8=$O$9,"résultat",IF($O$8&lt;$O$9,$K$8,$K$9))</f>
        <v>0</v>
      </c>
      <c r="D14" s="911"/>
      <c r="E14" s="911"/>
      <c r="F14" s="912"/>
      <c r="G14" s="100">
        <v>0</v>
      </c>
      <c r="H14" s="101"/>
      <c r="I14" s="76"/>
      <c r="J14" s="976"/>
      <c r="K14" s="961">
        <f>IF(G8=G9,"résultat",IF($G$8&gt;$G$9,$C$8,$C$9))</f>
        <v>0</v>
      </c>
      <c r="L14" s="962"/>
      <c r="M14" s="962"/>
      <c r="N14" s="963"/>
      <c r="O14" s="161">
        <v>2</v>
      </c>
      <c r="P14" s="98"/>
      <c r="Q14" s="175">
        <f>IF(G9&gt;G8,1)+IF(O8&gt;O9,1)</f>
        <v>1</v>
      </c>
      <c r="R14" s="976"/>
      <c r="S14" s="910">
        <f>IF($AE$8=$AE$9,"résultat",IF($AE$8&lt;$AE$9,$AA$8,$AA$9))</f>
        <v>0</v>
      </c>
      <c r="T14" s="911"/>
      <c r="U14" s="911"/>
      <c r="V14" s="912"/>
      <c r="W14" s="88">
        <v>0</v>
      </c>
      <c r="X14" s="89"/>
      <c r="Y14" s="76"/>
      <c r="Z14" s="976"/>
      <c r="AA14" s="961">
        <f>IF(($W$9=$W$8),"résultat",IF(W8&gt;W9,S8,S9))</f>
        <v>0</v>
      </c>
      <c r="AB14" s="962"/>
      <c r="AC14" s="962"/>
      <c r="AD14" s="963"/>
      <c r="AE14" s="161">
        <v>2</v>
      </c>
      <c r="AF14" s="99">
        <f>IF(W8&gt;W9,1)+IF(AE9&gt;AE8,1)</f>
        <v>1</v>
      </c>
    </row>
    <row r="15" spans="1:35" ht="20.100000000000001" customHeight="1">
      <c r="A15" s="4"/>
      <c r="B15" s="75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94"/>
      <c r="Q15" s="79"/>
      <c r="R15" s="75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94"/>
      <c r="AG15" s="5"/>
      <c r="AH15" s="5"/>
    </row>
    <row r="16" spans="1:35" ht="20.100000000000001" customHeight="1" thickBot="1">
      <c r="A16" s="4"/>
      <c r="B16" s="75"/>
      <c r="C16" s="81"/>
      <c r="D16" s="81"/>
      <c r="E16" s="81"/>
      <c r="F16" s="76" t="s">
        <v>1</v>
      </c>
      <c r="G16" s="81"/>
      <c r="H16" s="921" t="s">
        <v>170</v>
      </c>
      <c r="I16" s="921"/>
      <c r="J16" s="81"/>
      <c r="K16" s="76" t="s">
        <v>0</v>
      </c>
      <c r="L16" s="76"/>
      <c r="M16" s="110"/>
      <c r="N16" s="110"/>
      <c r="O16" s="110"/>
      <c r="P16" s="94"/>
      <c r="Q16" s="81"/>
      <c r="R16" s="75"/>
      <c r="S16" s="81"/>
      <c r="T16" s="81"/>
      <c r="U16" s="81"/>
      <c r="V16" s="76" t="s">
        <v>1</v>
      </c>
      <c r="W16" s="81"/>
      <c r="X16" s="921" t="s">
        <v>170</v>
      </c>
      <c r="Y16" s="921"/>
      <c r="Z16" s="81"/>
      <c r="AA16" s="76" t="s">
        <v>0</v>
      </c>
      <c r="AB16" s="76"/>
      <c r="AC16" s="145"/>
      <c r="AD16" s="81"/>
      <c r="AE16" s="81"/>
      <c r="AF16" s="97"/>
    </row>
    <row r="17" spans="1:34" ht="20.100000000000001" customHeight="1" thickBot="1">
      <c r="A17" s="4"/>
      <c r="B17" s="75"/>
      <c r="C17" s="81"/>
      <c r="D17" s="81"/>
      <c r="E17" s="76"/>
      <c r="F17" s="986">
        <v>27</v>
      </c>
      <c r="G17" s="917" t="str">
        <f>IF($F$3+$G$3=0," ",IF($F$3+$G$3=43,IF(0&lt;0,0,0),(IF($F$3+$G$3=42,IF($O$13=$O$14,"résultat",IF($O$13&lt;$O$14,$K$13,$K$14)),IF($F$3+$G$3=32,IF($O$13=$O$14,"résultat",IF($O$13&lt;$O$14,$K$13,$K$14)))))))</f>
        <v xml:space="preserve"> </v>
      </c>
      <c r="H17" s="918"/>
      <c r="I17" s="918"/>
      <c r="J17" s="919"/>
      <c r="K17" s="88">
        <v>1</v>
      </c>
      <c r="L17" s="76"/>
      <c r="M17" s="110"/>
      <c r="N17" s="110"/>
      <c r="O17" s="110"/>
      <c r="P17" s="94"/>
      <c r="Q17" s="81"/>
      <c r="R17" s="75"/>
      <c r="S17" s="81"/>
      <c r="T17" s="81"/>
      <c r="U17" s="76"/>
      <c r="V17" s="986">
        <v>29</v>
      </c>
      <c r="W17" s="917" t="str">
        <f>IF(V3+W3=0," ",IF($V$3+$W$3=43,IF(0&lt;0,0,0),(IF($V$3+$W$3=42,IF($AE$13=$AE$14,"résultat",IF($AE$13&lt;$AE$14,$AA$13,$AA$14)),IF($V$3+$W$3=32,IF($AE$13=$AE$14,"résultat",IF($AE$13&lt;$AE$14,$AA$13,$AA$14)))))))</f>
        <v xml:space="preserve"> </v>
      </c>
      <c r="X17" s="918"/>
      <c r="Y17" s="918"/>
      <c r="Z17" s="919"/>
      <c r="AA17" s="88">
        <v>1</v>
      </c>
      <c r="AB17" s="76"/>
      <c r="AC17" s="81"/>
      <c r="AD17" s="81"/>
      <c r="AE17" s="81"/>
      <c r="AF17" s="97"/>
    </row>
    <row r="18" spans="1:34" ht="20.100000000000001" customHeight="1" thickBot="1">
      <c r="A18" s="4"/>
      <c r="B18" s="75"/>
      <c r="C18" s="81"/>
      <c r="D18" s="81"/>
      <c r="E18" s="81"/>
      <c r="F18" s="987"/>
      <c r="G18" s="914" t="str">
        <f>IF($F$3+$G$3=0," ",IF($F$3+$G$3=43,IF(0&gt;0,0,0),(IF(F3+G3=42,IF($G$13=$G$14,"résultat",IF($G$13&gt;$G$14,$C$13,$C$14)),(IF($F$3+$G$3=32,IF($G$13=$G$14,"résultat",IF($G$13&gt;$G$14,$C$13,$C$14))))))))</f>
        <v xml:space="preserve"> </v>
      </c>
      <c r="H18" s="915"/>
      <c r="I18" s="915"/>
      <c r="J18" s="916"/>
      <c r="K18" s="88">
        <v>0</v>
      </c>
      <c r="L18" s="76"/>
      <c r="M18" s="110"/>
      <c r="N18" s="110"/>
      <c r="O18" s="110"/>
      <c r="P18" s="94"/>
      <c r="Q18" s="81"/>
      <c r="R18" s="75"/>
      <c r="S18" s="81"/>
      <c r="T18" s="81"/>
      <c r="U18" s="81"/>
      <c r="V18" s="987"/>
      <c r="W18" s="914" t="str">
        <f>IF(V3+W3=0," ",IF($V$3+$W$3=43,IF(0&gt;0,0,0),(IF($V$3+$W$3=42,IF(W13=W14,"résultat",IF($W$13&gt;$W$14,$S$13,$S$14)),(IF($V$3+$W$3=32,IF(W13=W14,"résultat",IF($W$13&gt;$W$14,$S$13,$S$14))))))))</f>
        <v xml:space="preserve"> </v>
      </c>
      <c r="X18" s="915"/>
      <c r="Y18" s="915"/>
      <c r="Z18" s="916"/>
      <c r="AA18" s="88">
        <v>0</v>
      </c>
      <c r="AB18" s="76"/>
      <c r="AC18" s="81"/>
      <c r="AD18" s="81"/>
      <c r="AE18" s="81"/>
      <c r="AF18" s="97"/>
    </row>
    <row r="19" spans="1:34" ht="24" customHeight="1" thickBot="1">
      <c r="A19" s="4"/>
      <c r="B19" s="75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110"/>
      <c r="N19" s="110"/>
      <c r="O19" s="110"/>
      <c r="P19" s="94"/>
      <c r="Q19" s="79"/>
      <c r="R19" s="75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94"/>
      <c r="AG19" s="5"/>
      <c r="AH19" s="5"/>
    </row>
    <row r="20" spans="1:34" ht="20.100000000000001" customHeight="1" thickBot="1">
      <c r="A20" s="4"/>
      <c r="B20" s="75"/>
      <c r="C20" s="110"/>
      <c r="D20" s="110"/>
      <c r="E20" s="110"/>
      <c r="F20" s="81"/>
      <c r="G20" s="996" t="s">
        <v>73</v>
      </c>
      <c r="H20" s="997"/>
      <c r="I20" s="997"/>
      <c r="J20" s="998"/>
      <c r="K20" s="81"/>
      <c r="L20" s="81"/>
      <c r="M20" s="110"/>
      <c r="N20" s="110"/>
      <c r="O20" s="110"/>
      <c r="P20" s="97"/>
      <c r="Q20" s="81"/>
      <c r="R20" s="75"/>
      <c r="S20" s="81"/>
      <c r="T20" s="81"/>
      <c r="U20" s="81"/>
      <c r="V20" s="81"/>
      <c r="W20" s="996" t="s">
        <v>73</v>
      </c>
      <c r="X20" s="997"/>
      <c r="Y20" s="997"/>
      <c r="Z20" s="998"/>
      <c r="AA20" s="81"/>
      <c r="AB20" s="110"/>
      <c r="AC20" s="104"/>
      <c r="AD20" s="81"/>
      <c r="AE20" s="81"/>
      <c r="AF20" s="97"/>
    </row>
    <row r="21" spans="1:34" ht="20.100000000000001" customHeight="1">
      <c r="A21" s="4"/>
      <c r="B21" s="75"/>
      <c r="C21" s="110"/>
      <c r="D21" s="105" t="s">
        <v>146</v>
      </c>
      <c r="E21" s="110"/>
      <c r="F21" s="902" t="str">
        <f>IF(F3+G3=0," ",IF($F$3+$G$3=43,IF($O$13=$O$14,"résultat",IF($O$13&gt;$O$14,$K$13,$K$14)),(IF($F$3+$G$3=42,IF($O$13=$O$14,"résultat",IF($O$13&gt;$O$14,$K$13,$K$14)),(IF($F$3+$G$3=32,IF($O$13=$O$14,"résultat",IF($O$13&gt;$O$14,$K$13,$K$14))))))))</f>
        <v xml:space="preserve"> </v>
      </c>
      <c r="G21" s="903"/>
      <c r="H21" s="903"/>
      <c r="I21" s="903"/>
      <c r="J21" s="903"/>
      <c r="K21" s="904"/>
      <c r="L21" s="110"/>
      <c r="M21" s="110"/>
      <c r="N21" s="110"/>
      <c r="O21" s="110"/>
      <c r="P21" s="97"/>
      <c r="Q21" s="133"/>
      <c r="R21" s="132"/>
      <c r="S21" s="110"/>
      <c r="T21" s="105" t="s">
        <v>146</v>
      </c>
      <c r="U21" s="81"/>
      <c r="V21" s="902" t="str">
        <f>IF(V3+W3=0," ",IF($V$3+$W$3=43,IF($AE$13=$AE$14,"résultat",IF($AE$13&gt;$AE$14,$AA$13,$AA$14)),(IF($V$3+$W$3=42,IF($AE$13=$AE$14,"résultat",IF($AE$13&gt;$AE$14,$AA$13,$AA$14)),(IF($V$3+$W$3=32,IF($AE$13=$AE$14,"résultat",IF($AE$13&gt;$AE$14,$AA$13,$AA$14))))))))</f>
        <v xml:space="preserve"> </v>
      </c>
      <c r="W21" s="903"/>
      <c r="X21" s="903"/>
      <c r="Y21" s="903"/>
      <c r="Z21" s="903"/>
      <c r="AA21" s="904"/>
      <c r="AB21" s="110"/>
      <c r="AC21" s="81"/>
      <c r="AD21" s="81"/>
      <c r="AE21" s="110"/>
      <c r="AF21" s="97"/>
    </row>
    <row r="22" spans="1:34" ht="20.100000000000001" customHeight="1">
      <c r="A22" s="4"/>
      <c r="B22" s="75"/>
      <c r="C22" s="110"/>
      <c r="D22" s="108" t="s">
        <v>147</v>
      </c>
      <c r="E22" s="110"/>
      <c r="F22" s="964" t="str">
        <f>IF(F3+G3=0," ",IF($F$3+$G$3=43,IF($O$13=$O$14,"résultat",IF($O$13&lt;$O$14,$K$13,$K$14)),(IF($F$3+$G$3=42,IF($K$17=$K$18,"résultat",IF($K$17&gt;$K$18,$G$17,$G$18)),(IF($F$3+$G$3=32,IF($K$17=$K$18,"résultat",IF($K$17&gt;$K$18,$G$17,$G$18))))))))</f>
        <v xml:space="preserve"> </v>
      </c>
      <c r="G22" s="965"/>
      <c r="H22" s="965"/>
      <c r="I22" s="965"/>
      <c r="J22" s="965"/>
      <c r="K22" s="966"/>
      <c r="L22" s="110"/>
      <c r="M22" s="110"/>
      <c r="N22" s="110"/>
      <c r="O22" s="110"/>
      <c r="P22" s="97"/>
      <c r="Q22" s="133"/>
      <c r="R22" s="132"/>
      <c r="S22" s="110"/>
      <c r="T22" s="108" t="s">
        <v>147</v>
      </c>
      <c r="U22" s="81"/>
      <c r="V22" s="964" t="str">
        <f>IF(V3+W3=0," ",IF($V$3+$W$3=43,IF($AE$13=$AE$14,"résultat",IF($AE$13&lt;$AE$14,$AA$13,$AA$14)),(IF($V$3+$W$3=42,IF($AA$17=$AA$18,"résultat",IF($AA$17&gt;$AA$18,$W$17,$W$18)),(IF($V$3+$W$3=32,IF($AA$17=$AA$18,"résultat",IF($AA$17&gt;$AA$18,$W$17,$W$18))))))))</f>
        <v xml:space="preserve"> </v>
      </c>
      <c r="W22" s="965"/>
      <c r="X22" s="965"/>
      <c r="Y22" s="965"/>
      <c r="Z22" s="965"/>
      <c r="AA22" s="966"/>
      <c r="AB22" s="110"/>
      <c r="AC22" s="81"/>
      <c r="AD22" s="146"/>
      <c r="AE22" s="146"/>
      <c r="AF22" s="97"/>
    </row>
    <row r="23" spans="1:34" ht="20.100000000000001" customHeight="1" thickBot="1">
      <c r="A23" s="4"/>
      <c r="B23" s="75"/>
      <c r="C23" s="110"/>
      <c r="D23" s="109" t="s">
        <v>148</v>
      </c>
      <c r="E23" s="110"/>
      <c r="F23" s="961" t="str">
        <f>IF(F3+G3=0," ",IF($F$3+$G$3=43,IF($G$13=$G$14,"résultat",IF($G$13&gt;$G$14,$C$13,$C$14)),(IF($F$3+$G$3=42,"&amp;",(IF($F$3+$G$3=32,"&amp;"))))))</f>
        <v xml:space="preserve"> </v>
      </c>
      <c r="G23" s="962"/>
      <c r="H23" s="962"/>
      <c r="I23" s="962"/>
      <c r="J23" s="962"/>
      <c r="K23" s="963"/>
      <c r="L23" s="110"/>
      <c r="M23" s="110"/>
      <c r="N23" s="110"/>
      <c r="O23" s="110"/>
      <c r="P23" s="97"/>
      <c r="Q23" s="133"/>
      <c r="R23" s="132"/>
      <c r="S23" s="110"/>
      <c r="T23" s="109" t="s">
        <v>148</v>
      </c>
      <c r="U23" s="81"/>
      <c r="V23" s="907" t="str">
        <f>IF(V3+W3=0," ",IF($V$3+$W$3=43,IF(W13=W14,"résultat",IF(W13&gt;W14,S13,S14)),IF($V$3+$W$3=42,"&amp;",(IF($V$3+$W$3=32,"&amp;")))))</f>
        <v xml:space="preserve"> </v>
      </c>
      <c r="W23" s="908"/>
      <c r="X23" s="908"/>
      <c r="Y23" s="908"/>
      <c r="Z23" s="908"/>
      <c r="AA23" s="909"/>
      <c r="AB23" s="110"/>
      <c r="AC23" s="81"/>
      <c r="AD23" s="81"/>
      <c r="AE23" s="81"/>
      <c r="AF23" s="97"/>
    </row>
    <row r="24" spans="1:34" ht="20.100000000000001" customHeight="1" thickBot="1">
      <c r="A24" s="4"/>
      <c r="B24" s="111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4"/>
      <c r="O24" s="114"/>
      <c r="P24" s="115"/>
      <c r="Q24" s="79"/>
      <c r="R24" s="111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5"/>
      <c r="AG24" s="5"/>
      <c r="AH24" s="5"/>
    </row>
    <row r="25" spans="1:34" ht="20.100000000000001" customHeight="1" thickBot="1"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</row>
    <row r="26" spans="1:34" ht="20.100000000000001" customHeight="1" thickBot="1"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956" t="s">
        <v>76</v>
      </c>
      <c r="N26" s="957"/>
      <c r="O26" s="958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</row>
    <row r="27" spans="1:34" ht="18.75"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</row>
  </sheetData>
  <sheetProtection formatCells="0" formatColumns="0" formatRows="0" insertColumns="0" insertRows="0" insertHyperlinks="0" deleteColumns="0" deleteRows="0" sort="0"/>
  <mergeCells count="62">
    <mergeCell ref="M26:O26"/>
    <mergeCell ref="G20:J20"/>
    <mergeCell ref="W20:Z20"/>
    <mergeCell ref="F21:K21"/>
    <mergeCell ref="F22:K22"/>
    <mergeCell ref="F23:K23"/>
    <mergeCell ref="V21:AA21"/>
    <mergeCell ref="V22:AA22"/>
    <mergeCell ref="V23:AA23"/>
    <mergeCell ref="B4:P4"/>
    <mergeCell ref="R4:AF4"/>
    <mergeCell ref="K13:N13"/>
    <mergeCell ref="K14:N14"/>
    <mergeCell ref="L12:M12"/>
    <mergeCell ref="AA13:AD13"/>
    <mergeCell ref="AB12:AC12"/>
    <mergeCell ref="AA14:AD14"/>
    <mergeCell ref="D12:E12"/>
    <mergeCell ref="T12:U12"/>
    <mergeCell ref="B8:B9"/>
    <mergeCell ref="C8:F8"/>
    <mergeCell ref="J8:J9"/>
    <mergeCell ref="K8:N8"/>
    <mergeCell ref="C9:F9"/>
    <mergeCell ref="K9:N9"/>
    <mergeCell ref="V2:W2"/>
    <mergeCell ref="Y2:AA2"/>
    <mergeCell ref="AB2:AF2"/>
    <mergeCell ref="C13:F13"/>
    <mergeCell ref="S9:V9"/>
    <mergeCell ref="AA9:AD9"/>
    <mergeCell ref="Z8:Z9"/>
    <mergeCell ref="AA8:AD8"/>
    <mergeCell ref="F2:G2"/>
    <mergeCell ref="I2:K2"/>
    <mergeCell ref="L2:P2"/>
    <mergeCell ref="R2:T2"/>
    <mergeCell ref="B2:D2"/>
    <mergeCell ref="S13:V13"/>
    <mergeCell ref="R8:R9"/>
    <mergeCell ref="S8:V8"/>
    <mergeCell ref="I1:L1"/>
    <mergeCell ref="N1:O1"/>
    <mergeCell ref="Y1:AB1"/>
    <mergeCell ref="B1:D1"/>
    <mergeCell ref="E1:G1"/>
    <mergeCell ref="R1:T1"/>
    <mergeCell ref="U1:W1"/>
    <mergeCell ref="B13:B14"/>
    <mergeCell ref="F17:F18"/>
    <mergeCell ref="V17:V18"/>
    <mergeCell ref="Z13:Z14"/>
    <mergeCell ref="R13:R14"/>
    <mergeCell ref="J13:J14"/>
    <mergeCell ref="H16:I16"/>
    <mergeCell ref="X16:Y16"/>
    <mergeCell ref="C14:F14"/>
    <mergeCell ref="S14:V14"/>
    <mergeCell ref="G17:J17"/>
    <mergeCell ref="W17:Z17"/>
    <mergeCell ref="G18:J18"/>
    <mergeCell ref="W18:Z18"/>
  </mergeCells>
  <conditionalFormatting sqref="F21">
    <cfRule type="expression" dxfId="162" priority="280">
      <formula>$H$2=0</formula>
    </cfRule>
    <cfRule type="expression" dxfId="161" priority="281" stopIfTrue="1">
      <formula>(OR(H2="1",H2="2",H2="3"))</formula>
    </cfRule>
  </conditionalFormatting>
  <conditionalFormatting sqref="F22">
    <cfRule type="expression" dxfId="160" priority="279">
      <formula>(OR(H2="2",H2="3"))</formula>
    </cfRule>
  </conditionalFormatting>
  <conditionalFormatting sqref="F23">
    <cfRule type="expression" dxfId="159" priority="278">
      <formula>(H2="3")</formula>
    </cfRule>
  </conditionalFormatting>
  <conditionalFormatting sqref="C13:F14 W17:Z17 V23">
    <cfRule type="cellIs" dxfId="158" priority="277" operator="equal">
      <formula>0</formula>
    </cfRule>
  </conditionalFormatting>
  <conditionalFormatting sqref="V22">
    <cfRule type="expression" dxfId="157" priority="294">
      <formula>$Z$2=5</formula>
    </cfRule>
    <cfRule type="expression" dxfId="156" priority="295">
      <formula>$Z$2=4</formula>
    </cfRule>
    <cfRule type="expression" dxfId="155" priority="296">
      <formula>$Z$2=3</formula>
    </cfRule>
    <cfRule type="expression" dxfId="154" priority="297">
      <formula>$Z$2=2</formula>
    </cfRule>
  </conditionalFormatting>
  <conditionalFormatting sqref="V23">
    <cfRule type="expression" dxfId="153" priority="290">
      <formula>$Z$2=5</formula>
    </cfRule>
    <cfRule type="expression" dxfId="152" priority="291">
      <formula>$Z$2=4</formula>
    </cfRule>
    <cfRule type="expression" dxfId="151" priority="292">
      <formula>$Z$2=3</formula>
    </cfRule>
  </conditionalFormatting>
  <conditionalFormatting sqref="V21">
    <cfRule type="expression" dxfId="150" priority="282">
      <formula>$Z$2=1</formula>
    </cfRule>
  </conditionalFormatting>
  <conditionalFormatting sqref="V21">
    <cfRule type="expression" dxfId="149" priority="266" stopIfTrue="1">
      <formula>(OR(Z2="1",Z2="2",Z2="3"))</formula>
    </cfRule>
  </conditionalFormatting>
  <conditionalFormatting sqref="V22">
    <cfRule type="expression" dxfId="148" priority="264">
      <formula>(OR(Z2="2",Z2="3"))</formula>
    </cfRule>
  </conditionalFormatting>
  <conditionalFormatting sqref="V23">
    <cfRule type="expression" dxfId="147" priority="263">
      <formula>(Z2="3")</formula>
    </cfRule>
  </conditionalFormatting>
  <conditionalFormatting sqref="V21">
    <cfRule type="expression" dxfId="146" priority="347">
      <formula>$Z$2=2</formula>
    </cfRule>
    <cfRule type="expression" dxfId="145" priority="348">
      <formula>$Z$2=5</formula>
    </cfRule>
    <cfRule type="expression" dxfId="144" priority="349">
      <formula>$Z$2=4</formula>
    </cfRule>
    <cfRule type="expression" dxfId="143" priority="350">
      <formula>$Z$2=3</formula>
    </cfRule>
  </conditionalFormatting>
  <conditionalFormatting sqref="V21">
    <cfRule type="expression" dxfId="142" priority="237">
      <formula>$X$2=2</formula>
    </cfRule>
    <cfRule type="expression" dxfId="141" priority="238">
      <formula>$X$2=5</formula>
    </cfRule>
    <cfRule type="expression" dxfId="140" priority="239">
      <formula>$X$2=4</formula>
    </cfRule>
    <cfRule type="expression" dxfId="139" priority="240">
      <formula>$X$2=3</formula>
    </cfRule>
  </conditionalFormatting>
  <conditionalFormatting sqref="V22">
    <cfRule type="expression" dxfId="138" priority="233">
      <formula>$X$2=5</formula>
    </cfRule>
    <cfRule type="expression" dxfId="137" priority="234">
      <formula>$X$2=4</formula>
    </cfRule>
    <cfRule type="expression" dxfId="136" priority="235">
      <formula>$X$2=3</formula>
    </cfRule>
    <cfRule type="expression" dxfId="135" priority="236">
      <formula>$X$2=2</formula>
    </cfRule>
  </conditionalFormatting>
  <conditionalFormatting sqref="V23">
    <cfRule type="expression" dxfId="134" priority="229">
      <formula>$X$2=5</formula>
    </cfRule>
    <cfRule type="expression" dxfId="133" priority="230">
      <formula>$X$2=4</formula>
    </cfRule>
    <cfRule type="expression" dxfId="132" priority="231">
      <formula>$X$2=3</formula>
    </cfRule>
  </conditionalFormatting>
  <conditionalFormatting sqref="V21">
    <cfRule type="expression" dxfId="131" priority="222">
      <formula>$X$2=1</formula>
    </cfRule>
  </conditionalFormatting>
  <conditionalFormatting sqref="F21">
    <cfRule type="expression" dxfId="130" priority="220">
      <formula>$H$2=0</formula>
    </cfRule>
    <cfRule type="expression" dxfId="129" priority="221" stopIfTrue="1">
      <formula>(OR(H2="1",H2="2",H2="3"))</formula>
    </cfRule>
  </conditionalFormatting>
  <conditionalFormatting sqref="F22">
    <cfRule type="expression" dxfId="128" priority="219">
      <formula>(OR(H2="2",H2="3"))</formula>
    </cfRule>
  </conditionalFormatting>
  <conditionalFormatting sqref="F23">
    <cfRule type="cellIs" dxfId="127" priority="217" operator="equal">
      <formula>0</formula>
    </cfRule>
    <cfRule type="expression" dxfId="126" priority="218">
      <formula>(H2="3")</formula>
    </cfRule>
  </conditionalFormatting>
  <conditionalFormatting sqref="V21">
    <cfRule type="expression" dxfId="125" priority="216" stopIfTrue="1">
      <formula>(OR(X2="1",X2="2",X2="3"))</formula>
    </cfRule>
  </conditionalFormatting>
  <conditionalFormatting sqref="V22">
    <cfRule type="expression" dxfId="124" priority="214">
      <formula>(OR(X2="2",X2="3"))</formula>
    </cfRule>
  </conditionalFormatting>
  <conditionalFormatting sqref="V23">
    <cfRule type="expression" dxfId="123" priority="213">
      <formula>(X2="3")</formula>
    </cfRule>
  </conditionalFormatting>
  <conditionalFormatting sqref="AA8:AA9 AB8:AD8 C8:F9">
    <cfRule type="expression" dxfId="122" priority="100">
      <formula>(OR($E$2=3,$E$2=4,$E$2=5))</formula>
    </cfRule>
  </conditionalFormatting>
  <conditionalFormatting sqref="AA9:AD9 S14:V14 K9:N9 C14:F14">
    <cfRule type="containsText" dxfId="121" priority="4" operator="containsText" text="OFFICE">
      <formula>NOT(ISERROR(SEARCH("OFFICE",C9)))</formula>
    </cfRule>
  </conditionalFormatting>
  <pageMargins left="0.70866141732283472" right="0.70866141732283472" top="0.74803149606299213" bottom="0.74803149606299213" header="0.31496062992125984" footer="0.31496062992125984"/>
  <pageSetup paperSize="9" scale="79" fitToHeight="0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7</vt:i4>
      </vt:variant>
    </vt:vector>
  </HeadingPairs>
  <TitlesOfParts>
    <vt:vector size="20" baseType="lpstr">
      <vt:lpstr>Données</vt:lpstr>
      <vt:lpstr>Tableau Général</vt:lpstr>
      <vt:lpstr>Poule 1 et 2</vt:lpstr>
      <vt:lpstr>Poule 3 et 4</vt:lpstr>
      <vt:lpstr>Poule 5 et 6</vt:lpstr>
      <vt:lpstr>Poule 7 et 8</vt:lpstr>
      <vt:lpstr>Poule 9 et 10</vt:lpstr>
      <vt:lpstr>Poule 11 et 12</vt:lpstr>
      <vt:lpstr>Poule 13 et 14</vt:lpstr>
      <vt:lpstr>Poule 15 et 16</vt:lpstr>
      <vt:lpstr>parties élimin. 1.16ème</vt:lpstr>
      <vt:lpstr>Manuel</vt:lpstr>
      <vt:lpstr>Changements</vt:lpstr>
      <vt:lpstr>Catégorie</vt:lpstr>
      <vt:lpstr>Féminine</vt:lpstr>
      <vt:lpstr>Jeunes</vt:lpstr>
      <vt:lpstr>Masculin</vt:lpstr>
      <vt:lpstr>Série</vt:lpstr>
      <vt:lpstr>'Poule 1 et 2'!Zone_d_impression</vt:lpstr>
      <vt:lpstr>'Poule 5 et 6'!Zone_d_impression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Alain</cp:lastModifiedBy>
  <cp:lastPrinted>2020-04-08T09:59:51Z</cp:lastPrinted>
  <dcterms:created xsi:type="dcterms:W3CDTF">2013-08-06T09:32:55Z</dcterms:created>
  <dcterms:modified xsi:type="dcterms:W3CDTF">2021-01-21T08:55:06Z</dcterms:modified>
</cp:coreProperties>
</file>