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845" yWindow="75" windowWidth="13065" windowHeight="11475" tabRatio="803" activeTab="1"/>
  </bookViews>
  <sheets>
    <sheet name="Données" sheetId="10" r:id="rId1"/>
    <sheet name="Tableau général" sheetId="19" r:id="rId2"/>
    <sheet name="Poule 1 et 2" sheetId="1" state="hidden" r:id="rId3"/>
    <sheet name="Poule 3 et 4" sheetId="2" state="hidden" r:id="rId4"/>
    <sheet name="Poule 5 et 6" sheetId="3" state="hidden" r:id="rId5"/>
    <sheet name="Poule 7 et 8" sheetId="4" state="hidden" r:id="rId6"/>
    <sheet name="Poule 9 et 10" sheetId="5" state="hidden" r:id="rId7"/>
    <sheet name="Poule 11 et 12" sheetId="6" state="hidden" r:id="rId8"/>
    <sheet name="Poule 13 et 14" sheetId="7" state="hidden" r:id="rId9"/>
    <sheet name="Poule 15 et 16" sheetId="8" state="hidden" r:id="rId10"/>
    <sheet name="Poule 17 et 18" sheetId="16" state="hidden" r:id="rId11"/>
    <sheet name="Poule 19 et 20" sheetId="17" state="hidden" r:id="rId12"/>
    <sheet name="parties élimin. 1.32ème" sheetId="14" state="hidden" r:id="rId13"/>
    <sheet name="Changements" sheetId="18" r:id="rId14"/>
  </sheets>
  <externalReferences>
    <externalReference r:id="rId15"/>
  </externalReferences>
  <definedNames>
    <definedName name="Catégorie">Données!$A$2:$A$4</definedName>
    <definedName name="Féminine">Données!$C$2:$C$7</definedName>
    <definedName name="Jeunes">Données!$D$2:$D$9</definedName>
    <definedName name="Masculin">Données!$B$2:$B$6</definedName>
    <definedName name="Série">Données!$E$2:$E$5</definedName>
    <definedName name="_xlnm.Print_Area" localSheetId="2">'Poule 1 et 2'!$A$1:$AR$41</definedName>
    <definedName name="_xlnm.Print_Area" localSheetId="1">'Tableau général'!$A$1:$FF$134</definedName>
  </definedNames>
  <calcPr calcId="125725"/>
</workbook>
</file>

<file path=xl/calcChain.xml><?xml version="1.0" encoding="utf-8"?>
<calcChain xmlns="http://schemas.openxmlformats.org/spreadsheetml/2006/main">
  <c r="AX77" i="19"/>
  <c r="W17"/>
  <c r="U18" l="1"/>
  <c r="R18" l="1"/>
  <c r="R17"/>
  <c r="AH66"/>
  <c r="AH65"/>
  <c r="AH64"/>
  <c r="AH92"/>
  <c r="AH90"/>
  <c r="AH89"/>
  <c r="AH88"/>
  <c r="AH86"/>
  <c r="AH85"/>
  <c r="AH84"/>
  <c r="AH78"/>
  <c r="AH77"/>
  <c r="AH76"/>
  <c r="AH74"/>
  <c r="AL74" s="1"/>
  <c r="AH73"/>
  <c r="AL73" s="1"/>
  <c r="AH72"/>
  <c r="AL72" s="1"/>
  <c r="G10"/>
  <c r="BC12"/>
  <c r="CI56" s="1"/>
  <c r="BC11"/>
  <c r="DS11" s="1"/>
  <c r="BC10"/>
  <c r="CI52" s="1"/>
  <c r="BC9"/>
  <c r="CI71" s="1"/>
  <c r="BC8"/>
  <c r="DS15" s="1"/>
  <c r="BC7"/>
  <c r="CI67" s="1"/>
  <c r="CL4" l="1"/>
  <c r="T18"/>
  <c r="T17"/>
  <c r="Q18"/>
  <c r="Q17"/>
  <c r="V18"/>
  <c r="W18"/>
  <c r="X17"/>
  <c r="AH99" s="1"/>
  <c r="X18"/>
  <c r="AH95"/>
  <c r="V17"/>
  <c r="AH91" s="1"/>
  <c r="AH93"/>
  <c r="U17"/>
  <c r="AH87" s="1"/>
  <c r="AH82"/>
  <c r="AH81"/>
  <c r="AH80"/>
  <c r="S18"/>
  <c r="S17"/>
  <c r="AH70"/>
  <c r="AH69"/>
  <c r="AH68"/>
  <c r="P18"/>
  <c r="P17"/>
  <c r="AL65"/>
  <c r="O18"/>
  <c r="N18"/>
  <c r="M18"/>
  <c r="L18"/>
  <c r="K18"/>
  <c r="J18"/>
  <c r="I18"/>
  <c r="H18"/>
  <c r="G18"/>
  <c r="F18"/>
  <c r="E18"/>
  <c r="AH67" l="1"/>
  <c r="AL67" s="1"/>
  <c r="AH71"/>
  <c r="AL71" s="1"/>
  <c r="AH75"/>
  <c r="AL75" s="1"/>
  <c r="O17"/>
  <c r="AH63" s="1"/>
  <c r="N17"/>
  <c r="M17"/>
  <c r="L17"/>
  <c r="K17"/>
  <c r="J17"/>
  <c r="I17"/>
  <c r="H17"/>
  <c r="G17"/>
  <c r="F17"/>
  <c r="E17"/>
  <c r="CK6" l="1"/>
  <c r="AH98" l="1"/>
  <c r="AL98" s="1"/>
  <c r="AR97" s="1"/>
  <c r="AH97"/>
  <c r="AL97" s="1"/>
  <c r="AR98" s="1"/>
  <c r="AH96"/>
  <c r="AL96" s="1"/>
  <c r="AR96" s="1"/>
  <c r="AH94"/>
  <c r="AL94" s="1"/>
  <c r="AR93" s="1"/>
  <c r="AL93"/>
  <c r="AR94" s="1"/>
  <c r="AL92"/>
  <c r="AR92" s="1"/>
  <c r="AL90"/>
  <c r="AR89" s="1"/>
  <c r="AL89"/>
  <c r="AR90" s="1"/>
  <c r="AL88"/>
  <c r="AR88" s="1"/>
  <c r="AL86"/>
  <c r="AR85" s="1"/>
  <c r="AL85"/>
  <c r="AR86" s="1"/>
  <c r="AL84"/>
  <c r="AR84" s="1"/>
  <c r="AL82"/>
  <c r="AR81" s="1"/>
  <c r="AL81"/>
  <c r="AR82" s="1"/>
  <c r="AL80"/>
  <c r="AR80" s="1"/>
  <c r="AL78"/>
  <c r="AR77" s="1"/>
  <c r="AL77"/>
  <c r="AR78" s="1"/>
  <c r="AL76"/>
  <c r="AR76" s="1"/>
  <c r="AR73"/>
  <c r="AR74"/>
  <c r="AR72"/>
  <c r="AR71"/>
  <c r="AL70"/>
  <c r="AR69" s="1"/>
  <c r="AL69"/>
  <c r="AR70" s="1"/>
  <c r="AL68"/>
  <c r="AR68" s="1"/>
  <c r="AR67"/>
  <c r="AL66"/>
  <c r="AR65" s="1"/>
  <c r="AR66"/>
  <c r="AL64"/>
  <c r="AR64" s="1"/>
  <c r="AL63"/>
  <c r="AR63" s="1"/>
  <c r="AL62"/>
  <c r="AR61" s="1"/>
  <c r="AL61"/>
  <c r="AR62" s="1"/>
  <c r="AL60"/>
  <c r="AR60" s="1"/>
  <c r="AL59"/>
  <c r="AR59" s="1"/>
  <c r="AL58"/>
  <c r="AR57" s="1"/>
  <c r="AL57"/>
  <c r="AR58" s="1"/>
  <c r="AL56"/>
  <c r="AR56" s="1"/>
  <c r="AL55"/>
  <c r="AR55" s="1"/>
  <c r="AL54"/>
  <c r="AR53" s="1"/>
  <c r="AL53"/>
  <c r="AR54" s="1"/>
  <c r="AL52"/>
  <c r="AR52" s="1"/>
  <c r="AL51"/>
  <c r="AR51" s="1"/>
  <c r="AL50"/>
  <c r="AR49" s="1"/>
  <c r="AL49"/>
  <c r="AR50" s="1"/>
  <c r="AL48"/>
  <c r="AR48" s="1"/>
  <c r="AL47"/>
  <c r="AR47" s="1"/>
  <c r="AL46"/>
  <c r="AR45" s="1"/>
  <c r="AL45"/>
  <c r="AR46" s="1"/>
  <c r="AL44"/>
  <c r="AR44" s="1"/>
  <c r="AL43"/>
  <c r="AR43" s="1"/>
  <c r="AL42"/>
  <c r="AR41" s="1"/>
  <c r="AL41"/>
  <c r="AR42" s="1"/>
  <c r="AL40"/>
  <c r="AR40" s="1"/>
  <c r="AL39"/>
  <c r="AR39" s="1"/>
  <c r="AL38"/>
  <c r="AR37" s="1"/>
  <c r="AL37"/>
  <c r="AR38" s="1"/>
  <c r="AL36"/>
  <c r="AR36" s="1"/>
  <c r="AL35"/>
  <c r="AR35" s="1"/>
  <c r="AL34"/>
  <c r="AR33" s="1"/>
  <c r="AL33"/>
  <c r="AR34" s="1"/>
  <c r="AL32"/>
  <c r="AR32" s="1"/>
  <c r="AL31"/>
  <c r="AR31" s="1"/>
  <c r="AL30"/>
  <c r="AR29" s="1"/>
  <c r="AL29"/>
  <c r="AR30" s="1"/>
  <c r="AL28"/>
  <c r="AR28" s="1"/>
  <c r="AL27"/>
  <c r="AR27" s="1"/>
  <c r="AL26"/>
  <c r="AR25" s="1"/>
  <c r="AL25"/>
  <c r="AR26" s="1"/>
  <c r="AL24"/>
  <c r="AR24" s="1"/>
  <c r="AL23"/>
  <c r="AR23" s="1"/>
  <c r="AL22"/>
  <c r="AR21" s="1"/>
  <c r="AL21"/>
  <c r="AR22" s="1"/>
  <c r="AL20"/>
  <c r="AR20" s="1"/>
  <c r="G11"/>
  <c r="D3"/>
  <c r="C3"/>
  <c r="P10" l="1"/>
  <c r="FK9"/>
  <c r="AG26"/>
  <c r="BC26" s="1"/>
  <c r="CI64" s="1"/>
  <c r="AG30"/>
  <c r="BC30" s="1"/>
  <c r="CI68" s="1"/>
  <c r="AG34"/>
  <c r="BC34" s="1"/>
  <c r="CI72" s="1"/>
  <c r="AG38"/>
  <c r="BC38" s="1"/>
  <c r="DS12" s="1"/>
  <c r="AG42"/>
  <c r="BC42" s="1"/>
  <c r="DS16" s="1"/>
  <c r="AG46"/>
  <c r="BC46" s="1"/>
  <c r="DS20" s="1"/>
  <c r="AG50"/>
  <c r="BC50" s="1"/>
  <c r="DS24" s="1"/>
  <c r="AG54"/>
  <c r="BC54" s="1"/>
  <c r="DS28" s="1"/>
  <c r="AG58"/>
  <c r="BC58" s="1"/>
  <c r="DS32" s="1"/>
  <c r="AG61"/>
  <c r="BC62" s="1"/>
  <c r="DS36" s="1"/>
  <c r="AG65"/>
  <c r="AG69"/>
  <c r="BC70" s="1"/>
  <c r="CI28" s="1"/>
  <c r="AG77"/>
  <c r="AG81"/>
  <c r="AG85"/>
  <c r="AG22"/>
  <c r="BC22" s="1"/>
  <c r="CI60" s="1"/>
  <c r="AR75"/>
  <c r="AG73"/>
  <c r="BC74" s="1"/>
  <c r="CI36" s="1"/>
  <c r="AL91"/>
  <c r="AR91" s="1"/>
  <c r="AG89"/>
  <c r="AL95"/>
  <c r="AR95" s="1"/>
  <c r="AG93"/>
  <c r="BC94" s="1"/>
  <c r="AL99"/>
  <c r="AR99" s="1"/>
  <c r="AG97"/>
  <c r="BC98" s="1"/>
  <c r="AH79"/>
  <c r="AL79" s="1"/>
  <c r="AL87"/>
  <c r="AH83"/>
  <c r="AL83" s="1"/>
  <c r="D17"/>
  <c r="D18"/>
  <c r="CL2" s="1"/>
  <c r="BC96" l="1"/>
  <c r="AX94"/>
  <c r="BC92"/>
  <c r="AX93"/>
  <c r="BC93" s="1"/>
  <c r="BC86"/>
  <c r="CI16" s="1"/>
  <c r="BC84"/>
  <c r="BC90"/>
  <c r="CI12" s="1"/>
  <c r="BC88"/>
  <c r="BC82"/>
  <c r="CI24" s="1"/>
  <c r="BC80"/>
  <c r="BC72"/>
  <c r="AX74"/>
  <c r="AX65"/>
  <c r="BC68"/>
  <c r="BC76"/>
  <c r="DS40" s="1"/>
  <c r="BC78"/>
  <c r="DS56" s="1"/>
  <c r="AX66"/>
  <c r="AX73"/>
  <c r="AX69"/>
  <c r="AX70"/>
  <c r="BC66"/>
  <c r="CI48" s="1"/>
  <c r="BC64"/>
  <c r="T5"/>
  <c r="AX97"/>
  <c r="AX98"/>
  <c r="BC56"/>
  <c r="BC57"/>
  <c r="BC48"/>
  <c r="BC49"/>
  <c r="BC40"/>
  <c r="BC41"/>
  <c r="DS51" s="1"/>
  <c r="EA52" s="1"/>
  <c r="BC32"/>
  <c r="BC33"/>
  <c r="DS59" s="1"/>
  <c r="EA60" s="1"/>
  <c r="BC24"/>
  <c r="BC25"/>
  <c r="DS67" s="1"/>
  <c r="EA68" s="1"/>
  <c r="BC20"/>
  <c r="BC21"/>
  <c r="DS71" s="1"/>
  <c r="BC60"/>
  <c r="CI51" s="1"/>
  <c r="EA51" s="1"/>
  <c r="BC61"/>
  <c r="BC52"/>
  <c r="CI43" s="1"/>
  <c r="BC53"/>
  <c r="BC44"/>
  <c r="CI35" s="1"/>
  <c r="BC45"/>
  <c r="DS47" s="1"/>
  <c r="EA48" s="1"/>
  <c r="BC36"/>
  <c r="BC37"/>
  <c r="DS55" s="1"/>
  <c r="EA56" s="1"/>
  <c r="BC28"/>
  <c r="BC29"/>
  <c r="DS63" s="1"/>
  <c r="EA64" s="1"/>
  <c r="AX85"/>
  <c r="BC85" s="1"/>
  <c r="BC77"/>
  <c r="CI44" s="1"/>
  <c r="AX81"/>
  <c r="BC81" s="1"/>
  <c r="CI40" s="1"/>
  <c r="AX90"/>
  <c r="AX89"/>
  <c r="BC89" s="1"/>
  <c r="AR87"/>
  <c r="AX86" s="1"/>
  <c r="AR83"/>
  <c r="AX82" s="1"/>
  <c r="AR79"/>
  <c r="AX78" s="1"/>
  <c r="DS48" l="1"/>
  <c r="CI32"/>
  <c r="DS52"/>
  <c r="DS60"/>
  <c r="DS44"/>
  <c r="CI20"/>
  <c r="DS68"/>
  <c r="DS64"/>
  <c r="BC97"/>
  <c r="DS72" s="1"/>
  <c r="BC65"/>
  <c r="BC69"/>
  <c r="BC73"/>
  <c r="DS19" s="1"/>
  <c r="DT6"/>
  <c r="AD2" i="17"/>
  <c r="H2"/>
  <c r="AD2" i="16"/>
  <c r="H2"/>
  <c r="AF9" i="17"/>
  <c r="AF9" i="3"/>
  <c r="AF9" i="4"/>
  <c r="J9" i="3"/>
  <c r="J9" i="4"/>
  <c r="J9" i="2"/>
  <c r="J9" i="1"/>
  <c r="AF9" i="16"/>
  <c r="AF9" i="8"/>
  <c r="J9" i="6"/>
  <c r="J9" i="7"/>
  <c r="J9" i="8"/>
  <c r="J9" i="16"/>
  <c r="J9" i="17"/>
  <c r="EA20" i="19" l="1"/>
  <c r="E2" i="16"/>
  <c r="Q8" s="1"/>
  <c r="E2" i="17"/>
  <c r="Q8" s="1"/>
  <c r="AA2"/>
  <c r="AM8" s="1"/>
  <c r="AA2" i="16"/>
  <c r="AM8" s="1"/>
  <c r="AR15" i="17"/>
  <c r="AQ15"/>
  <c r="V15"/>
  <c r="U15"/>
  <c r="C15"/>
  <c r="AR14"/>
  <c r="AQ14"/>
  <c r="V14"/>
  <c r="U14"/>
  <c r="Y15"/>
  <c r="Y9"/>
  <c r="C9"/>
  <c r="C14" s="1"/>
  <c r="AF8"/>
  <c r="Y8"/>
  <c r="J8"/>
  <c r="C8"/>
  <c r="AI1"/>
  <c r="AE1"/>
  <c r="AA1"/>
  <c r="M1"/>
  <c r="I1"/>
  <c r="E1"/>
  <c r="AR15" i="16"/>
  <c r="AQ15"/>
  <c r="V15"/>
  <c r="U15"/>
  <c r="C15"/>
  <c r="AR14"/>
  <c r="AQ14"/>
  <c r="V14"/>
  <c r="U14"/>
  <c r="Y15"/>
  <c r="Y9"/>
  <c r="Y14" s="1"/>
  <c r="C9"/>
  <c r="C14" s="1"/>
  <c r="AF8"/>
  <c r="Y8"/>
  <c r="J8"/>
  <c r="C8"/>
  <c r="AI1"/>
  <c r="AE1"/>
  <c r="AA1"/>
  <c r="M1"/>
  <c r="I1"/>
  <c r="E1"/>
  <c r="AM14" i="17" l="1"/>
  <c r="Y14"/>
  <c r="M20" i="16"/>
  <c r="AI20"/>
  <c r="Q15" i="17"/>
  <c r="EA35" i="19" l="1"/>
  <c r="CI55"/>
  <c r="EA55" s="1"/>
  <c r="DW59"/>
  <c r="U2" i="14"/>
  <c r="J14" i="17"/>
  <c r="J15" s="1"/>
  <c r="J7"/>
  <c r="M20"/>
  <c r="AF7"/>
  <c r="AM14" i="16"/>
  <c r="AF7"/>
  <c r="AF14"/>
  <c r="AB3"/>
  <c r="AD32" s="1"/>
  <c r="J14"/>
  <c r="J15" s="1"/>
  <c r="Q14"/>
  <c r="J7"/>
  <c r="Q14" i="17"/>
  <c r="AB3"/>
  <c r="AB20" s="1"/>
  <c r="AP1"/>
  <c r="T1"/>
  <c r="AP1" i="16"/>
  <c r="T1"/>
  <c r="EA12" i="19" l="1"/>
  <c r="CM35"/>
  <c r="DW67"/>
  <c r="CM55"/>
  <c r="AM15" i="17"/>
  <c r="AF25" s="1"/>
  <c r="AM15" i="16"/>
  <c r="AF25" s="1"/>
  <c r="AD30" s="1"/>
  <c r="AD33"/>
  <c r="AB21"/>
  <c r="AD29"/>
  <c r="Q15"/>
  <c r="AB20"/>
  <c r="AI21"/>
  <c r="AF26"/>
  <c r="AD31" s="1"/>
  <c r="AI21" i="17"/>
  <c r="AF26"/>
  <c r="AD31" s="1"/>
  <c r="AD33"/>
  <c r="AD32"/>
  <c r="AF14"/>
  <c r="AI20" s="1"/>
  <c r="AF9" i="6"/>
  <c r="AF9" i="7"/>
  <c r="AF9" i="2"/>
  <c r="AB21" i="17" l="1"/>
  <c r="AD29"/>
  <c r="AD30"/>
  <c r="AF9" i="1"/>
  <c r="S2" i="14" l="1"/>
  <c r="Y8" i="6" l="1"/>
  <c r="AF8"/>
  <c r="AR15" i="8" l="1"/>
  <c r="AQ15"/>
  <c r="AR14"/>
  <c r="AQ14"/>
  <c r="AT3" i="14" l="1"/>
  <c r="EA71" i="19"/>
  <c r="CI63"/>
  <c r="EA63" s="1"/>
  <c r="EH62" s="1"/>
  <c r="CI59" l="1"/>
  <c r="EA59" s="1"/>
  <c r="DS43"/>
  <c r="CI47"/>
  <c r="EA47" s="1"/>
  <c r="EH46" s="1"/>
  <c r="CI39"/>
  <c r="EA39" s="1"/>
  <c r="DS35"/>
  <c r="DS27"/>
  <c r="DS23"/>
  <c r="CI27"/>
  <c r="EA27" s="1"/>
  <c r="CI31"/>
  <c r="EA31" s="1"/>
  <c r="EA43"/>
  <c r="EH45" s="1"/>
  <c r="CI23"/>
  <c r="EA23" s="1"/>
  <c r="EH22" s="1"/>
  <c r="EE63"/>
  <c r="EE71"/>
  <c r="CM43"/>
  <c r="DW63"/>
  <c r="DW47"/>
  <c r="DW55"/>
  <c r="F3" i="17"/>
  <c r="F3" i="16"/>
  <c r="AU1" i="14"/>
  <c r="AM1"/>
  <c r="AH1"/>
  <c r="EA24" i="19" l="1"/>
  <c r="EH54"/>
  <c r="EA36"/>
  <c r="EH37" s="1"/>
  <c r="EL37" s="1"/>
  <c r="EP33"/>
  <c r="EV37" s="1"/>
  <c r="FB53" s="1"/>
  <c r="EL45"/>
  <c r="EH53"/>
  <c r="EP34" s="1"/>
  <c r="EV66" s="1"/>
  <c r="EA28"/>
  <c r="EH61"/>
  <c r="EP43" s="1"/>
  <c r="EA44"/>
  <c r="EH29"/>
  <c r="EP23" s="1"/>
  <c r="CM23"/>
  <c r="CM27"/>
  <c r="DW23"/>
  <c r="CM31"/>
  <c r="CM47"/>
  <c r="CM59"/>
  <c r="DW43"/>
  <c r="CM39"/>
  <c r="EE59"/>
  <c r="EE55"/>
  <c r="DS31"/>
  <c r="EA32" s="1"/>
  <c r="EA16"/>
  <c r="EE43"/>
  <c r="EE27"/>
  <c r="EE47"/>
  <c r="EE23"/>
  <c r="DW35"/>
  <c r="EA67"/>
  <c r="EH69" s="1"/>
  <c r="H33" i="17"/>
  <c r="H29"/>
  <c r="J25"/>
  <c r="F20"/>
  <c r="J26"/>
  <c r="H31" s="1"/>
  <c r="F21"/>
  <c r="H32" s="1"/>
  <c r="M21"/>
  <c r="M21" i="16"/>
  <c r="H32"/>
  <c r="J26"/>
  <c r="H31" s="1"/>
  <c r="F21"/>
  <c r="H33"/>
  <c r="H29"/>
  <c r="J25"/>
  <c r="H30" s="1"/>
  <c r="F20"/>
  <c r="V15" i="8"/>
  <c r="U15"/>
  <c r="V14"/>
  <c r="U14"/>
  <c r="V15" i="7"/>
  <c r="U15"/>
  <c r="V14"/>
  <c r="U14"/>
  <c r="V15" i="6"/>
  <c r="U15"/>
  <c r="V14"/>
  <c r="U14"/>
  <c r="V15" i="5"/>
  <c r="U15"/>
  <c r="V14"/>
  <c r="U14"/>
  <c r="V15" i="4"/>
  <c r="U15"/>
  <c r="V14"/>
  <c r="U14"/>
  <c r="V15" i="2"/>
  <c r="U15"/>
  <c r="V14"/>
  <c r="U14"/>
  <c r="Y9" i="1"/>
  <c r="Y14" s="1"/>
  <c r="Y8"/>
  <c r="J8"/>
  <c r="C9"/>
  <c r="C8"/>
  <c r="EP24" i="19" l="1"/>
  <c r="EV61" s="1"/>
  <c r="EE35"/>
  <c r="EL53"/>
  <c r="EL61"/>
  <c r="EP44"/>
  <c r="EV67" s="1"/>
  <c r="EL69"/>
  <c r="EL29"/>
  <c r="CI19"/>
  <c r="EA19" s="1"/>
  <c r="EH21" s="1"/>
  <c r="EL21" s="1"/>
  <c r="CI15"/>
  <c r="EA15" s="1"/>
  <c r="DS39"/>
  <c r="EA40" s="1"/>
  <c r="EE31"/>
  <c r="EH30"/>
  <c r="EE67"/>
  <c r="FB61"/>
  <c r="CM51"/>
  <c r="EE51"/>
  <c r="DW51"/>
  <c r="FJ19"/>
  <c r="H30" i="17"/>
  <c r="AF8" i="1"/>
  <c r="C8" i="2"/>
  <c r="Y8"/>
  <c r="C9"/>
  <c r="C14" s="1"/>
  <c r="Y15"/>
  <c r="C8" i="3"/>
  <c r="J8"/>
  <c r="Y8"/>
  <c r="Y9"/>
  <c r="J8" i="4"/>
  <c r="C15" s="1"/>
  <c r="C8" i="5"/>
  <c r="C9"/>
  <c r="AF8" i="4"/>
  <c r="Y15"/>
  <c r="Y8" i="5"/>
  <c r="Y9"/>
  <c r="Y14" s="1"/>
  <c r="J8" i="6"/>
  <c r="C15"/>
  <c r="Y9"/>
  <c r="Y14" s="1"/>
  <c r="J8" i="7"/>
  <c r="AF8"/>
  <c r="C15"/>
  <c r="Y9"/>
  <c r="Y14" s="1"/>
  <c r="J8" i="8"/>
  <c r="AF8"/>
  <c r="C15"/>
  <c r="Y9"/>
  <c r="Y14" s="1"/>
  <c r="Y15" i="1"/>
  <c r="J8" i="2"/>
  <c r="AF8"/>
  <c r="C15"/>
  <c r="Y9"/>
  <c r="Y14" s="1"/>
  <c r="C9" i="3"/>
  <c r="AF8"/>
  <c r="C8" i="4"/>
  <c r="C9"/>
  <c r="J8" i="5"/>
  <c r="J9"/>
  <c r="Y8" i="4"/>
  <c r="Y9"/>
  <c r="Y14" s="1"/>
  <c r="AF8" i="5"/>
  <c r="AF9"/>
  <c r="Y15" s="1"/>
  <c r="C8" i="6"/>
  <c r="C9"/>
  <c r="C14" s="1"/>
  <c r="Y15"/>
  <c r="C8" i="7"/>
  <c r="Y8"/>
  <c r="C9"/>
  <c r="C14" s="1"/>
  <c r="Y15"/>
  <c r="C8" i="8"/>
  <c r="Y8"/>
  <c r="C9"/>
  <c r="C14" s="1"/>
  <c r="Y15"/>
  <c r="AR15" i="7"/>
  <c r="AQ15"/>
  <c r="AR14"/>
  <c r="AQ14"/>
  <c r="AR15" i="6"/>
  <c r="AQ15"/>
  <c r="AR14"/>
  <c r="AQ14"/>
  <c r="AR15" i="5"/>
  <c r="AQ15"/>
  <c r="AR14"/>
  <c r="AQ14"/>
  <c r="AR15" i="4"/>
  <c r="AQ15"/>
  <c r="AR14"/>
  <c r="AQ14"/>
  <c r="AR15" i="3"/>
  <c r="AQ15"/>
  <c r="V15"/>
  <c r="U15"/>
  <c r="AR14"/>
  <c r="AQ14"/>
  <c r="V14"/>
  <c r="U14"/>
  <c r="AR15" i="2"/>
  <c r="AQ15"/>
  <c r="AR14"/>
  <c r="AQ14"/>
  <c r="FB66" i="19" l="1"/>
  <c r="FJ22" s="1"/>
  <c r="CM19"/>
  <c r="CM15"/>
  <c r="EH14"/>
  <c r="EL13" s="1"/>
  <c r="DW39"/>
  <c r="EE39"/>
  <c r="EH38"/>
  <c r="EV19"/>
  <c r="FB27" s="1"/>
  <c r="FJ16" s="1"/>
  <c r="EE19"/>
  <c r="EP14"/>
  <c r="EE15"/>
  <c r="C14" i="4"/>
  <c r="C15" i="5"/>
  <c r="C14"/>
  <c r="Y15" i="3"/>
  <c r="C15"/>
  <c r="C14"/>
  <c r="Y14"/>
  <c r="C14" i="1"/>
  <c r="EV60" i="19" l="1"/>
  <c r="FB60" s="1"/>
  <c r="FJ21" s="1"/>
  <c r="FB67"/>
  <c r="FJ23" s="1"/>
  <c r="FJ20"/>
  <c r="CI11"/>
  <c r="AI1" i="8"/>
  <c r="AE1"/>
  <c r="EA72" i="19" l="1"/>
  <c r="EA11"/>
  <c r="CM11"/>
  <c r="EH70"/>
  <c r="AA1" i="8"/>
  <c r="M1"/>
  <c r="I1"/>
  <c r="E1"/>
  <c r="DW71" i="19" l="1"/>
  <c r="EH13"/>
  <c r="EP13" s="1"/>
  <c r="EV18" s="1"/>
  <c r="EE11"/>
  <c r="AI1" i="7"/>
  <c r="AE1"/>
  <c r="AA1"/>
  <c r="M1"/>
  <c r="I1"/>
  <c r="E1"/>
  <c r="AI1" i="6"/>
  <c r="AE1"/>
  <c r="AA1"/>
  <c r="M1"/>
  <c r="I1"/>
  <c r="E1"/>
  <c r="FB52" i="19" l="1"/>
  <c r="FJ18" s="1"/>
  <c r="AI1" i="5"/>
  <c r="AE1"/>
  <c r="AA1"/>
  <c r="M1"/>
  <c r="I1"/>
  <c r="E1"/>
  <c r="AI1" i="4" l="1"/>
  <c r="AE1"/>
  <c r="AA1"/>
  <c r="M1"/>
  <c r="I1"/>
  <c r="E1"/>
  <c r="AI1" i="3" l="1"/>
  <c r="AE1"/>
  <c r="AA1"/>
  <c r="M1"/>
  <c r="I1"/>
  <c r="E1"/>
  <c r="AI1" i="2" l="1"/>
  <c r="AE1"/>
  <c r="AA1"/>
  <c r="M1"/>
  <c r="I1"/>
  <c r="E1"/>
  <c r="AR15" i="1" l="1"/>
  <c r="AQ15"/>
  <c r="V15"/>
  <c r="U15"/>
  <c r="AR14" l="1"/>
  <c r="AQ14"/>
  <c r="V14"/>
  <c r="U14"/>
  <c r="C15" l="1"/>
  <c r="AI1" l="1"/>
  <c r="AE1"/>
  <c r="AA1"/>
  <c r="M1"/>
  <c r="I1"/>
  <c r="E1"/>
  <c r="AD2" i="8" l="1"/>
  <c r="H2"/>
  <c r="AD2" i="7"/>
  <c r="H2"/>
  <c r="AD2" i="6"/>
  <c r="H2"/>
  <c r="AD2" i="5"/>
  <c r="H2"/>
  <c r="AD2" i="4"/>
  <c r="H2"/>
  <c r="AD2" i="3"/>
  <c r="H2"/>
  <c r="H2" i="2"/>
  <c r="AD2" l="1"/>
  <c r="H2" i="1"/>
  <c r="AD2"/>
  <c r="AA2" i="8"/>
  <c r="AM8" s="1"/>
  <c r="E2"/>
  <c r="Q8" s="1"/>
  <c r="AA2" i="7"/>
  <c r="AM8" s="1"/>
  <c r="E2"/>
  <c r="Q8" s="1"/>
  <c r="AA2" i="6"/>
  <c r="AM8" s="1"/>
  <c r="E2"/>
  <c r="Q8" s="1"/>
  <c r="AA2" i="5"/>
  <c r="AM8" s="1"/>
  <c r="E2"/>
  <c r="Q8" s="1"/>
  <c r="AA2" i="4"/>
  <c r="AM8" s="1"/>
  <c r="U3" i="14" l="1"/>
  <c r="G37" s="1"/>
  <c r="AM14" i="5"/>
  <c r="AF7"/>
  <c r="AF7" i="6"/>
  <c r="AF7" i="7"/>
  <c r="AF14" i="8"/>
  <c r="AF7"/>
  <c r="Q14" i="6"/>
  <c r="J7"/>
  <c r="Q14" i="7"/>
  <c r="J7"/>
  <c r="Q14" i="8"/>
  <c r="J7"/>
  <c r="AF7" i="4"/>
  <c r="AM14"/>
  <c r="Q14" i="5"/>
  <c r="J7"/>
  <c r="AB3" i="4"/>
  <c r="AB3" i="5"/>
  <c r="AB3" i="6"/>
  <c r="AB3" i="7"/>
  <c r="AB3" i="8"/>
  <c r="F3"/>
  <c r="F3" i="7"/>
  <c r="F3" i="6"/>
  <c r="F3" i="5"/>
  <c r="E2" i="4"/>
  <c r="Q8" s="1"/>
  <c r="AA2" i="3"/>
  <c r="AM8" s="1"/>
  <c r="CM63" i="19" l="1"/>
  <c r="DW11"/>
  <c r="CM67"/>
  <c r="CM71"/>
  <c r="DW19"/>
  <c r="DW27"/>
  <c r="DW31"/>
  <c r="G43" i="14"/>
  <c r="G9"/>
  <c r="M13" s="1"/>
  <c r="B13"/>
  <c r="G40"/>
  <c r="G7"/>
  <c r="G46"/>
  <c r="B25"/>
  <c r="B22"/>
  <c r="G34"/>
  <c r="B16"/>
  <c r="J14" i="7"/>
  <c r="J15" s="1"/>
  <c r="Q15"/>
  <c r="AM15" i="5"/>
  <c r="AB21" s="1"/>
  <c r="AD32" s="1"/>
  <c r="AF14"/>
  <c r="AI20" s="1"/>
  <c r="AD29" s="1"/>
  <c r="B33" i="14" s="1"/>
  <c r="S12" s="1"/>
  <c r="J14" i="8"/>
  <c r="J15" s="1"/>
  <c r="Q15"/>
  <c r="F21" s="1"/>
  <c r="H32" s="1"/>
  <c r="J14" i="6"/>
  <c r="J15" s="1"/>
  <c r="Q15"/>
  <c r="AM14" i="8"/>
  <c r="AI21" s="1"/>
  <c r="AM15"/>
  <c r="AM14" i="7"/>
  <c r="AI21" s="1"/>
  <c r="AM15"/>
  <c r="AB21" s="1"/>
  <c r="AD32" s="1"/>
  <c r="AF14"/>
  <c r="AI20" s="1"/>
  <c r="AM14" i="6"/>
  <c r="AI21" s="1"/>
  <c r="AF14"/>
  <c r="AI20" s="1"/>
  <c r="AM15"/>
  <c r="AB21" s="1"/>
  <c r="AD32" s="1"/>
  <c r="J14" i="5"/>
  <c r="J15" s="1"/>
  <c r="Q15"/>
  <c r="AM15" i="4"/>
  <c r="AB21" s="1"/>
  <c r="AD32" s="1"/>
  <c r="AF14"/>
  <c r="AI20" s="1"/>
  <c r="AD29" s="1"/>
  <c r="B27" i="14" s="1"/>
  <c r="M30" s="1"/>
  <c r="Q14" i="4"/>
  <c r="J7"/>
  <c r="AM14" i="3"/>
  <c r="AF7"/>
  <c r="AI20" i="8"/>
  <c r="AB21"/>
  <c r="AD32" s="1"/>
  <c r="AB20"/>
  <c r="AD33"/>
  <c r="AF26"/>
  <c r="AD31" s="1"/>
  <c r="G31" i="14" s="1"/>
  <c r="AD33" i="7"/>
  <c r="AB20"/>
  <c r="AF26" s="1"/>
  <c r="AD31" s="1"/>
  <c r="G28" i="14" s="1"/>
  <c r="AD33" i="6"/>
  <c r="AB20"/>
  <c r="AF26" s="1"/>
  <c r="AD31" s="1"/>
  <c r="G22" i="14" s="1"/>
  <c r="AD33" i="5"/>
  <c r="AI21"/>
  <c r="AB20"/>
  <c r="AF26" s="1"/>
  <c r="AD31" s="1"/>
  <c r="G16" i="14" s="1"/>
  <c r="AD33" i="4"/>
  <c r="AI21"/>
  <c r="AB20"/>
  <c r="AF26" s="1"/>
  <c r="AD31" s="1"/>
  <c r="G10" i="14" s="1"/>
  <c r="AB3" i="3"/>
  <c r="M21" i="5"/>
  <c r="H33"/>
  <c r="F20"/>
  <c r="J26" s="1"/>
  <c r="H31" s="1"/>
  <c r="G13" i="14" s="1"/>
  <c r="M21" i="6"/>
  <c r="H33"/>
  <c r="F20"/>
  <c r="J26" s="1"/>
  <c r="H31" s="1"/>
  <c r="G19" i="14" s="1"/>
  <c r="M21" i="7"/>
  <c r="H33"/>
  <c r="F20"/>
  <c r="J26" s="1"/>
  <c r="H31" s="1"/>
  <c r="G25" i="14" s="1"/>
  <c r="H33" i="8"/>
  <c r="F20"/>
  <c r="J26" s="1"/>
  <c r="H31" s="1"/>
  <c r="B28" i="14" s="1"/>
  <c r="M21" i="8"/>
  <c r="F3" i="4"/>
  <c r="E2" i="3"/>
  <c r="Q8" s="1"/>
  <c r="B19" i="14" l="1"/>
  <c r="DW15" i="19"/>
  <c r="EV38"/>
  <c r="FB28" s="1"/>
  <c r="FJ17" s="1"/>
  <c r="J25" i="6"/>
  <c r="H30" s="1"/>
  <c r="G21" i="14" s="1"/>
  <c r="M25" s="1"/>
  <c r="AD29" i="8"/>
  <c r="B52" i="14" s="1"/>
  <c r="AD29" i="7"/>
  <c r="B45" i="14" s="1"/>
  <c r="S24" s="1"/>
  <c r="AD29" i="6"/>
  <c r="B39" i="14" s="1"/>
  <c r="S18" s="1"/>
  <c r="J25" i="5"/>
  <c r="H30" s="1"/>
  <c r="G27" i="14" s="1"/>
  <c r="M31" s="1"/>
  <c r="Y30" s="1"/>
  <c r="AC31" s="1"/>
  <c r="J25" i="8"/>
  <c r="J25" i="7"/>
  <c r="F21" i="6"/>
  <c r="H32" s="1"/>
  <c r="Q14" i="3"/>
  <c r="J14" i="4"/>
  <c r="J15" s="1"/>
  <c r="Q15"/>
  <c r="F21" s="1"/>
  <c r="H32" s="1"/>
  <c r="AF25" i="8"/>
  <c r="AF25" i="4"/>
  <c r="AD30" s="1"/>
  <c r="G30" i="14" s="1"/>
  <c r="S10" s="1"/>
  <c r="AF25" i="5"/>
  <c r="AD30" s="1"/>
  <c r="G24" i="14" s="1"/>
  <c r="M28" s="1"/>
  <c r="AF25" i="6"/>
  <c r="AF25" i="7"/>
  <c r="M20" i="8"/>
  <c r="F21" i="7"/>
  <c r="H32" s="1"/>
  <c r="M20"/>
  <c r="M20" i="6"/>
  <c r="H29" s="1"/>
  <c r="B36" i="14" s="1"/>
  <c r="S15" s="1"/>
  <c r="F21" i="5"/>
  <c r="H32" s="1"/>
  <c r="M20"/>
  <c r="H29" s="1"/>
  <c r="B30" i="14" s="1"/>
  <c r="S9" s="1"/>
  <c r="M21" i="4"/>
  <c r="H33"/>
  <c r="AM15" i="3"/>
  <c r="AF14"/>
  <c r="AD33"/>
  <c r="J7"/>
  <c r="F3"/>
  <c r="AA2" i="2"/>
  <c r="AM8" s="1"/>
  <c r="E2"/>
  <c r="Q8" s="1"/>
  <c r="AA2" i="1"/>
  <c r="AM8" s="1"/>
  <c r="Y10" i="14" l="1"/>
  <c r="AE9" s="1"/>
  <c r="AI9" s="1"/>
  <c r="AM15" i="1"/>
  <c r="H29" i="8"/>
  <c r="B48" i="14" s="1"/>
  <c r="S27" s="1"/>
  <c r="H29" i="7"/>
  <c r="B42" i="14" s="1"/>
  <c r="S21" s="1"/>
  <c r="AD30" i="8"/>
  <c r="G6" i="14" s="1"/>
  <c r="M10" s="1"/>
  <c r="H30" i="8"/>
  <c r="B51" i="14" s="1"/>
  <c r="S30" s="1"/>
  <c r="AD30" i="7"/>
  <c r="G12" i="14" s="1"/>
  <c r="M16" s="1"/>
  <c r="AD30" i="6"/>
  <c r="G18" i="14" s="1"/>
  <c r="M22" s="1"/>
  <c r="H30" i="7"/>
  <c r="G15" i="14" s="1"/>
  <c r="M19" s="1"/>
  <c r="AI21" i="3"/>
  <c r="AM14" i="2"/>
  <c r="AF7"/>
  <c r="AF7" i="1"/>
  <c r="J7" i="2"/>
  <c r="Q14"/>
  <c r="M20" i="4"/>
  <c r="F20"/>
  <c r="J26" s="1"/>
  <c r="H31" s="1"/>
  <c r="B49" i="14" s="1"/>
  <c r="M21" i="3"/>
  <c r="H33"/>
  <c r="J14"/>
  <c r="AI20" s="1"/>
  <c r="Q15"/>
  <c r="F20" s="1"/>
  <c r="J26" s="1"/>
  <c r="F3" i="2"/>
  <c r="AB3"/>
  <c r="E2" i="1"/>
  <c r="Q8" s="1"/>
  <c r="T1" i="8" l="1"/>
  <c r="T1" i="7"/>
  <c r="T1" i="6"/>
  <c r="T1" i="5"/>
  <c r="T1" i="4"/>
  <c r="T1" i="3"/>
  <c r="AP1" i="8"/>
  <c r="AP1" i="7"/>
  <c r="AP1" i="6"/>
  <c r="AP1" i="5"/>
  <c r="AP1" i="4"/>
  <c r="AP1" i="3"/>
  <c r="AP1" i="1"/>
  <c r="T1" i="2"/>
  <c r="AP1"/>
  <c r="T1" i="1"/>
  <c r="AB20" i="3"/>
  <c r="AF14" i="1"/>
  <c r="AI20" s="1"/>
  <c r="AB21" i="3"/>
  <c r="AM15" i="2"/>
  <c r="AB21" s="1"/>
  <c r="AF14"/>
  <c r="AI20" s="1"/>
  <c r="J14"/>
  <c r="Q15"/>
  <c r="F21" s="1"/>
  <c r="AI21"/>
  <c r="AM14" i="1"/>
  <c r="F3"/>
  <c r="Q15"/>
  <c r="J25" i="4"/>
  <c r="H30" s="1"/>
  <c r="G33" i="14" s="1"/>
  <c r="S13" s="1"/>
  <c r="Y13" s="1"/>
  <c r="F21" i="3"/>
  <c r="H32" s="1"/>
  <c r="J15"/>
  <c r="M20"/>
  <c r="H29" i="4"/>
  <c r="B24" i="14" s="1"/>
  <c r="M27" s="1"/>
  <c r="Y27" s="1"/>
  <c r="J25" i="3"/>
  <c r="AD33" i="2"/>
  <c r="H33"/>
  <c r="AB3" i="1"/>
  <c r="J7"/>
  <c r="AE27" i="14" l="1"/>
  <c r="AE10"/>
  <c r="AD1" i="17"/>
  <c r="H1"/>
  <c r="H1" i="16"/>
  <c r="AD1"/>
  <c r="AF25" i="3"/>
  <c r="AD29" s="1"/>
  <c r="B21" i="14" s="1"/>
  <c r="M24" s="1"/>
  <c r="Y24" s="1"/>
  <c r="AF26" i="3"/>
  <c r="AD31" s="1"/>
  <c r="B46" i="14" s="1"/>
  <c r="M21" i="2"/>
  <c r="AD32" i="3"/>
  <c r="AB20" i="2"/>
  <c r="AF26" s="1"/>
  <c r="AD31" s="1"/>
  <c r="B40" i="14" s="1"/>
  <c r="F20" i="2"/>
  <c r="J26" s="1"/>
  <c r="AF25"/>
  <c r="AD30" s="1"/>
  <c r="G42" i="14" s="1"/>
  <c r="S22" s="1"/>
  <c r="Y22" s="1"/>
  <c r="J15" i="2"/>
  <c r="M20"/>
  <c r="H31" i="3"/>
  <c r="B43" i="14" s="1"/>
  <c r="AD32" i="2"/>
  <c r="H32"/>
  <c r="H30" i="3"/>
  <c r="G39" i="14" s="1"/>
  <c r="S19" s="1"/>
  <c r="Y19" s="1"/>
  <c r="H29" i="3"/>
  <c r="Q14" i="1"/>
  <c r="F20" s="1"/>
  <c r="H33"/>
  <c r="AI21"/>
  <c r="AB20"/>
  <c r="AF26" s="1"/>
  <c r="AB21"/>
  <c r="AD32" s="1"/>
  <c r="AD33"/>
  <c r="J14"/>
  <c r="AD1" i="8"/>
  <c r="H1"/>
  <c r="AD1" i="7"/>
  <c r="H1" i="6"/>
  <c r="H1" i="7"/>
  <c r="AD1" i="6"/>
  <c r="H1" i="5"/>
  <c r="AD1"/>
  <c r="AD1" i="4"/>
  <c r="H1"/>
  <c r="AD1" i="3"/>
  <c r="H1"/>
  <c r="AD1" i="2"/>
  <c r="H1"/>
  <c r="AD1" i="1"/>
  <c r="H1"/>
  <c r="AE16" i="14" l="1"/>
  <c r="AE21"/>
  <c r="AE22"/>
  <c r="AK9"/>
  <c r="AO9" s="1"/>
  <c r="AQ12" s="1"/>
  <c r="AU13" s="1"/>
  <c r="AX17" s="1"/>
  <c r="AI10"/>
  <c r="AK21"/>
  <c r="AO21" s="1"/>
  <c r="AK16"/>
  <c r="AI27"/>
  <c r="B18"/>
  <c r="AD30" i="3"/>
  <c r="G36" i="14" s="1"/>
  <c r="S16" s="1"/>
  <c r="Y16" s="1"/>
  <c r="F21" i="1"/>
  <c r="H32" s="1"/>
  <c r="J25" i="2"/>
  <c r="H30" s="1"/>
  <c r="G45" i="14" s="1"/>
  <c r="S25" s="1"/>
  <c r="Y25" s="1"/>
  <c r="AC24" s="1"/>
  <c r="H31" i="2"/>
  <c r="B37" i="14" s="1"/>
  <c r="AD29" i="2"/>
  <c r="B15" i="14" s="1"/>
  <c r="M18" s="1"/>
  <c r="Y18" s="1"/>
  <c r="AC18" s="1"/>
  <c r="M21" i="1"/>
  <c r="H29" s="1"/>
  <c r="B6" i="14" s="1"/>
  <c r="M9" s="1"/>
  <c r="Y9" s="1"/>
  <c r="AF25" i="1"/>
  <c r="AD30" s="1"/>
  <c r="G48" i="14" s="1"/>
  <c r="S28" s="1"/>
  <c r="Y28" s="1"/>
  <c r="J26" i="1"/>
  <c r="H31" s="1"/>
  <c r="B31" i="14" s="1"/>
  <c r="AD31" i="1"/>
  <c r="B34" i="14" s="1"/>
  <c r="J15" i="1"/>
  <c r="M20"/>
  <c r="AO16" i="14" l="1"/>
  <c r="AX19" s="1"/>
  <c r="AQ28"/>
  <c r="AU28" s="1"/>
  <c r="AC9"/>
  <c r="AC10"/>
  <c r="AC25"/>
  <c r="AC19"/>
  <c r="AC27"/>
  <c r="AC28"/>
  <c r="AE15"/>
  <c r="AK15"/>
  <c r="AO15" s="1"/>
  <c r="AQ13" s="1"/>
  <c r="AU12" s="1"/>
  <c r="AX16" s="1"/>
  <c r="AI21"/>
  <c r="AI22"/>
  <c r="AK27"/>
  <c r="AO27" s="1"/>
  <c r="AK10"/>
  <c r="AI15"/>
  <c r="M21"/>
  <c r="Y21" s="1"/>
  <c r="J25" i="1"/>
  <c r="H30" s="1"/>
  <c r="G51" i="14" s="1"/>
  <c r="S31" s="1"/>
  <c r="Y31" s="1"/>
  <c r="AD29" i="1"/>
  <c r="H29" i="2"/>
  <c r="B12" i="14" s="1"/>
  <c r="M15" s="1"/>
  <c r="Y15" s="1"/>
  <c r="AC15" s="1"/>
  <c r="AO10" l="1"/>
  <c r="AQ27"/>
  <c r="AU27" s="1"/>
  <c r="AX21"/>
  <c r="AC21"/>
  <c r="AC22"/>
  <c r="AC16"/>
  <c r="AC30"/>
  <c r="AE28"/>
  <c r="AI16"/>
  <c r="AK22"/>
  <c r="B9"/>
  <c r="AX18" l="1"/>
  <c r="AO22"/>
  <c r="AQ21"/>
  <c r="AU21" s="1"/>
  <c r="AI28"/>
  <c r="AK28"/>
  <c r="M12"/>
  <c r="Y12" s="1"/>
  <c r="F4"/>
  <c r="AO28" l="1"/>
  <c r="AX23" s="1"/>
  <c r="AQ22"/>
  <c r="AU22" s="1"/>
  <c r="AX20"/>
  <c r="AX22"/>
  <c r="AC12"/>
  <c r="AC13"/>
</calcChain>
</file>

<file path=xl/sharedStrings.xml><?xml version="1.0" encoding="utf-8"?>
<sst xmlns="http://schemas.openxmlformats.org/spreadsheetml/2006/main" count="1470" uniqueCount="365">
  <si>
    <t>1er de Poule:</t>
  </si>
  <si>
    <t>2ème de Poule:</t>
  </si>
  <si>
    <t>3ème de Poule:</t>
  </si>
  <si>
    <t>4ème de Poule:</t>
  </si>
  <si>
    <t>5ème de Poule:</t>
  </si>
  <si>
    <t>Score</t>
  </si>
  <si>
    <t>Jeu</t>
  </si>
  <si>
    <t>Parties éliminatoires (Championnat et Repêchage)</t>
  </si>
  <si>
    <t>1/8èmes de Finale</t>
  </si>
  <si>
    <t>1/4 de Finale</t>
  </si>
  <si>
    <t>1/16èmes de Finale</t>
  </si>
  <si>
    <t>A</t>
  </si>
  <si>
    <t>B</t>
  </si>
  <si>
    <t xml:space="preserve"> </t>
  </si>
  <si>
    <t>Poule 3</t>
  </si>
  <si>
    <t>Poule 4</t>
  </si>
  <si>
    <t>Equipes</t>
  </si>
  <si>
    <t>Qualifiés</t>
  </si>
  <si>
    <t>Nombre d'équipes participantes</t>
  </si>
  <si>
    <t>Année</t>
  </si>
  <si>
    <t>Nombre équipes participantes:</t>
  </si>
  <si>
    <t>Poule 1</t>
  </si>
  <si>
    <t>Poule 2</t>
  </si>
  <si>
    <t>Poule 5</t>
  </si>
  <si>
    <t>Poule 6</t>
  </si>
  <si>
    <t>Poule 7</t>
  </si>
  <si>
    <t>Poule 8</t>
  </si>
  <si>
    <t>Poule 9</t>
  </si>
  <si>
    <t>Poule 10</t>
  </si>
  <si>
    <t>Poule 11</t>
  </si>
  <si>
    <t>Poule 12</t>
  </si>
  <si>
    <t>Poule 13</t>
  </si>
  <si>
    <t>Poule 14</t>
  </si>
  <si>
    <t>Poule 15</t>
  </si>
  <si>
    <t>Poule 16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</si>
  <si>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</si>
  <si>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</si>
  <si>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</si>
  <si>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</si>
  <si>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</si>
  <si>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</si>
  <si>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</si>
  <si>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</si>
  <si>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</si>
  <si>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</si>
  <si>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</si>
  <si>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</si>
  <si>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</si>
  <si>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</si>
  <si>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</si>
  <si>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</si>
  <si>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D</t>
  </si>
  <si>
    <t>E</t>
  </si>
  <si>
    <t>Nombre d'équipes qualifiées au Ch de France :</t>
  </si>
  <si>
    <t>Fédéral du Comité de l'Ardèche</t>
  </si>
  <si>
    <t>Année:</t>
  </si>
  <si>
    <t>Type:</t>
  </si>
  <si>
    <t>Division(s):</t>
  </si>
  <si>
    <t>C</t>
  </si>
  <si>
    <t>F</t>
  </si>
  <si>
    <t>G</t>
  </si>
  <si>
    <t>H</t>
  </si>
  <si>
    <t>K</t>
  </si>
  <si>
    <t>L</t>
  </si>
  <si>
    <t>M</t>
  </si>
  <si>
    <t>N</t>
  </si>
  <si>
    <t>P</t>
  </si>
  <si>
    <t>R</t>
  </si>
  <si>
    <t>S</t>
  </si>
  <si>
    <t>T</t>
  </si>
  <si>
    <t xml:space="preserve">FEDERAL CBD DE </t>
  </si>
  <si>
    <t>TIRAGE</t>
  </si>
  <si>
    <t>NOMS</t>
  </si>
  <si>
    <t>AS</t>
  </si>
  <si>
    <t xml:space="preserve">Nombre d'équipes qualifiées </t>
  </si>
  <si>
    <t>Classement</t>
  </si>
  <si>
    <t>Gagnants</t>
  </si>
  <si>
    <t>Perdants</t>
  </si>
  <si>
    <t>Office</t>
  </si>
  <si>
    <t>Vérouillage: AB</t>
  </si>
  <si>
    <t xml:space="preserve">Nb de qualifiés </t>
  </si>
  <si>
    <r>
      <t xml:space="preserve"> </t>
    </r>
    <r>
      <rPr>
        <u/>
        <sz val="11"/>
        <color theme="1"/>
        <rFont val="Times New Roman"/>
        <family val="1"/>
      </rPr>
      <t>Remarque</t>
    </r>
    <r>
      <rPr>
        <sz val="11"/>
        <color theme="1"/>
        <rFont val="Times New Roman"/>
        <family val="1"/>
      </rPr>
      <t>: Lors de la phase 2, les perdants de la Phase 1 sont sur la gauche de l'écran et les gagnants sur la droite</t>
    </r>
  </si>
  <si>
    <t xml:space="preserve">FEDERAL  DE </t>
  </si>
  <si>
    <t>jeux</t>
  </si>
  <si>
    <t>A2</t>
  </si>
  <si>
    <t>A3</t>
  </si>
  <si>
    <t>A5</t>
  </si>
  <si>
    <t>A6</t>
  </si>
  <si>
    <t>B2</t>
  </si>
  <si>
    <t>C2</t>
  </si>
  <si>
    <t>D2</t>
  </si>
  <si>
    <t>B3</t>
  </si>
  <si>
    <t>C3</t>
  </si>
  <si>
    <t>D3</t>
  </si>
  <si>
    <t>B4</t>
  </si>
  <si>
    <t>C4</t>
  </si>
  <si>
    <t>D4</t>
  </si>
  <si>
    <t>B5</t>
  </si>
  <si>
    <t>C5</t>
  </si>
  <si>
    <t>D5</t>
  </si>
  <si>
    <t>B6</t>
  </si>
  <si>
    <t>C6</t>
  </si>
  <si>
    <t>D6</t>
  </si>
  <si>
    <t>A7</t>
  </si>
  <si>
    <t>B7</t>
  </si>
  <si>
    <t>C7</t>
  </si>
  <si>
    <t>D7</t>
  </si>
  <si>
    <t>A8</t>
  </si>
  <si>
    <t>B8</t>
  </si>
  <si>
    <t>C8</t>
  </si>
  <si>
    <t>D8</t>
  </si>
  <si>
    <t>A9</t>
  </si>
  <si>
    <t>B9</t>
  </si>
  <si>
    <t>C9</t>
  </si>
  <si>
    <t>D9</t>
  </si>
  <si>
    <t>A10</t>
  </si>
  <si>
    <t>B10</t>
  </si>
  <si>
    <t>C10</t>
  </si>
  <si>
    <t>D10</t>
  </si>
  <si>
    <t>A11</t>
  </si>
  <si>
    <t>B11</t>
  </si>
  <si>
    <t>C11</t>
  </si>
  <si>
    <t>D11</t>
  </si>
  <si>
    <t>A12</t>
  </si>
  <si>
    <t>B12</t>
  </si>
  <si>
    <t>1 à 80</t>
  </si>
  <si>
    <t>A1</t>
  </si>
  <si>
    <t>B1</t>
  </si>
  <si>
    <t>C1</t>
  </si>
  <si>
    <t>D1</t>
  </si>
  <si>
    <t>Poules</t>
  </si>
  <si>
    <t>C12</t>
  </si>
  <si>
    <t>D12</t>
  </si>
  <si>
    <t>A13</t>
  </si>
  <si>
    <t>B13</t>
  </si>
  <si>
    <t>C13</t>
  </si>
  <si>
    <t>D13</t>
  </si>
  <si>
    <t>A14</t>
  </si>
  <si>
    <t>B14</t>
  </si>
  <si>
    <t>C14</t>
  </si>
  <si>
    <t>A15</t>
  </si>
  <si>
    <t>B15</t>
  </si>
  <si>
    <t>C15</t>
  </si>
  <si>
    <t>A16</t>
  </si>
  <si>
    <t>B16</t>
  </si>
  <si>
    <t>C16</t>
  </si>
  <si>
    <t>.</t>
  </si>
  <si>
    <t>Nbre Eq.</t>
  </si>
  <si>
    <t>Nbre Q. P.</t>
  </si>
  <si>
    <t>P17</t>
  </si>
  <si>
    <t>P18</t>
  </si>
  <si>
    <t>P19</t>
  </si>
  <si>
    <t>P20</t>
  </si>
  <si>
    <t>Poule 17</t>
  </si>
  <si>
    <t>Poule 18</t>
  </si>
  <si>
    <t>Poule 19</t>
  </si>
  <si>
    <t>Poule 20</t>
  </si>
  <si>
    <t>32èmes de Finale</t>
  </si>
  <si>
    <t>U</t>
  </si>
  <si>
    <t>V</t>
  </si>
  <si>
    <t>I</t>
  </si>
  <si>
    <t>J</t>
  </si>
  <si>
    <t>O</t>
  </si>
  <si>
    <t>Q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</si>
  <si>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</si>
  <si>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</si>
  <si>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</si>
  <si>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</si>
  <si>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</si>
  <si>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</si>
  <si>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</si>
  <si>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</si>
  <si>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</si>
  <si>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</si>
  <si>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Offices</t>
  </si>
  <si>
    <t>P.1;H29</t>
  </si>
  <si>
    <t>P.3;H29</t>
  </si>
  <si>
    <t>P.2;AD29</t>
  </si>
  <si>
    <t>P.4;AD29</t>
  </si>
  <si>
    <t>P.5;H29</t>
  </si>
  <si>
    <t>P.6;AD29</t>
  </si>
  <si>
    <t>P.7;H29</t>
  </si>
  <si>
    <t>P.8;AD29</t>
  </si>
  <si>
    <t>P.9;H29</t>
  </si>
  <si>
    <t>P.10;AD29</t>
  </si>
  <si>
    <t>P.1;H31</t>
  </si>
  <si>
    <t>P.2;AD31</t>
  </si>
  <si>
    <t>P.11;H31</t>
  </si>
  <si>
    <t>P.11;H29</t>
  </si>
  <si>
    <t>P.3;H31</t>
  </si>
  <si>
    <t>P.12;AD29</t>
  </si>
  <si>
    <t>P.4;AD31</t>
  </si>
  <si>
    <t>P.13;H29</t>
  </si>
  <si>
    <t>P.5;H31</t>
  </si>
  <si>
    <t>P.14;AD29</t>
  </si>
  <si>
    <t>P.7;H31</t>
  </si>
  <si>
    <t>P.8;AD31</t>
  </si>
  <si>
    <t>P.14;AD30</t>
  </si>
  <si>
    <t>P.9;H31</t>
  </si>
  <si>
    <t>P.13;H30</t>
  </si>
  <si>
    <t>P.10;AD31</t>
  </si>
  <si>
    <t>P.12;AD30</t>
  </si>
  <si>
    <t>P.11;H30</t>
  </si>
  <si>
    <t>P.12;AD31</t>
  </si>
  <si>
    <t>P.10;AD30</t>
  </si>
  <si>
    <t>P.13;H31</t>
  </si>
  <si>
    <t>P.9;H30</t>
  </si>
  <si>
    <t>P.14;AD31</t>
  </si>
  <si>
    <t>P.8;AD30</t>
  </si>
  <si>
    <t>P.7;H30</t>
  </si>
  <si>
    <t>P.6;AD30</t>
  </si>
  <si>
    <t>P.5;H30</t>
  </si>
  <si>
    <t>P.4;AD30</t>
  </si>
  <si>
    <t>P.3;H30</t>
  </si>
  <si>
    <t>P.2;AD30</t>
  </si>
  <si>
    <t>P.1;H30</t>
  </si>
  <si>
    <t>OFFICE 1</t>
  </si>
  <si>
    <t>OFFICE 2</t>
  </si>
  <si>
    <t>OFFICE 3</t>
  </si>
  <si>
    <t>OFFICE 4</t>
  </si>
  <si>
    <t>1/2 Finale</t>
  </si>
  <si>
    <t xml:space="preserve"> Finale</t>
  </si>
  <si>
    <t>Equipes Qualifiées au Championnat de France:</t>
  </si>
  <si>
    <t>Repêchage</t>
  </si>
  <si>
    <t>1ère PARTIE</t>
  </si>
  <si>
    <t>2ème PARTIE</t>
  </si>
  <si>
    <t>Barrage perdants 1/2 Finales</t>
  </si>
  <si>
    <t>Championnat</t>
  </si>
  <si>
    <t>Code verrouillage AB</t>
  </si>
  <si>
    <t>le nombre d'équipe par poule s'affiche ainsi que le nombre de qualifiés par poule</t>
  </si>
  <si>
    <t xml:space="preserve">Enregistrer les résultats le déroulement de la poule se fait automatiquement et les équipes s'affichent </t>
  </si>
  <si>
    <t>Nbre Offices</t>
  </si>
  <si>
    <t>Barrages</t>
  </si>
  <si>
    <t>1/4  de Finale</t>
  </si>
  <si>
    <t>1/2  Finale</t>
  </si>
  <si>
    <t>FINALE</t>
  </si>
  <si>
    <t>poules</t>
  </si>
  <si>
    <t>NOM</t>
  </si>
  <si>
    <t>score</t>
  </si>
  <si>
    <t>Jeux</t>
  </si>
  <si>
    <t>Repéchâge</t>
  </si>
  <si>
    <t>5ème  et  6ème  place</t>
  </si>
  <si>
    <t>7ème et 8ème place</t>
  </si>
  <si>
    <t>Nb équ. dans poule</t>
  </si>
  <si>
    <t>16 ème de Finale</t>
  </si>
  <si>
    <t>8 ème de Finale</t>
  </si>
  <si>
    <t>32ème de Finale</t>
  </si>
  <si>
    <t>3ème place et 4ème place</t>
  </si>
  <si>
    <t>BC21</t>
  </si>
  <si>
    <t>BC25</t>
  </si>
  <si>
    <t>BC29</t>
  </si>
  <si>
    <t>BC33</t>
  </si>
  <si>
    <t>BC37</t>
  </si>
  <si>
    <t>BC41</t>
  </si>
  <si>
    <t>BC45</t>
  </si>
  <si>
    <t>BC49</t>
  </si>
  <si>
    <t>BC53</t>
  </si>
  <si>
    <t>BC57</t>
  </si>
  <si>
    <t>BC61</t>
  </si>
  <si>
    <t>BC65</t>
  </si>
  <si>
    <t>BC69</t>
  </si>
  <si>
    <t>OFF</t>
  </si>
  <si>
    <t>FEDERAL</t>
  </si>
  <si>
    <t>LIEUX</t>
  </si>
  <si>
    <t>Effectuer le tirage en notant les numéros colonne AE les noms des équipes s'affichent dans le tableau 1ère partie</t>
  </si>
  <si>
    <t>dans les parties suivantes  jusqu'à la finale et vous obtenez les qualifiés</t>
  </si>
  <si>
    <t>BC9</t>
  </si>
  <si>
    <t>BC62</t>
  </si>
  <si>
    <t>BC58</t>
  </si>
  <si>
    <t>BC54</t>
  </si>
  <si>
    <t>BC50</t>
  </si>
  <si>
    <t>BC46</t>
  </si>
  <si>
    <t>BC42</t>
  </si>
  <si>
    <t>BC38</t>
  </si>
  <si>
    <t>BC30</t>
  </si>
  <si>
    <t>BC26</t>
  </si>
  <si>
    <t>BC22</t>
  </si>
  <si>
    <t>BC10</t>
  </si>
  <si>
    <t>Qualifiés C.Q.</t>
  </si>
  <si>
    <t>BC66</t>
  </si>
  <si>
    <t>BC70</t>
  </si>
  <si>
    <t>A4</t>
  </si>
  <si>
    <t>BC7</t>
  </si>
  <si>
    <t>BC11</t>
  </si>
  <si>
    <t>de 53 à 80 Equipes</t>
  </si>
  <si>
    <t>Qualifiés Concours Qualificatifs</t>
  </si>
  <si>
    <t>1 à 3</t>
  </si>
  <si>
    <t>CQ 1_</t>
  </si>
  <si>
    <t>CQ 2_</t>
  </si>
  <si>
    <t>CQ 3_</t>
  </si>
  <si>
    <t>4 à 6</t>
  </si>
  <si>
    <t>CQ 4_</t>
  </si>
  <si>
    <t>CQ 5_</t>
  </si>
  <si>
    <t>CQ 6_</t>
  </si>
  <si>
    <t>1, 2 et 3 tête de poule</t>
  </si>
  <si>
    <t xml:space="preserve">4, 5 et 6 2ème de poule </t>
  </si>
  <si>
    <t>Nbre éq. sortie des poules + C.Q.</t>
  </si>
  <si>
    <t>BC20</t>
  </si>
  <si>
    <t>BC24</t>
  </si>
  <si>
    <t>BC28</t>
  </si>
  <si>
    <t>BC32</t>
  </si>
  <si>
    <t>BC36</t>
  </si>
  <si>
    <t>BC40</t>
  </si>
  <si>
    <t>BC44</t>
  </si>
  <si>
    <t>BC48</t>
  </si>
  <si>
    <t>BC52</t>
  </si>
  <si>
    <t>BC56</t>
  </si>
  <si>
    <t>BC60</t>
  </si>
  <si>
    <t>BC64</t>
  </si>
  <si>
    <t>BC68</t>
  </si>
  <si>
    <t>BC72</t>
  </si>
  <si>
    <t>BC12</t>
  </si>
  <si>
    <t>BC8</t>
  </si>
  <si>
    <t>BC73</t>
  </si>
  <si>
    <t>BC74</t>
  </si>
  <si>
    <t>BC76</t>
  </si>
  <si>
    <t>BC77</t>
  </si>
  <si>
    <t>BC80</t>
  </si>
  <si>
    <t>BC81</t>
  </si>
  <si>
    <t>BC78</t>
  </si>
  <si>
    <t>BC82</t>
  </si>
  <si>
    <t>BC85</t>
  </si>
  <si>
    <t>BC84</t>
  </si>
  <si>
    <t>BC86</t>
  </si>
  <si>
    <t>BC89</t>
  </si>
  <si>
    <t>BC88</t>
  </si>
  <si>
    <t>BC90</t>
  </si>
  <si>
    <t>BC93</t>
  </si>
  <si>
    <t>BC92</t>
  </si>
  <si>
    <t>BC94</t>
  </si>
  <si>
    <t>BC96</t>
  </si>
  <si>
    <t>BC97</t>
  </si>
  <si>
    <t>De  25 à 40 jeux</t>
  </si>
  <si>
    <t>Série</t>
  </si>
  <si>
    <t>Quadrette</t>
  </si>
  <si>
    <t>Catégorie</t>
  </si>
  <si>
    <t>Masculin</t>
  </si>
  <si>
    <t>Div.</t>
  </si>
  <si>
    <t>M3</t>
  </si>
  <si>
    <t>Féminine</t>
  </si>
  <si>
    <t>Jeunes</t>
  </si>
  <si>
    <t>M1</t>
  </si>
  <si>
    <t>F1</t>
  </si>
  <si>
    <t>G_U18</t>
  </si>
  <si>
    <t>M2</t>
  </si>
  <si>
    <t>F2</t>
  </si>
  <si>
    <t>F_U18</t>
  </si>
  <si>
    <t>Triple</t>
  </si>
  <si>
    <t>F3</t>
  </si>
  <si>
    <t>U15</t>
  </si>
  <si>
    <t>Double</t>
  </si>
  <si>
    <t>M4</t>
  </si>
  <si>
    <t>F4</t>
  </si>
  <si>
    <t>G_U15</t>
  </si>
  <si>
    <t>Simple</t>
  </si>
  <si>
    <t>M3/M4</t>
  </si>
  <si>
    <t>F3/F4</t>
  </si>
  <si>
    <t>F_U15</t>
  </si>
  <si>
    <t>F1/F2</t>
  </si>
  <si>
    <t>U13</t>
  </si>
  <si>
    <t>U11</t>
  </si>
  <si>
    <t>U9</t>
  </si>
  <si>
    <t>En haut de la page les séries, catégories et divisions s'affichent en liste déroulante</t>
  </si>
  <si>
    <t xml:space="preserve">et le nombre d'équipes qualifiées au CH. De FR. cellule G11  et cellule bleue </t>
  </si>
  <si>
    <t>Avec le curseur afficher le nombre d'équipes engagées cellule G10 cellule Jaune</t>
  </si>
</sst>
</file>

<file path=xl/styles.xml><?xml version="1.0" encoding="utf-8"?>
<styleSheet xmlns="http://schemas.openxmlformats.org/spreadsheetml/2006/main">
  <numFmts count="1">
    <numFmt numFmtId="164" formatCode="[$-40C]d\-mmm;@"/>
  </numFmts>
  <fonts count="6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1"/>
      <name val="Times New Roman"/>
      <family val="1"/>
    </font>
    <font>
      <sz val="26"/>
      <color theme="1"/>
      <name val="Times New Roman"/>
      <family val="1"/>
    </font>
    <font>
      <sz val="26"/>
      <color rgb="FF0070C0"/>
      <name val="Times New Roman"/>
      <family val="1"/>
    </font>
    <font>
      <b/>
      <sz val="11"/>
      <color theme="0"/>
      <name val="Times New Roman"/>
      <family val="1"/>
    </font>
    <font>
      <sz val="22"/>
      <color theme="1"/>
      <name val="Times New Roman"/>
      <family val="1"/>
    </font>
    <font>
      <sz val="20"/>
      <color theme="1"/>
      <name val="Times New Roman"/>
      <family val="1"/>
    </font>
    <font>
      <sz val="20"/>
      <color rgb="FFFF0000"/>
      <name val="Times New Roman"/>
      <family val="1"/>
    </font>
    <font>
      <b/>
      <sz val="16"/>
      <color rgb="FFFF0000"/>
      <name val="Times New Roman"/>
      <family val="1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</font>
    <font>
      <b/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0"/>
      <name val="Times New Roman"/>
      <family val="1"/>
    </font>
    <font>
      <sz val="14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6"/>
      <color rgb="FFFF0000"/>
      <name val="Times New Roman"/>
      <family val="1"/>
    </font>
    <font>
      <b/>
      <sz val="12"/>
      <color indexed="8"/>
      <name val="Times New Roman"/>
      <family val="1"/>
    </font>
    <font>
      <sz val="18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4"/>
      <color theme="0"/>
      <name val="Times New Roman"/>
      <family val="1"/>
    </font>
    <font>
      <sz val="12"/>
      <color theme="0"/>
      <name val="Times New Roman"/>
      <family val="1"/>
    </font>
    <font>
      <sz val="18"/>
      <name val="Times New Roman"/>
      <family val="1"/>
    </font>
    <font>
      <b/>
      <sz val="12"/>
      <color theme="0"/>
      <name val="Times New Roman"/>
      <family val="1"/>
    </font>
    <font>
      <u/>
      <sz val="8.8000000000000007"/>
      <color theme="10"/>
      <name val="Times New Roman"/>
      <family val="1"/>
    </font>
    <font>
      <sz val="16"/>
      <color theme="0"/>
      <name val="Times New Roman"/>
      <family val="1"/>
    </font>
    <font>
      <b/>
      <sz val="20"/>
      <color theme="1"/>
      <name val="Times New Roman"/>
      <family val="1"/>
    </font>
    <font>
      <sz val="10"/>
      <color theme="0"/>
      <name val="Times New Roman"/>
      <family val="1"/>
    </font>
    <font>
      <sz val="18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8"/>
      <color theme="1"/>
      <name val="Times New Roman"/>
      <family val="1"/>
    </font>
    <font>
      <sz val="26"/>
      <color theme="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A90ED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199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73F42C"/>
        <bgColor indexed="64"/>
      </patternFill>
    </fill>
    <fill>
      <patternFill patternType="solid">
        <fgColor rgb="FF29A3FF"/>
        <bgColor indexed="64"/>
      </patternFill>
    </fill>
    <fill>
      <patternFill patternType="solid">
        <fgColor rgb="FF9A9CFC"/>
        <bgColor indexed="64"/>
      </patternFill>
    </fill>
    <fill>
      <patternFill patternType="solid">
        <fgColor rgb="FFFDBBF8"/>
        <bgColor indexed="64"/>
      </patternFill>
    </fill>
    <fill>
      <patternFill patternType="solid">
        <fgColor rgb="FFFC8EF4"/>
        <bgColor indexed="64"/>
      </patternFill>
    </fill>
    <fill>
      <patternFill patternType="gray0625"/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thin">
        <color indexed="8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rgb="FFFF0000"/>
      </top>
      <bottom style="thin">
        <color indexed="8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rgb="FFFF0000"/>
      </right>
      <top/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rgb="FFFF0000"/>
      </bottom>
      <diagonal/>
    </border>
    <border>
      <left style="thin">
        <color indexed="8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44" fillId="0" borderId="0"/>
  </cellStyleXfs>
  <cellXfs count="120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6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3" fillId="0" borderId="0" xfId="0" applyFont="1" applyProtection="1"/>
    <xf numFmtId="0" fontId="12" fillId="0" borderId="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2" fillId="3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3" fillId="0" borderId="12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13" fillId="0" borderId="12" xfId="0" applyFont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</xf>
    <xf numFmtId="0" fontId="13" fillId="0" borderId="20" xfId="0" applyFont="1" applyBorder="1" applyProtection="1"/>
    <xf numFmtId="0" fontId="13" fillId="0" borderId="1" xfId="0" applyFont="1" applyBorder="1" applyAlignment="1" applyProtection="1">
      <alignment horizontal="center"/>
      <protection locked="0"/>
    </xf>
    <xf numFmtId="0" fontId="13" fillId="12" borderId="1" xfId="0" applyFont="1" applyFill="1" applyBorder="1" applyProtection="1"/>
    <xf numFmtId="0" fontId="13" fillId="0" borderId="11" xfId="0" applyFont="1" applyBorder="1" applyAlignment="1" applyProtection="1">
      <alignment horizontal="center"/>
      <protection locked="0"/>
    </xf>
    <xf numFmtId="0" fontId="13" fillId="0" borderId="16" xfId="0" applyFont="1" applyBorder="1"/>
    <xf numFmtId="0" fontId="13" fillId="0" borderId="0" xfId="0" applyFont="1"/>
    <xf numFmtId="0" fontId="13" fillId="0" borderId="12" xfId="0" applyFont="1" applyBorder="1" applyAlignment="1" applyProtection="1">
      <alignment horizontal="center"/>
      <protection locked="0"/>
    </xf>
    <xf numFmtId="0" fontId="13" fillId="0" borderId="1" xfId="0" applyFont="1" applyBorder="1" applyProtection="1"/>
    <xf numFmtId="0" fontId="13" fillId="0" borderId="2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  <xf numFmtId="0" fontId="17" fillId="0" borderId="0" xfId="0" quotePrefix="1" applyFont="1" applyBorder="1" applyAlignment="1" applyProtection="1">
      <alignment horizontal="center"/>
    </xf>
    <xf numFmtId="0" fontId="13" fillId="0" borderId="24" xfId="0" applyFont="1" applyBorder="1" applyAlignment="1" applyProtection="1">
      <alignment horizontal="center"/>
    </xf>
    <xf numFmtId="0" fontId="13" fillId="0" borderId="37" xfId="0" applyFont="1" applyBorder="1" applyAlignment="1" applyProtection="1">
      <alignment horizontal="center"/>
    </xf>
    <xf numFmtId="0" fontId="18" fillId="0" borderId="0" xfId="0" quotePrefix="1" applyFont="1" applyBorder="1" applyProtection="1"/>
    <xf numFmtId="0" fontId="13" fillId="0" borderId="0" xfId="0" quotePrefix="1" applyFont="1" applyBorder="1" applyProtection="1"/>
    <xf numFmtId="0" fontId="19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13" fillId="0" borderId="16" xfId="0" applyFont="1" applyBorder="1" applyProtection="1"/>
    <xf numFmtId="0" fontId="13" fillId="0" borderId="17" xfId="0" applyFont="1" applyBorder="1"/>
    <xf numFmtId="0" fontId="13" fillId="0" borderId="17" xfId="0" applyFont="1" applyBorder="1" applyProtection="1"/>
    <xf numFmtId="0" fontId="13" fillId="0" borderId="18" xfId="0" applyFont="1" applyBorder="1" applyProtection="1"/>
    <xf numFmtId="0" fontId="20" fillId="0" borderId="0" xfId="0" applyFont="1" applyBorder="1" applyProtection="1"/>
    <xf numFmtId="0" fontId="13" fillId="0" borderId="17" xfId="0" applyFont="1" applyFill="1" applyBorder="1"/>
    <xf numFmtId="0" fontId="13" fillId="0" borderId="11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13" fillId="0" borderId="31" xfId="0" quotePrefix="1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35" xfId="0" quotePrefix="1" applyFont="1" applyFill="1" applyBorder="1" applyAlignment="1" applyProtection="1">
      <alignment horizontal="center" vertical="center"/>
    </xf>
    <xf numFmtId="0" fontId="13" fillId="0" borderId="38" xfId="0" quotePrefix="1" applyFont="1" applyFill="1" applyBorder="1" applyAlignment="1" applyProtection="1">
      <alignment horizontal="center" vertical="center"/>
    </xf>
    <xf numFmtId="0" fontId="13" fillId="0" borderId="46" xfId="0" quotePrefix="1" applyFont="1" applyFill="1" applyBorder="1" applyAlignment="1" applyProtection="1">
      <alignment horizontal="center" vertical="center"/>
    </xf>
    <xf numFmtId="0" fontId="13" fillId="0" borderId="34" xfId="0" quotePrefix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/>
    </xf>
    <xf numFmtId="0" fontId="25" fillId="0" borderId="0" xfId="0" applyFont="1" applyProtection="1"/>
    <xf numFmtId="0" fontId="25" fillId="0" borderId="12" xfId="0" applyFont="1" applyBorder="1" applyProtection="1"/>
    <xf numFmtId="0" fontId="25" fillId="0" borderId="0" xfId="0" applyFont="1" applyBorder="1" applyProtection="1"/>
    <xf numFmtId="0" fontId="25" fillId="0" borderId="0" xfId="0" applyFont="1" applyFill="1" applyBorder="1" applyProtection="1"/>
    <xf numFmtId="0" fontId="25" fillId="0" borderId="0" xfId="0" applyFont="1" applyBorder="1" applyAlignment="1" applyProtection="1">
      <alignment horizontal="center"/>
    </xf>
    <xf numFmtId="0" fontId="25" fillId="0" borderId="20" xfId="0" applyFont="1" applyBorder="1" applyAlignment="1" applyProtection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Protection="1">
      <protection locked="0"/>
    </xf>
    <xf numFmtId="0" fontId="25" fillId="0" borderId="0" xfId="0" applyFont="1" applyProtection="1"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27" fillId="3" borderId="1" xfId="0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center" vertical="center"/>
    </xf>
    <xf numFmtId="0" fontId="29" fillId="0" borderId="0" xfId="0" applyNumberFormat="1" applyFont="1" applyAlignment="1" applyProtection="1"/>
    <xf numFmtId="0" fontId="27" fillId="9" borderId="1" xfId="0" applyFont="1" applyFill="1" applyBorder="1" applyAlignment="1" applyProtection="1">
      <alignment horizontal="center" vertical="center"/>
    </xf>
    <xf numFmtId="0" fontId="30" fillId="4" borderId="1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0" fontId="13" fillId="0" borderId="17" xfId="0" applyFont="1" applyBorder="1" applyProtection="1">
      <protection locked="0"/>
    </xf>
    <xf numFmtId="0" fontId="0" fillId="0" borderId="17" xfId="0" applyBorder="1"/>
    <xf numFmtId="0" fontId="13" fillId="0" borderId="11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6" fillId="13" borderId="19" xfId="0" quotePrefix="1" applyFont="1" applyFill="1" applyBorder="1" applyAlignment="1" applyProtection="1">
      <alignment horizontal="center" vertical="center"/>
    </xf>
    <xf numFmtId="0" fontId="6" fillId="13" borderId="21" xfId="0" quotePrefix="1" applyFont="1" applyFill="1" applyBorder="1" applyAlignment="1" applyProtection="1">
      <alignment horizontal="center" vertical="center"/>
    </xf>
    <xf numFmtId="0" fontId="6" fillId="13" borderId="21" xfId="0" applyFont="1" applyFill="1" applyBorder="1" applyAlignment="1" applyProtection="1">
      <alignment horizontal="center" vertical="center"/>
    </xf>
    <xf numFmtId="0" fontId="6" fillId="13" borderId="11" xfId="0" applyFont="1" applyFill="1" applyBorder="1" applyAlignment="1" applyProtection="1">
      <alignment horizontal="center" vertical="center"/>
    </xf>
    <xf numFmtId="0" fontId="6" fillId="17" borderId="1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5" fillId="17" borderId="19" xfId="0" quotePrefix="1" applyFont="1" applyFill="1" applyBorder="1" applyAlignment="1" applyProtection="1">
      <alignment horizontal="center" vertical="center"/>
    </xf>
    <xf numFmtId="0" fontId="6" fillId="17" borderId="21" xfId="0" applyFont="1" applyFill="1" applyBorder="1" applyAlignment="1" applyProtection="1">
      <alignment horizontal="center"/>
    </xf>
    <xf numFmtId="0" fontId="6" fillId="13" borderId="1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10" borderId="19" xfId="0" applyFont="1" applyFill="1" applyBorder="1" applyAlignment="1" applyProtection="1">
      <alignment horizontal="center" vertical="center"/>
    </xf>
    <xf numFmtId="0" fontId="6" fillId="10" borderId="21" xfId="0" applyFont="1" applyFill="1" applyBorder="1" applyAlignment="1" applyProtection="1">
      <alignment horizontal="center"/>
    </xf>
    <xf numFmtId="0" fontId="6" fillId="10" borderId="21" xfId="0" applyFont="1" applyFill="1" applyBorder="1" applyAlignment="1" applyProtection="1">
      <alignment horizontal="center" vertical="center"/>
    </xf>
    <xf numFmtId="0" fontId="6" fillId="10" borderId="11" xfId="0" applyFont="1" applyFill="1" applyBorder="1" applyAlignment="1" applyProtection="1">
      <alignment horizontal="center" vertical="center"/>
    </xf>
    <xf numFmtId="0" fontId="6" fillId="16" borderId="11" xfId="0" applyFont="1" applyFill="1" applyBorder="1" applyAlignment="1" applyProtection="1">
      <alignment horizontal="center" vertical="center"/>
    </xf>
    <xf numFmtId="0" fontId="6" fillId="18" borderId="11" xfId="0" applyFont="1" applyFill="1" applyBorder="1" applyAlignment="1" applyProtection="1">
      <alignment horizontal="center" vertical="center"/>
    </xf>
    <xf numFmtId="0" fontId="6" fillId="0" borderId="19" xfId="0" quotePrefix="1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</xf>
    <xf numFmtId="0" fontId="12" fillId="19" borderId="1" xfId="0" applyFont="1" applyFill="1" applyBorder="1" applyAlignment="1" applyProtection="1">
      <alignment horizontal="center" vertical="center"/>
    </xf>
    <xf numFmtId="0" fontId="14" fillId="19" borderId="1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13" fillId="0" borderId="0" xfId="0" quotePrefix="1" applyFont="1" applyFill="1" applyProtection="1"/>
    <xf numFmtId="0" fontId="6" fillId="0" borderId="21" xfId="0" quotePrefix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13" fillId="11" borderId="1" xfId="0" applyFont="1" applyFill="1" applyBorder="1" applyAlignment="1" applyProtection="1">
      <alignment horizontal="center"/>
    </xf>
    <xf numFmtId="0" fontId="13" fillId="11" borderId="1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31" fillId="0" borderId="0" xfId="0" applyNumberFormat="1" applyFont="1" applyAlignment="1" applyProtection="1">
      <alignment horizontal="center" vertical="center" wrapText="1"/>
    </xf>
    <xf numFmtId="0" fontId="13" fillId="11" borderId="1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3" fillId="0" borderId="0" xfId="0" quotePrefix="1" applyNumberFormat="1" applyFont="1" applyProtection="1"/>
    <xf numFmtId="0" fontId="13" fillId="0" borderId="0" xfId="0" applyFont="1" applyAlignment="1" applyProtection="1">
      <alignment horizontal="center"/>
      <protection locked="0"/>
    </xf>
    <xf numFmtId="0" fontId="17" fillId="0" borderId="0" xfId="0" applyFont="1" applyProtection="1"/>
    <xf numFmtId="0" fontId="13" fillId="0" borderId="0" xfId="0" quotePrefix="1" applyFont="1" applyProtection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Protection="1"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7" fillId="0" borderId="0" xfId="0" quotePrefix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Protection="1"/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quotePrefix="1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9" fillId="0" borderId="0" xfId="0" quotePrefix="1" applyFont="1" applyAlignment="1" applyProtection="1">
      <alignment vertical="center"/>
      <protection locked="0"/>
    </xf>
    <xf numFmtId="0" fontId="29" fillId="0" borderId="0" xfId="0" quotePrefix="1" applyFont="1" applyAlignment="1" applyProtection="1">
      <alignment vertic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14" xfId="0" applyFont="1" applyBorder="1" applyAlignment="1" applyProtection="1">
      <protection locked="0"/>
    </xf>
    <xf numFmtId="0" fontId="13" fillId="0" borderId="14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9" fillId="0" borderId="0" xfId="0" applyNumberFormat="1" applyFont="1" applyAlignment="1" applyProtection="1">
      <protection locked="0"/>
    </xf>
    <xf numFmtId="0" fontId="29" fillId="0" borderId="0" xfId="0" applyNumberFormat="1" applyFont="1" applyAlignment="1" applyProtection="1">
      <alignment horizontal="center" vertical="center"/>
      <protection locked="0"/>
    </xf>
    <xf numFmtId="0" fontId="29" fillId="0" borderId="20" xfId="0" applyNumberFormat="1" applyFont="1" applyBorder="1" applyAlignment="1" applyProtection="1">
      <protection locked="0"/>
    </xf>
    <xf numFmtId="0" fontId="13" fillId="0" borderId="18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3" fillId="0" borderId="0" xfId="0" quotePrefix="1" applyFont="1" applyProtection="1">
      <protection locked="0"/>
    </xf>
    <xf numFmtId="0" fontId="13" fillId="11" borderId="1" xfId="0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3" fillId="0" borderId="31" xfId="0" quotePrefix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3" fillId="0" borderId="4" xfId="0" quotePrefix="1" applyFont="1" applyFill="1" applyBorder="1" applyAlignment="1" applyProtection="1">
      <alignment horizontal="center" vertical="center"/>
      <protection locked="0"/>
    </xf>
    <xf numFmtId="0" fontId="13" fillId="0" borderId="7" xfId="0" quotePrefix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quotePrefix="1" applyProtection="1">
      <protection locked="0"/>
    </xf>
    <xf numFmtId="0" fontId="13" fillId="11" borderId="1" xfId="0" applyFont="1" applyFill="1" applyBorder="1" applyAlignment="1" applyProtection="1">
      <alignment horizontal="center" vertical="top"/>
    </xf>
    <xf numFmtId="0" fontId="17" fillId="0" borderId="0" xfId="0" quotePrefix="1" applyFont="1" applyFill="1" applyProtection="1"/>
    <xf numFmtId="0" fontId="17" fillId="0" borderId="0" xfId="0" quotePrefix="1" applyFont="1" applyProtection="1"/>
    <xf numFmtId="0" fontId="34" fillId="0" borderId="0" xfId="0" applyFont="1" applyProtection="1"/>
    <xf numFmtId="0" fontId="13" fillId="0" borderId="31" xfId="0" applyFont="1" applyBorder="1" applyAlignment="1" applyProtection="1">
      <alignment horizontal="center"/>
    </xf>
    <xf numFmtId="0" fontId="13" fillId="0" borderId="34" xfId="0" applyFont="1" applyBorder="1" applyAlignment="1" applyProtection="1">
      <alignment horizontal="center"/>
    </xf>
    <xf numFmtId="0" fontId="13" fillId="0" borderId="35" xfId="0" applyFont="1" applyBorder="1" applyAlignment="1" applyProtection="1">
      <alignment horizontal="center"/>
    </xf>
    <xf numFmtId="0" fontId="6" fillId="9" borderId="11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6" fillId="26" borderId="11" xfId="0" quotePrefix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Border="1" applyAlignment="1" applyProtection="1">
      <alignment horizontal="right"/>
    </xf>
    <xf numFmtId="0" fontId="17" fillId="0" borderId="0" xfId="0" applyFont="1" applyBorder="1" applyProtection="1"/>
    <xf numFmtId="0" fontId="5" fillId="0" borderId="35" xfId="0" applyFont="1" applyFill="1" applyBorder="1" applyAlignment="1" applyProtection="1">
      <alignment horizontal="center" vertical="center"/>
      <protection locked="0"/>
    </xf>
    <xf numFmtId="0" fontId="6" fillId="3" borderId="11" xfId="0" quotePrefix="1" applyFont="1" applyFill="1" applyBorder="1" applyAlignment="1" applyProtection="1">
      <alignment horizontal="center" vertical="center"/>
    </xf>
    <xf numFmtId="0" fontId="41" fillId="0" borderId="49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center" vertical="center" wrapText="1"/>
      <protection locked="0"/>
    </xf>
    <xf numFmtId="0" fontId="41" fillId="0" borderId="52" xfId="0" applyFont="1" applyBorder="1" applyAlignment="1" applyProtection="1">
      <alignment horizontal="center" vertical="center" wrapText="1"/>
      <protection locked="0"/>
    </xf>
    <xf numFmtId="0" fontId="41" fillId="0" borderId="54" xfId="2" applyFont="1" applyFill="1" applyBorder="1" applyAlignment="1" applyProtection="1">
      <alignment horizontal="center" vertical="center" wrapText="1"/>
    </xf>
    <xf numFmtId="0" fontId="41" fillId="0" borderId="56" xfId="2" applyFont="1" applyFill="1" applyBorder="1" applyAlignment="1" applyProtection="1">
      <alignment horizontal="center" vertical="center" wrapText="1"/>
    </xf>
    <xf numFmtId="0" fontId="41" fillId="0" borderId="57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Protection="1">
      <protection locked="0"/>
    </xf>
    <xf numFmtId="0" fontId="41" fillId="0" borderId="0" xfId="0" applyFont="1" applyFill="1" applyProtection="1">
      <protection locked="0"/>
    </xf>
    <xf numFmtId="0" fontId="41" fillId="0" borderId="60" xfId="0" applyFont="1" applyBorder="1" applyAlignment="1" applyProtection="1">
      <alignment horizontal="center" vertical="center" wrapText="1"/>
      <protection locked="0"/>
    </xf>
    <xf numFmtId="0" fontId="41" fillId="0" borderId="60" xfId="0" applyFont="1" applyFill="1" applyBorder="1" applyAlignment="1" applyProtection="1">
      <alignment horizontal="center" vertical="center" wrapText="1"/>
      <protection locked="0"/>
    </xf>
    <xf numFmtId="0" fontId="41" fillId="0" borderId="61" xfId="0" applyFont="1" applyBorder="1" applyAlignment="1" applyProtection="1">
      <alignment horizontal="center" vertical="center" wrapText="1"/>
      <protection locked="0"/>
    </xf>
    <xf numFmtId="0" fontId="41" fillId="0" borderId="6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41" fillId="0" borderId="64" xfId="0" applyFont="1" applyBorder="1" applyAlignment="1" applyProtection="1">
      <alignment horizontal="center" vertical="center" wrapText="1"/>
      <protection locked="0"/>
    </xf>
    <xf numFmtId="0" fontId="41" fillId="0" borderId="65" xfId="2" applyFont="1" applyFill="1" applyBorder="1" applyAlignment="1" applyProtection="1">
      <alignment horizontal="center" vertical="center" wrapText="1"/>
    </xf>
    <xf numFmtId="0" fontId="41" fillId="0" borderId="64" xfId="0" applyFont="1" applyFill="1" applyBorder="1" applyAlignment="1" applyProtection="1">
      <alignment horizontal="center" vertical="center" wrapText="1"/>
      <protection locked="0"/>
    </xf>
    <xf numFmtId="0" fontId="41" fillId="0" borderId="68" xfId="0" applyFont="1" applyFill="1" applyBorder="1" applyAlignment="1" applyProtection="1">
      <alignment horizontal="center" vertical="center" wrapText="1"/>
      <protection locked="0"/>
    </xf>
    <xf numFmtId="0" fontId="41" fillId="0" borderId="68" xfId="0" applyFont="1" applyBorder="1" applyAlignment="1" applyProtection="1">
      <alignment horizontal="center" vertical="center" wrapText="1"/>
      <protection locked="0"/>
    </xf>
    <xf numFmtId="0" fontId="41" fillId="0" borderId="72" xfId="0" applyFont="1" applyBorder="1" applyAlignment="1" applyProtection="1">
      <alignment horizontal="center" vertical="center" wrapText="1"/>
      <protection locked="0"/>
    </xf>
    <xf numFmtId="0" fontId="41" fillId="0" borderId="73" xfId="2" applyFont="1" applyFill="1" applyBorder="1" applyAlignment="1" applyProtection="1">
      <alignment horizontal="center" vertical="center" wrapText="1"/>
    </xf>
    <xf numFmtId="0" fontId="41" fillId="0" borderId="72" xfId="0" applyFont="1" applyFill="1" applyBorder="1" applyAlignment="1" applyProtection="1">
      <alignment horizontal="center" vertical="center" wrapText="1"/>
      <protection locked="0"/>
    </xf>
    <xf numFmtId="0" fontId="41" fillId="0" borderId="74" xfId="0" applyFont="1" applyBorder="1" applyAlignment="1" applyProtection="1">
      <alignment horizontal="center" vertical="center" wrapText="1"/>
      <protection locked="0"/>
    </xf>
    <xf numFmtId="0" fontId="41" fillId="0" borderId="74" xfId="0" applyFont="1" applyFill="1" applyBorder="1" applyAlignment="1" applyProtection="1">
      <alignment horizontal="center" vertical="center" wrapText="1"/>
      <protection locked="0"/>
    </xf>
    <xf numFmtId="0" fontId="41" fillId="0" borderId="58" xfId="0" applyFont="1" applyFill="1" applyBorder="1" applyAlignment="1" applyProtection="1">
      <alignment horizontal="center" wrapText="1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29" fillId="0" borderId="0" xfId="0" quotePrefix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41" fillId="0" borderId="23" xfId="0" applyFont="1" applyFill="1" applyBorder="1" applyAlignment="1" applyProtection="1">
      <alignment horizontal="center" vertical="center" wrapText="1"/>
      <protection locked="0"/>
    </xf>
    <xf numFmtId="0" fontId="5" fillId="13" borderId="11" xfId="0" quotePrefix="1" applyFont="1" applyFill="1" applyBorder="1" applyAlignment="1" applyProtection="1">
      <alignment horizontal="center" vertical="center"/>
    </xf>
    <xf numFmtId="0" fontId="6" fillId="9" borderId="19" xfId="0" quotePrefix="1" applyFont="1" applyFill="1" applyBorder="1" applyAlignment="1" applyProtection="1">
      <alignment horizontal="center" vertical="center"/>
    </xf>
    <xf numFmtId="0" fontId="6" fillId="9" borderId="21" xfId="0" quotePrefix="1" applyFont="1" applyFill="1" applyBorder="1" applyAlignment="1" applyProtection="1">
      <alignment horizontal="center" vertical="center"/>
    </xf>
    <xf numFmtId="0" fontId="6" fillId="9" borderId="21" xfId="0" applyFont="1" applyFill="1" applyBorder="1" applyAlignment="1" applyProtection="1">
      <alignment horizontal="center" vertical="center"/>
    </xf>
    <xf numFmtId="0" fontId="41" fillId="0" borderId="0" xfId="0" applyFont="1" applyFill="1" applyAlignment="1" applyProtection="1">
      <alignment vertical="center"/>
      <protection locked="0"/>
    </xf>
    <xf numFmtId="0" fontId="41" fillId="0" borderId="0" xfId="0" applyFont="1" applyFill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32" fillId="0" borderId="0" xfId="0" applyFont="1" applyFill="1" applyProtection="1">
      <protection locked="0"/>
    </xf>
    <xf numFmtId="0" fontId="32" fillId="0" borderId="0" xfId="0" applyFont="1" applyProtection="1"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32" fillId="0" borderId="0" xfId="0" quotePrefix="1" applyFont="1" applyFill="1" applyProtection="1">
      <protection locked="0"/>
    </xf>
    <xf numFmtId="0" fontId="29" fillId="0" borderId="37" xfId="0" quotePrefix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quotePrefix="1" applyFont="1" applyFill="1" applyAlignment="1" applyProtection="1">
      <alignment vertical="center"/>
      <protection locked="0"/>
    </xf>
    <xf numFmtId="0" fontId="10" fillId="15" borderId="1" xfId="0" applyFont="1" applyFill="1" applyBorder="1" applyAlignment="1" applyProtection="1">
      <alignment horizontal="center" vertical="center"/>
    </xf>
    <xf numFmtId="0" fontId="10" fillId="14" borderId="1" xfId="0" applyFont="1" applyFill="1" applyBorder="1" applyAlignment="1" applyProtection="1">
      <alignment horizontal="center" vertical="center"/>
    </xf>
    <xf numFmtId="0" fontId="13" fillId="0" borderId="0" xfId="0" quotePrefix="1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quotePrefix="1" applyFont="1" applyBorder="1" applyAlignment="1" applyProtection="1">
      <alignment horizontal="center" vertical="center"/>
    </xf>
    <xf numFmtId="0" fontId="41" fillId="0" borderId="0" xfId="0" applyFont="1" applyFill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42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10" fillId="13" borderId="1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32" fillId="0" borderId="0" xfId="0" applyFont="1" applyProtection="1"/>
    <xf numFmtId="0" fontId="41" fillId="0" borderId="0" xfId="0" applyFont="1" applyAlignment="1" applyProtection="1">
      <alignment horizontal="center" vertical="center" wrapText="1"/>
    </xf>
    <xf numFmtId="0" fontId="41" fillId="0" borderId="0" xfId="0" applyFont="1" applyProtection="1"/>
    <xf numFmtId="0" fontId="41" fillId="0" borderId="0" xfId="0" applyFont="1" applyBorder="1" applyAlignment="1" applyProtection="1">
      <alignment horizontal="center" vertical="center" wrapText="1"/>
    </xf>
    <xf numFmtId="0" fontId="52" fillId="9" borderId="1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29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/>
    <xf numFmtId="0" fontId="41" fillId="0" borderId="49" xfId="0" applyFont="1" applyFill="1" applyBorder="1" applyAlignment="1" applyProtection="1">
      <alignment horizontal="center" vertical="center" wrapText="1"/>
    </xf>
    <xf numFmtId="0" fontId="45" fillId="0" borderId="49" xfId="0" applyFont="1" applyFill="1" applyBorder="1" applyAlignment="1" applyProtection="1">
      <alignment horizontal="center" vertical="center" wrapText="1"/>
    </xf>
    <xf numFmtId="0" fontId="29" fillId="0" borderId="0" xfId="0" applyFont="1" applyProtection="1"/>
    <xf numFmtId="0" fontId="45" fillId="0" borderId="0" xfId="0" applyFont="1" applyFill="1" applyBorder="1" applyAlignment="1" applyProtection="1">
      <alignment horizontal="center" wrapText="1"/>
    </xf>
    <xf numFmtId="0" fontId="41" fillId="0" borderId="62" xfId="2" applyFont="1" applyFill="1" applyBorder="1" applyAlignment="1" applyProtection="1">
      <alignment horizontal="center" vertical="center" wrapText="1"/>
    </xf>
    <xf numFmtId="0" fontId="41" fillId="0" borderId="66" xfId="2" applyFont="1" applyFill="1" applyBorder="1" applyAlignment="1" applyProtection="1">
      <alignment horizontal="center" vertical="center" wrapText="1"/>
    </xf>
    <xf numFmtId="0" fontId="41" fillId="0" borderId="49" xfId="2" applyFont="1" applyFill="1" applyBorder="1" applyAlignment="1" applyProtection="1">
      <alignment horizontal="center" vertical="center" wrapText="1"/>
    </xf>
    <xf numFmtId="0" fontId="41" fillId="0" borderId="58" xfId="2" applyFont="1" applyFill="1" applyBorder="1" applyAlignment="1" applyProtection="1">
      <alignment horizontal="center" wrapText="1"/>
    </xf>
    <xf numFmtId="0" fontId="32" fillId="0" borderId="0" xfId="0" applyFont="1" applyAlignment="1" applyProtection="1">
      <alignment vertical="center"/>
    </xf>
    <xf numFmtId="0" fontId="13" fillId="0" borderId="17" xfId="0" applyFont="1" applyFill="1" applyBorder="1" applyProtection="1">
      <protection locked="0"/>
    </xf>
    <xf numFmtId="0" fontId="10" fillId="9" borderId="11" xfId="0" quotePrefix="1" applyNumberFormat="1" applyFont="1" applyFill="1" applyBorder="1" applyAlignment="1" applyProtection="1">
      <alignment horizontal="center" vertical="center" wrapText="1"/>
    </xf>
    <xf numFmtId="0" fontId="10" fillId="9" borderId="9" xfId="0" quotePrefix="1" applyNumberFormat="1" applyFont="1" applyFill="1" applyBorder="1" applyAlignment="1" applyProtection="1">
      <alignment horizontal="center" vertical="center"/>
    </xf>
    <xf numFmtId="0" fontId="10" fillId="9" borderId="1" xfId="0" quotePrefix="1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 applyProtection="1">
      <alignment horizontal="center" vertical="center"/>
    </xf>
    <xf numFmtId="0" fontId="10" fillId="9" borderId="1" xfId="0" applyFont="1" applyFill="1" applyBorder="1" applyAlignment="1" applyProtection="1">
      <alignment horizontal="center" vertical="center"/>
    </xf>
    <xf numFmtId="0" fontId="10" fillId="9" borderId="9" xfId="0" quotePrefix="1" applyFont="1" applyFill="1" applyBorder="1" applyAlignment="1" applyProtection="1">
      <alignment horizontal="center" vertical="center"/>
    </xf>
    <xf numFmtId="0" fontId="10" fillId="0" borderId="9" xfId="0" quotePrefix="1" applyFont="1" applyBorder="1" applyAlignment="1" applyProtection="1">
      <alignment horizontal="center" vertical="center"/>
    </xf>
    <xf numFmtId="0" fontId="10" fillId="0" borderId="1" xfId="0" quotePrefix="1" applyNumberFormat="1" applyFont="1" applyFill="1" applyBorder="1" applyAlignment="1" applyProtection="1">
      <alignment horizontal="center" vertical="center"/>
    </xf>
    <xf numFmtId="0" fontId="10" fillId="0" borderId="9" xfId="0" quotePrefix="1" applyNumberFormat="1" applyFont="1" applyBorder="1" applyAlignment="1" applyProtection="1">
      <alignment horizontal="center" vertical="center"/>
    </xf>
    <xf numFmtId="0" fontId="10" fillId="0" borderId="1" xfId="0" quotePrefix="1" applyNumberFormat="1" applyFont="1" applyBorder="1" applyAlignment="1" applyProtection="1">
      <alignment horizontal="center" vertical="center"/>
    </xf>
    <xf numFmtId="0" fontId="10" fillId="0" borderId="9" xfId="0" applyNumberFormat="1" applyFont="1" applyBorder="1" applyAlignment="1" applyProtection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10" fillId="0" borderId="5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3" borderId="38" xfId="0" quotePrefix="1" applyFont="1" applyFill="1" applyBorder="1" applyAlignment="1" applyProtection="1">
      <alignment horizontal="center" vertical="center"/>
    </xf>
    <xf numFmtId="0" fontId="9" fillId="9" borderId="35" xfId="0" quotePrefix="1" applyFont="1" applyFill="1" applyBorder="1" applyAlignment="1" applyProtection="1">
      <alignment horizontal="center"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0" fontId="20" fillId="18" borderId="0" xfId="0" applyFont="1" applyFill="1" applyAlignment="1" applyProtection="1">
      <alignment vertical="center"/>
    </xf>
    <xf numFmtId="0" fontId="6" fillId="9" borderId="19" xfId="0" applyFont="1" applyFill="1" applyBorder="1" applyAlignment="1" applyProtection="1">
      <alignment horizontal="center" vertical="center"/>
    </xf>
    <xf numFmtId="0" fontId="6" fillId="9" borderId="11" xfId="0" quotePrefix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" xfId="0" quotePrefix="1" applyFont="1" applyFill="1" applyBorder="1" applyAlignment="1" applyProtection="1">
      <alignment horizontal="center" vertical="center"/>
    </xf>
    <xf numFmtId="0" fontId="10" fillId="0" borderId="10" xfId="0" quotePrefix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0" xfId="0" quotePrefix="1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protection locked="0"/>
    </xf>
    <xf numFmtId="0" fontId="12" fillId="0" borderId="0" xfId="0" quotePrefix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55" fillId="0" borderId="76" xfId="0" applyFont="1" applyFill="1" applyBorder="1" applyAlignment="1" applyProtection="1">
      <alignment horizontal="center" vertical="center"/>
      <protection locked="0"/>
    </xf>
    <xf numFmtId="0" fontId="4" fillId="11" borderId="40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27" fillId="0" borderId="23" xfId="0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55" fillId="0" borderId="77" xfId="0" applyFont="1" applyFill="1" applyBorder="1" applyAlignment="1" applyProtection="1">
      <alignment horizontal="center" vertical="center"/>
      <protection locked="0"/>
    </xf>
    <xf numFmtId="0" fontId="4" fillId="11" borderId="39" xfId="0" applyFont="1" applyFill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27" fillId="0" borderId="41" xfId="0" applyFont="1" applyFill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5" fillId="0" borderId="67" xfId="0" applyFont="1" applyFill="1" applyBorder="1" applyAlignment="1" applyProtection="1">
      <alignment horizontal="center" vertical="center"/>
      <protection locked="0"/>
    </xf>
    <xf numFmtId="0" fontId="4" fillId="11" borderId="42" xfId="0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27" fillId="0" borderId="37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13" borderId="40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13" borderId="39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13" borderId="42" xfId="0" applyFont="1" applyFill="1" applyBorder="1" applyAlignment="1" applyProtection="1">
      <alignment horizontal="center" vertical="center"/>
      <protection locked="0"/>
    </xf>
    <xf numFmtId="0" fontId="55" fillId="0" borderId="0" xfId="0" applyFont="1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horizontal="center" vertical="center" wrapText="1"/>
      <protection locked="0"/>
    </xf>
    <xf numFmtId="0" fontId="10" fillId="31" borderId="31" xfId="0" quotePrefix="1" applyFont="1" applyFill="1" applyBorder="1" applyAlignment="1" applyProtection="1">
      <alignment horizontal="center" vertical="center"/>
    </xf>
    <xf numFmtId="0" fontId="10" fillId="13" borderId="34" xfId="0" quotePrefix="1" applyFont="1" applyFill="1" applyBorder="1" applyAlignment="1" applyProtection="1">
      <alignment horizontal="center" vertical="center"/>
    </xf>
    <xf numFmtId="0" fontId="10" fillId="31" borderId="34" xfId="0" quotePrefix="1" applyFont="1" applyFill="1" applyBorder="1" applyAlignment="1" applyProtection="1">
      <alignment horizontal="center" vertical="center"/>
    </xf>
    <xf numFmtId="0" fontId="10" fillId="13" borderId="35" xfId="0" quotePrefix="1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4" fillId="0" borderId="49" xfId="0" applyFont="1" applyFill="1" applyBorder="1" applyAlignment="1" applyProtection="1">
      <alignment horizontal="center" vertical="center"/>
    </xf>
    <xf numFmtId="0" fontId="35" fillId="0" borderId="32" xfId="0" applyFont="1" applyFill="1" applyBorder="1" applyAlignment="1" applyProtection="1">
      <alignment horizontal="center" vertical="center"/>
      <protection locked="0"/>
    </xf>
    <xf numFmtId="0" fontId="35" fillId="0" borderId="24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</xf>
    <xf numFmtId="0" fontId="54" fillId="0" borderId="0" xfId="0" applyFont="1" applyAlignment="1" applyProtection="1">
      <alignment horizontal="center" vertical="center"/>
      <protection locked="0"/>
    </xf>
    <xf numFmtId="0" fontId="20" fillId="18" borderId="0" xfId="0" applyFont="1" applyFill="1" applyBorder="1" applyAlignment="1" applyProtection="1">
      <alignment vertical="center"/>
    </xf>
    <xf numFmtId="0" fontId="20" fillId="25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right"/>
    </xf>
    <xf numFmtId="0" fontId="20" fillId="0" borderId="0" xfId="0" applyFont="1" applyAlignment="1" applyProtection="1">
      <alignment horizontal="right" vertical="center"/>
    </xf>
    <xf numFmtId="0" fontId="40" fillId="0" borderId="58" xfId="0" applyFont="1" applyFill="1" applyBorder="1" applyAlignment="1" applyProtection="1">
      <alignment horizontal="right" vertical="center" wrapText="1"/>
    </xf>
    <xf numFmtId="0" fontId="41" fillId="0" borderId="49" xfId="0" applyFont="1" applyFill="1" applyBorder="1" applyAlignment="1" applyProtection="1">
      <alignment horizontal="right" vertical="center" wrapText="1"/>
    </xf>
    <xf numFmtId="0" fontId="40" fillId="0" borderId="49" xfId="0" applyFont="1" applyFill="1" applyBorder="1" applyAlignment="1" applyProtection="1">
      <alignment horizontal="right" vertical="center" wrapText="1"/>
    </xf>
    <xf numFmtId="0" fontId="20" fillId="0" borderId="0" xfId="0" applyFont="1" applyFill="1" applyAlignment="1" applyProtection="1">
      <alignment horizontal="right" vertical="center"/>
    </xf>
    <xf numFmtId="0" fontId="40" fillId="0" borderId="0" xfId="0" applyFont="1" applyBorder="1" applyAlignment="1" applyProtection="1">
      <alignment horizontal="right" vertical="center" wrapText="1"/>
    </xf>
    <xf numFmtId="0" fontId="20" fillId="25" borderId="20" xfId="0" applyFont="1" applyFill="1" applyBorder="1" applyAlignment="1" applyProtection="1">
      <alignment vertical="center"/>
    </xf>
    <xf numFmtId="0" fontId="13" fillId="18" borderId="0" xfId="0" applyFont="1" applyFill="1" applyAlignment="1" applyProtection="1">
      <alignment vertical="center"/>
    </xf>
    <xf numFmtId="0" fontId="20" fillId="25" borderId="0" xfId="0" applyFont="1" applyFill="1" applyAlignment="1" applyProtection="1">
      <alignment vertical="center"/>
    </xf>
    <xf numFmtId="0" fontId="13" fillId="18" borderId="0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4" fillId="0" borderId="49" xfId="0" applyFont="1" applyFill="1" applyBorder="1" applyAlignment="1" applyProtection="1">
      <alignment horizontal="right" vertical="center"/>
    </xf>
    <xf numFmtId="0" fontId="60" fillId="0" borderId="0" xfId="0" applyFont="1" applyAlignment="1" applyProtection="1">
      <alignment horizontal="right"/>
    </xf>
    <xf numFmtId="0" fontId="60" fillId="0" borderId="0" xfId="0" applyFont="1"/>
    <xf numFmtId="0" fontId="61" fillId="0" borderId="0" xfId="0" applyFont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right" vertical="center"/>
    </xf>
    <xf numFmtId="0" fontId="29" fillId="18" borderId="39" xfId="0" applyFont="1" applyFill="1" applyBorder="1" applyAlignment="1" applyProtection="1">
      <alignment horizontal="center" vertical="center"/>
    </xf>
    <xf numFmtId="0" fontId="31" fillId="9" borderId="39" xfId="0" applyFont="1" applyFill="1" applyBorder="1" applyAlignment="1" applyProtection="1">
      <alignment vertical="center"/>
    </xf>
    <xf numFmtId="0" fontId="31" fillId="18" borderId="39" xfId="0" applyFont="1" applyFill="1" applyBorder="1" applyAlignment="1" applyProtection="1">
      <alignment vertical="center"/>
    </xf>
    <xf numFmtId="0" fontId="31" fillId="0" borderId="39" xfId="0" applyFont="1" applyFill="1" applyBorder="1" applyAlignment="1" applyProtection="1">
      <alignment horizontal="center" vertical="center"/>
    </xf>
    <xf numFmtId="0" fontId="31" fillId="0" borderId="39" xfId="0" applyFont="1" applyFill="1" applyBorder="1" applyAlignment="1" applyProtection="1">
      <alignment horizontal="right" vertical="center"/>
    </xf>
    <xf numFmtId="0" fontId="29" fillId="18" borderId="39" xfId="0" applyFont="1" applyFill="1" applyBorder="1" applyAlignment="1" applyProtection="1">
      <alignment vertical="center"/>
    </xf>
    <xf numFmtId="0" fontId="60" fillId="18" borderId="39" xfId="0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51" fillId="20" borderId="1" xfId="0" quotePrefix="1" applyFont="1" applyFill="1" applyBorder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horizontal="center" vertical="center"/>
      <protection locked="0"/>
    </xf>
    <xf numFmtId="0" fontId="5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2" fillId="0" borderId="0" xfId="0" quotePrefix="1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vertical="center"/>
      <protection locked="0"/>
    </xf>
    <xf numFmtId="0" fontId="39" fillId="0" borderId="0" xfId="0" quotePrefix="1" applyFont="1" applyFill="1" applyBorder="1" applyAlignment="1" applyProtection="1">
      <alignment horizontal="center" vertical="center"/>
      <protection locked="0"/>
    </xf>
    <xf numFmtId="0" fontId="46" fillId="0" borderId="0" xfId="0" quotePrefix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right"/>
      <protection locked="0"/>
    </xf>
    <xf numFmtId="0" fontId="34" fillId="0" borderId="0" xfId="0" applyFont="1" applyFill="1" applyBorder="1" applyAlignment="1" applyProtection="1">
      <alignment horizontal="right" vertical="center" wrapText="1"/>
      <protection locked="0"/>
    </xf>
    <xf numFmtId="0" fontId="26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50" fillId="0" borderId="0" xfId="1" quotePrefix="1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10" fillId="13" borderId="1" xfId="0" applyFont="1" applyFill="1" applyBorder="1" applyAlignment="1" applyProtection="1">
      <alignment horizontal="center" vertical="center"/>
      <protection locked="0"/>
    </xf>
    <xf numFmtId="0" fontId="17" fillId="0" borderId="0" xfId="0" quotePrefix="1" applyFont="1" applyFill="1" applyProtection="1">
      <protection locked="0"/>
    </xf>
    <xf numFmtId="0" fontId="7" fillId="0" borderId="0" xfId="0" quotePrefix="1" applyFont="1" applyFill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29" fillId="0" borderId="31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0" fontId="29" fillId="0" borderId="5" xfId="0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 applyProtection="1">
      <alignment horizontal="center" vertical="center"/>
      <protection locked="0"/>
    </xf>
    <xf numFmtId="0" fontId="10" fillId="11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Protection="1">
      <protection locked="0"/>
    </xf>
    <xf numFmtId="0" fontId="4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13" borderId="19" xfId="0" applyFont="1" applyFill="1" applyBorder="1" applyAlignment="1" applyProtection="1">
      <alignment horizontal="center" vertical="center"/>
      <protection locked="0"/>
    </xf>
    <xf numFmtId="0" fontId="10" fillId="13" borderId="14" xfId="0" applyFont="1" applyFill="1" applyBorder="1" applyAlignment="1" applyProtection="1">
      <alignment horizontal="center" vertical="center"/>
      <protection locked="0"/>
    </xf>
    <xf numFmtId="0" fontId="10" fillId="13" borderId="15" xfId="0" applyFont="1" applyFill="1" applyBorder="1" applyAlignment="1" applyProtection="1">
      <alignment horizontal="center" vertical="center"/>
      <protection locked="0"/>
    </xf>
    <xf numFmtId="0" fontId="10" fillId="13" borderId="10" xfId="0" applyFont="1" applyFill="1" applyBorder="1" applyAlignment="1" applyProtection="1">
      <alignment horizontal="center" vertical="center"/>
      <protection locked="0"/>
    </xf>
    <xf numFmtId="0" fontId="13" fillId="0" borderId="0" xfId="0" quotePrefix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25" xfId="0" applyFont="1" applyBorder="1" applyProtection="1">
      <protection locked="0"/>
    </xf>
    <xf numFmtId="0" fontId="10" fillId="0" borderId="26" xfId="0" applyFont="1" applyBorder="1" applyProtection="1">
      <protection locked="0"/>
    </xf>
    <xf numFmtId="0" fontId="10" fillId="0" borderId="27" xfId="0" applyFont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13" fillId="0" borderId="0" xfId="0" applyNumberFormat="1" applyFont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7" fillId="0" borderId="0" xfId="0" applyFont="1" applyFill="1" applyProtection="1"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quotePrefix="1" applyFont="1" applyAlignment="1" applyProtection="1">
      <alignment horizontal="center"/>
      <protection locked="0"/>
    </xf>
    <xf numFmtId="0" fontId="46" fillId="0" borderId="0" xfId="0" quotePrefix="1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1" fillId="0" borderId="47" xfId="0" applyFont="1" applyFill="1" applyBorder="1" applyAlignment="1" applyProtection="1">
      <alignment horizontal="center" vertical="center" wrapText="1"/>
      <protection locked="0"/>
    </xf>
    <xf numFmtId="0" fontId="42" fillId="0" borderId="47" xfId="0" applyFont="1" applyFill="1" applyBorder="1" applyAlignment="1" applyProtection="1">
      <alignment horizontal="center" vertical="center" wrapText="1"/>
      <protection locked="0"/>
    </xf>
    <xf numFmtId="0" fontId="13" fillId="0" borderId="49" xfId="0" applyFont="1" applyBorder="1" applyProtection="1">
      <protection locked="0"/>
    </xf>
    <xf numFmtId="0" fontId="42" fillId="0" borderId="49" xfId="0" applyFont="1" applyFill="1" applyBorder="1" applyAlignment="1" applyProtection="1">
      <alignment horizontal="center" vertical="center" wrapText="1"/>
      <protection locked="0"/>
    </xf>
    <xf numFmtId="0" fontId="10" fillId="0" borderId="49" xfId="0" applyFont="1" applyBorder="1" applyProtection="1">
      <protection locked="0"/>
    </xf>
    <xf numFmtId="0" fontId="46" fillId="0" borderId="49" xfId="0" applyFont="1" applyFill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13" fillId="12" borderId="0" xfId="0" applyFont="1" applyFill="1" applyProtection="1">
      <protection locked="0"/>
    </xf>
    <xf numFmtId="0" fontId="43" fillId="28" borderId="53" xfId="0" applyFont="1" applyFill="1" applyBorder="1" applyAlignment="1" applyProtection="1">
      <alignment horizontal="center" vertical="center" wrapText="1"/>
      <protection locked="0"/>
    </xf>
    <xf numFmtId="0" fontId="13" fillId="33" borderId="0" xfId="0" applyFont="1" applyFill="1" applyProtection="1"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43" fillId="28" borderId="24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43" fillId="31" borderId="22" xfId="0" applyFont="1" applyFill="1" applyBorder="1" applyAlignment="1" applyProtection="1">
      <alignment horizontal="center" vertical="center" wrapText="1"/>
      <protection locked="0"/>
    </xf>
    <xf numFmtId="0" fontId="13" fillId="12" borderId="48" xfId="0" applyFont="1" applyFill="1" applyBorder="1" applyProtection="1">
      <protection locked="0"/>
    </xf>
    <xf numFmtId="0" fontId="43" fillId="31" borderId="71" xfId="0" applyFont="1" applyFill="1" applyBorder="1" applyAlignment="1" applyProtection="1">
      <alignment horizontal="center" vertical="center" wrapText="1"/>
      <protection locked="0"/>
    </xf>
    <xf numFmtId="0" fontId="45" fillId="0" borderId="49" xfId="0" applyFont="1" applyFill="1" applyBorder="1" applyAlignment="1" applyProtection="1">
      <alignment horizontal="center" vertical="center" wrapText="1"/>
      <protection locked="0"/>
    </xf>
    <xf numFmtId="0" fontId="53" fillId="0" borderId="49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 applyProtection="1">
      <alignment horizontal="center" vertical="center"/>
      <protection locked="0"/>
    </xf>
    <xf numFmtId="0" fontId="47" fillId="0" borderId="49" xfId="0" applyFont="1" applyFill="1" applyBorder="1" applyAlignment="1" applyProtection="1">
      <alignment horizontal="center" vertical="center" wrapText="1"/>
      <protection locked="0"/>
    </xf>
    <xf numFmtId="0" fontId="13" fillId="0" borderId="48" xfId="0" applyFont="1" applyBorder="1" applyProtection="1">
      <protection locked="0"/>
    </xf>
    <xf numFmtId="0" fontId="35" fillId="0" borderId="0" xfId="0" applyFont="1" applyFill="1" applyAlignment="1" applyProtection="1">
      <alignment horizontal="center" vertical="center"/>
      <protection locked="0"/>
    </xf>
    <xf numFmtId="0" fontId="43" fillId="11" borderId="22" xfId="0" applyFont="1" applyFill="1" applyBorder="1" applyAlignment="1" applyProtection="1">
      <alignment horizontal="center" vertical="center" wrapText="1"/>
      <protection locked="0"/>
    </xf>
    <xf numFmtId="0" fontId="43" fillId="11" borderId="71" xfId="0" applyFont="1" applyFill="1" applyBorder="1" applyAlignment="1" applyProtection="1">
      <alignment horizontal="center" vertical="center" wrapText="1"/>
      <protection locked="0"/>
    </xf>
    <xf numFmtId="0" fontId="5" fillId="33" borderId="0" xfId="0" applyFont="1" applyFill="1" applyBorder="1" applyAlignment="1" applyProtection="1">
      <alignment vertical="center" wrapText="1"/>
      <protection locked="0"/>
    </xf>
    <xf numFmtId="0" fontId="41" fillId="33" borderId="0" xfId="0" applyFont="1" applyFill="1" applyBorder="1" applyAlignment="1" applyProtection="1">
      <alignment horizontal="center" wrapText="1"/>
      <protection locked="0"/>
    </xf>
    <xf numFmtId="0" fontId="41" fillId="33" borderId="0" xfId="2" applyFont="1" applyFill="1" applyBorder="1" applyAlignment="1" applyProtection="1">
      <alignment horizontal="center" wrapText="1"/>
      <protection locked="0"/>
    </xf>
    <xf numFmtId="0" fontId="40" fillId="33" borderId="0" xfId="0" applyFont="1" applyFill="1" applyBorder="1" applyAlignment="1" applyProtection="1">
      <alignment horizontal="center" vertical="center" wrapText="1"/>
      <protection locked="0"/>
    </xf>
    <xf numFmtId="0" fontId="41" fillId="33" borderId="0" xfId="2" applyFont="1" applyFill="1" applyBorder="1" applyAlignment="1" applyProtection="1">
      <alignment horizontal="center" vertical="center" wrapText="1"/>
      <protection locked="0"/>
    </xf>
    <xf numFmtId="0" fontId="41" fillId="33" borderId="0" xfId="0" applyFont="1" applyFill="1" applyBorder="1" applyAlignment="1" applyProtection="1">
      <alignment horizontal="center" vertical="center" wrapText="1"/>
      <protection locked="0"/>
    </xf>
    <xf numFmtId="0" fontId="45" fillId="33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quotePrefix="1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43" fillId="28" borderId="22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41" fillId="0" borderId="0" xfId="0" applyFont="1" applyFill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wrapText="1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43" fillId="28" borderId="7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3" fillId="28" borderId="5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Protection="1"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38" fillId="28" borderId="36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38" fillId="28" borderId="24" xfId="0" applyFont="1" applyFill="1" applyBorder="1" applyAlignment="1" applyProtection="1">
      <alignment horizontal="center" vertical="center" wrapText="1"/>
      <protection locked="0"/>
    </xf>
    <xf numFmtId="0" fontId="38" fillId="11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38" fillId="11" borderId="71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0" fontId="38" fillId="28" borderId="53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center" wrapText="1"/>
      <protection locked="0"/>
    </xf>
    <xf numFmtId="0" fontId="40" fillId="0" borderId="13" xfId="0" applyFont="1" applyFill="1" applyBorder="1" applyAlignment="1" applyProtection="1">
      <alignment horizontal="center" vertical="center" wrapText="1"/>
      <protection locked="0"/>
    </xf>
    <xf numFmtId="0" fontId="40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0" xfId="0" quotePrefix="1" applyFont="1" applyFill="1" applyBorder="1" applyAlignment="1" applyProtection="1">
      <alignment horizontal="left" vertical="center"/>
      <protection locked="0"/>
    </xf>
    <xf numFmtId="0" fontId="29" fillId="0" borderId="0" xfId="0" quotePrefix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right" vertical="center"/>
      <protection locked="0"/>
    </xf>
    <xf numFmtId="0" fontId="41" fillId="0" borderId="0" xfId="0" applyFont="1" applyFill="1" applyBorder="1" applyAlignment="1" applyProtection="1">
      <alignment horizontal="right" vertical="center" wrapText="1"/>
      <protection locked="0"/>
    </xf>
    <xf numFmtId="0" fontId="40" fillId="0" borderId="0" xfId="0" applyFont="1" applyFill="1" applyBorder="1" applyAlignment="1" applyProtection="1">
      <alignment horizontal="right" vertical="center" wrapText="1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56" fillId="0" borderId="0" xfId="0" applyFont="1" applyProtection="1"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9" fillId="18" borderId="35" xfId="0" quotePrefix="1" applyFont="1" applyFill="1" applyBorder="1" applyAlignment="1" applyProtection="1">
      <alignment horizontal="center" vertical="center"/>
    </xf>
    <xf numFmtId="0" fontId="9" fillId="0" borderId="35" xfId="0" quotePrefix="1" applyFont="1" applyFill="1" applyBorder="1" applyAlignment="1" applyProtection="1">
      <alignment horizontal="center" vertical="center"/>
    </xf>
    <xf numFmtId="0" fontId="6" fillId="31" borderId="31" xfId="0" applyFont="1" applyFill="1" applyBorder="1" applyAlignment="1" applyProtection="1">
      <alignment horizontal="center" vertical="center"/>
    </xf>
    <xf numFmtId="0" fontId="10" fillId="0" borderId="14" xfId="0" applyFont="1" applyBorder="1" applyProtection="1"/>
    <xf numFmtId="0" fontId="6" fillId="13" borderId="34" xfId="0" applyFont="1" applyFill="1" applyBorder="1" applyAlignment="1" applyProtection="1">
      <alignment horizontal="center" vertical="center"/>
    </xf>
    <xf numFmtId="0" fontId="6" fillId="31" borderId="34" xfId="0" applyFont="1" applyFill="1" applyBorder="1" applyAlignment="1" applyProtection="1">
      <alignment horizontal="center" vertical="center"/>
    </xf>
    <xf numFmtId="0" fontId="6" fillId="13" borderId="35" xfId="0" applyFont="1" applyFill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48" fillId="9" borderId="1" xfId="0" applyFont="1" applyFill="1" applyBorder="1" applyAlignment="1" applyProtection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2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6" fillId="12" borderId="35" xfId="0" applyFont="1" applyFill="1" applyBorder="1" applyAlignment="1" applyProtection="1">
      <alignment horizontal="center" vertical="center"/>
      <protection locked="0"/>
    </xf>
    <xf numFmtId="0" fontId="9" fillId="12" borderId="35" xfId="0" quotePrefix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20" fillId="18" borderId="0" xfId="0" applyFont="1" applyFill="1" applyBorder="1" applyAlignment="1" applyProtection="1">
      <alignment horizontal="center" vertical="center"/>
    </xf>
    <xf numFmtId="0" fontId="20" fillId="18" borderId="20" xfId="0" applyFont="1" applyFill="1" applyBorder="1" applyAlignment="1" applyProtection="1">
      <alignment horizontal="center" vertical="center"/>
    </xf>
    <xf numFmtId="0" fontId="20" fillId="11" borderId="0" xfId="0" applyFont="1" applyFill="1" applyAlignment="1" applyProtection="1">
      <alignment horizontal="center" vertical="center"/>
    </xf>
    <xf numFmtId="0" fontId="20" fillId="11" borderId="20" xfId="0" applyFont="1" applyFill="1" applyBorder="1" applyAlignment="1" applyProtection="1">
      <alignment horizontal="center" vertical="center"/>
    </xf>
    <xf numFmtId="0" fontId="20" fillId="18" borderId="0" xfId="0" applyFont="1" applyFill="1" applyAlignment="1" applyProtection="1">
      <alignment horizontal="center" vertical="center"/>
    </xf>
    <xf numFmtId="0" fontId="20" fillId="13" borderId="0" xfId="0" applyFont="1" applyFill="1" applyAlignment="1" applyProtection="1">
      <alignment horizontal="center" vertical="center"/>
    </xf>
    <xf numFmtId="0" fontId="20" fillId="13" borderId="20" xfId="0" applyFont="1" applyFill="1" applyBorder="1" applyAlignment="1" applyProtection="1">
      <alignment horizontal="center" vertical="center"/>
    </xf>
    <xf numFmtId="0" fontId="20" fillId="9" borderId="0" xfId="0" applyFont="1" applyFill="1" applyAlignment="1" applyProtection="1">
      <alignment horizontal="center" vertical="center"/>
    </xf>
    <xf numFmtId="0" fontId="20" fillId="9" borderId="20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20" xfId="0" applyFont="1" applyFill="1" applyBorder="1" applyAlignment="1" applyProtection="1">
      <alignment horizontal="center" vertical="center"/>
    </xf>
    <xf numFmtId="0" fontId="20" fillId="26" borderId="0" xfId="0" applyFont="1" applyFill="1" applyAlignment="1" applyProtection="1">
      <alignment horizontal="center" vertical="center"/>
    </xf>
    <xf numFmtId="0" fontId="20" fillId="26" borderId="2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20" fillId="11" borderId="0" xfId="0" applyFont="1" applyFill="1" applyBorder="1" applyAlignment="1" applyProtection="1">
      <alignment horizontal="center" vertical="center"/>
    </xf>
    <xf numFmtId="0" fontId="20" fillId="13" borderId="0" xfId="0" applyFont="1" applyFill="1" applyBorder="1" applyAlignment="1" applyProtection="1">
      <alignment horizontal="center" vertical="center"/>
    </xf>
    <xf numFmtId="0" fontId="29" fillId="18" borderId="5" xfId="0" quotePrefix="1" applyFont="1" applyFill="1" applyBorder="1" applyAlignment="1" applyProtection="1">
      <alignment horizontal="center" vertical="center"/>
    </xf>
    <xf numFmtId="0" fontId="29" fillId="18" borderId="6" xfId="0" quotePrefix="1" applyFont="1" applyFill="1" applyBorder="1" applyAlignment="1" applyProtection="1">
      <alignment horizontal="center" vertical="center"/>
    </xf>
    <xf numFmtId="0" fontId="29" fillId="18" borderId="67" xfId="0" quotePrefix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40" fillId="0" borderId="51" xfId="0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5" fillId="0" borderId="69" xfId="0" applyFont="1" applyBorder="1" applyAlignment="1" applyProtection="1">
      <alignment horizontal="center" vertical="center" wrapText="1"/>
      <protection locked="0"/>
    </xf>
    <xf numFmtId="0" fontId="20" fillId="25" borderId="0" xfId="0" applyFont="1" applyFill="1" applyBorder="1" applyAlignment="1" applyProtection="1">
      <alignment horizontal="center" vertical="center"/>
    </xf>
    <xf numFmtId="0" fontId="20" fillId="25" borderId="20" xfId="0" applyFont="1" applyFill="1" applyBorder="1" applyAlignment="1" applyProtection="1">
      <alignment horizontal="center" vertical="center"/>
    </xf>
    <xf numFmtId="0" fontId="20" fillId="9" borderId="0" xfId="0" applyFont="1" applyFill="1" applyBorder="1" applyAlignment="1" applyProtection="1">
      <alignment horizontal="center" vertical="center"/>
    </xf>
    <xf numFmtId="0" fontId="13" fillId="9" borderId="0" xfId="0" applyFont="1" applyFill="1" applyBorder="1" applyAlignment="1" applyProtection="1">
      <alignment horizontal="center" vertical="center"/>
    </xf>
    <xf numFmtId="0" fontId="13" fillId="18" borderId="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70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70" xfId="0" applyFont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5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40" fillId="33" borderId="0" xfId="0" applyFont="1" applyFill="1" applyBorder="1" applyAlignment="1" applyProtection="1">
      <alignment horizontal="center" vertical="center" wrapText="1"/>
      <protection locked="0"/>
    </xf>
    <xf numFmtId="0" fontId="29" fillId="18" borderId="2" xfId="0" quotePrefix="1" applyFont="1" applyFill="1" applyBorder="1" applyAlignment="1" applyProtection="1">
      <alignment horizontal="center" vertical="center"/>
    </xf>
    <xf numFmtId="0" fontId="29" fillId="18" borderId="3" xfId="0" quotePrefix="1" applyFont="1" applyFill="1" applyBorder="1" applyAlignment="1" applyProtection="1">
      <alignment horizontal="center" vertical="center"/>
    </xf>
    <xf numFmtId="0" fontId="29" fillId="18" borderId="63" xfId="0" quotePrefix="1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29" fillId="18" borderId="5" xfId="0" applyFont="1" applyFill="1" applyBorder="1" applyAlignment="1" applyProtection="1">
      <alignment horizontal="center" vertical="center"/>
    </xf>
    <xf numFmtId="0" fontId="29" fillId="18" borderId="6" xfId="0" applyFont="1" applyFill="1" applyBorder="1" applyAlignment="1" applyProtection="1">
      <alignment horizontal="center" vertical="center"/>
    </xf>
    <xf numFmtId="0" fontId="29" fillId="18" borderId="67" xfId="0" applyFont="1" applyFill="1" applyBorder="1" applyAlignment="1" applyProtection="1">
      <alignment horizontal="center" vertical="center"/>
    </xf>
    <xf numFmtId="0" fontId="41" fillId="11" borderId="2" xfId="0" quotePrefix="1" applyFont="1" applyFill="1" applyBorder="1" applyAlignment="1" applyProtection="1">
      <alignment horizontal="center" vertical="center"/>
    </xf>
    <xf numFmtId="0" fontId="41" fillId="11" borderId="3" xfId="0" quotePrefix="1" applyFont="1" applyFill="1" applyBorder="1" applyAlignment="1" applyProtection="1">
      <alignment horizontal="center" vertical="center"/>
    </xf>
    <xf numFmtId="0" fontId="41" fillId="11" borderId="76" xfId="0" quotePrefix="1" applyFont="1" applyFill="1" applyBorder="1" applyAlignment="1" applyProtection="1">
      <alignment horizontal="center" vertical="center"/>
    </xf>
    <xf numFmtId="0" fontId="40" fillId="19" borderId="12" xfId="0" quotePrefix="1" applyFont="1" applyFill="1" applyBorder="1" applyAlignment="1" applyProtection="1">
      <alignment horizontal="center" vertical="center" wrapText="1"/>
      <protection locked="0"/>
    </xf>
    <xf numFmtId="0" fontId="29" fillId="0" borderId="5" xfId="0" quotePrefix="1" applyFont="1" applyFill="1" applyBorder="1" applyAlignment="1" applyProtection="1">
      <alignment horizontal="center" vertical="center"/>
    </xf>
    <xf numFmtId="0" fontId="29" fillId="0" borderId="6" xfId="0" quotePrefix="1" applyFont="1" applyFill="1" applyBorder="1" applyAlignment="1" applyProtection="1">
      <alignment horizontal="center" vertical="center"/>
    </xf>
    <xf numFmtId="0" fontId="29" fillId="0" borderId="67" xfId="0" quotePrefix="1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 applyProtection="1">
      <alignment horizontal="center" vertical="center"/>
    </xf>
    <xf numFmtId="0" fontId="29" fillId="0" borderId="67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1" fillId="0" borderId="6" xfId="0" applyFont="1" applyFill="1" applyBorder="1" applyAlignment="1" applyProtection="1">
      <alignment horizontal="center" vertical="center"/>
    </xf>
    <xf numFmtId="0" fontId="41" fillId="0" borderId="67" xfId="0" applyFont="1" applyFill="1" applyBorder="1" applyAlignment="1" applyProtection="1">
      <alignment horizontal="center" vertical="center"/>
    </xf>
    <xf numFmtId="0" fontId="31" fillId="13" borderId="8" xfId="0" applyFont="1" applyFill="1" applyBorder="1" applyAlignment="1" applyProtection="1">
      <alignment horizontal="center" vertical="center"/>
      <protection locked="0"/>
    </xf>
    <xf numFmtId="0" fontId="31" fillId="13" borderId="9" xfId="0" applyFont="1" applyFill="1" applyBorder="1" applyAlignment="1" applyProtection="1">
      <alignment horizontal="center" vertical="center"/>
      <protection locked="0"/>
    </xf>
    <xf numFmtId="0" fontId="31" fillId="13" borderId="10" xfId="0" applyFont="1" applyFill="1" applyBorder="1" applyAlignment="1" applyProtection="1">
      <alignment horizontal="center" vertical="center"/>
      <protection locked="0"/>
    </xf>
    <xf numFmtId="0" fontId="29" fillId="26" borderId="5" xfId="0" quotePrefix="1" applyFont="1" applyFill="1" applyBorder="1" applyAlignment="1" applyProtection="1">
      <alignment horizontal="center" vertical="center"/>
    </xf>
    <xf numFmtId="0" fontId="29" fillId="26" borderId="6" xfId="0" quotePrefix="1" applyFont="1" applyFill="1" applyBorder="1" applyAlignment="1" applyProtection="1">
      <alignment horizontal="center" vertical="center"/>
    </xf>
    <xf numFmtId="0" fontId="29" fillId="26" borderId="67" xfId="0" quotePrefix="1" applyFont="1" applyFill="1" applyBorder="1" applyAlignment="1" applyProtection="1">
      <alignment horizontal="center" vertical="center"/>
    </xf>
    <xf numFmtId="0" fontId="0" fillId="18" borderId="0" xfId="0" applyFill="1" applyAlignment="1" applyProtection="1">
      <alignment horizontal="center" vertical="center"/>
    </xf>
    <xf numFmtId="0" fontId="40" fillId="26" borderId="12" xfId="0" applyFont="1" applyFill="1" applyBorder="1" applyAlignment="1" applyProtection="1">
      <alignment horizontal="center" vertical="center" wrapText="1"/>
      <protection locked="0"/>
    </xf>
    <xf numFmtId="0" fontId="40" fillId="18" borderId="12" xfId="0" applyFont="1" applyFill="1" applyBorder="1" applyAlignment="1" applyProtection="1">
      <alignment horizontal="center" vertical="center" wrapText="1"/>
      <protection locked="0"/>
    </xf>
    <xf numFmtId="0" fontId="41" fillId="26" borderId="12" xfId="0" applyFont="1" applyFill="1" applyBorder="1" applyAlignment="1" applyProtection="1">
      <alignment horizontal="center" vertical="center" wrapText="1"/>
      <protection locked="0"/>
    </xf>
    <xf numFmtId="0" fontId="4" fillId="31" borderId="0" xfId="0" applyFont="1" applyFill="1" applyAlignment="1" applyProtection="1">
      <alignment horizontal="center" vertical="center"/>
      <protection locked="0"/>
    </xf>
    <xf numFmtId="0" fontId="4" fillId="12" borderId="8" xfId="0" applyFont="1" applyFill="1" applyBorder="1" applyAlignment="1" applyProtection="1">
      <alignment horizontal="center" vertical="center"/>
      <protection locked="0"/>
    </xf>
    <xf numFmtId="0" fontId="4" fillId="12" borderId="9" xfId="0" applyFont="1" applyFill="1" applyBorder="1" applyAlignment="1" applyProtection="1">
      <alignment horizontal="center" vertical="center"/>
      <protection locked="0"/>
    </xf>
    <xf numFmtId="0" fontId="4" fillId="12" borderId="10" xfId="0" applyFont="1" applyFill="1" applyBorder="1" applyAlignment="1" applyProtection="1">
      <alignment horizontal="center" vertical="center"/>
      <protection locked="0"/>
    </xf>
    <xf numFmtId="0" fontId="29" fillId="0" borderId="5" xfId="0" quotePrefix="1" applyFont="1" applyBorder="1" applyAlignment="1" applyProtection="1">
      <alignment horizontal="center" vertical="center"/>
    </xf>
    <xf numFmtId="0" fontId="29" fillId="0" borderId="6" xfId="0" quotePrefix="1" applyFont="1" applyBorder="1" applyAlignment="1" applyProtection="1">
      <alignment horizontal="center" vertical="center"/>
    </xf>
    <xf numFmtId="0" fontId="29" fillId="0" borderId="67" xfId="0" quotePrefix="1" applyFont="1" applyBorder="1" applyAlignment="1" applyProtection="1">
      <alignment horizontal="center" vertical="center"/>
    </xf>
    <xf numFmtId="0" fontId="40" fillId="13" borderId="12" xfId="0" quotePrefix="1" applyFont="1" applyFill="1" applyBorder="1" applyAlignment="1" applyProtection="1">
      <alignment horizontal="center" vertical="center" wrapText="1"/>
      <protection locked="0"/>
    </xf>
    <xf numFmtId="0" fontId="41" fillId="16" borderId="12" xfId="0" applyFont="1" applyFill="1" applyBorder="1" applyAlignment="1" applyProtection="1">
      <alignment horizontal="center" vertical="center" wrapText="1"/>
      <protection locked="0"/>
    </xf>
    <xf numFmtId="0" fontId="41" fillId="18" borderId="12" xfId="0" applyFont="1" applyFill="1" applyBorder="1" applyAlignment="1" applyProtection="1">
      <alignment horizontal="center" vertical="center" wrapText="1"/>
      <protection locked="0"/>
    </xf>
    <xf numFmtId="0" fontId="40" fillId="18" borderId="12" xfId="0" quotePrefix="1" applyFont="1" applyFill="1" applyBorder="1" applyAlignment="1" applyProtection="1">
      <alignment horizontal="center" vertical="center" wrapText="1"/>
      <protection locked="0"/>
    </xf>
    <xf numFmtId="0" fontId="29" fillId="9" borderId="5" xfId="0" quotePrefix="1" applyFont="1" applyFill="1" applyBorder="1" applyAlignment="1" applyProtection="1">
      <alignment horizontal="center" vertical="center"/>
    </xf>
    <xf numFmtId="0" fontId="29" fillId="9" borderId="6" xfId="0" quotePrefix="1" applyFont="1" applyFill="1" applyBorder="1" applyAlignment="1" applyProtection="1">
      <alignment horizontal="center" vertical="center"/>
    </xf>
    <xf numFmtId="0" fontId="29" fillId="9" borderId="67" xfId="0" quotePrefix="1" applyFont="1" applyFill="1" applyBorder="1" applyAlignment="1" applyProtection="1">
      <alignment horizontal="center" vertical="center"/>
    </xf>
    <xf numFmtId="0" fontId="29" fillId="26" borderId="2" xfId="0" quotePrefix="1" applyFont="1" applyFill="1" applyBorder="1" applyAlignment="1" applyProtection="1">
      <alignment horizontal="center" vertical="center"/>
    </xf>
    <xf numFmtId="0" fontId="29" fillId="26" borderId="3" xfId="0" quotePrefix="1" applyFont="1" applyFill="1" applyBorder="1" applyAlignment="1" applyProtection="1">
      <alignment horizontal="center" vertical="center"/>
    </xf>
    <xf numFmtId="0" fontId="29" fillId="26" borderId="63" xfId="0" quotePrefix="1" applyFont="1" applyFill="1" applyBorder="1" applyAlignment="1" applyProtection="1">
      <alignment horizontal="center" vertical="center"/>
    </xf>
    <xf numFmtId="0" fontId="29" fillId="3" borderId="2" xfId="0" quotePrefix="1" applyFont="1" applyFill="1" applyBorder="1" applyAlignment="1" applyProtection="1">
      <alignment horizontal="center" vertical="center"/>
    </xf>
    <xf numFmtId="0" fontId="29" fillId="3" borderId="3" xfId="0" quotePrefix="1" applyFont="1" applyFill="1" applyBorder="1" applyAlignment="1" applyProtection="1">
      <alignment horizontal="center" vertical="center"/>
    </xf>
    <xf numFmtId="0" fontId="29" fillId="3" borderId="63" xfId="0" quotePrefix="1" applyFont="1" applyFill="1" applyBorder="1" applyAlignment="1" applyProtection="1">
      <alignment horizontal="center" vertical="center"/>
    </xf>
    <xf numFmtId="0" fontId="29" fillId="3" borderId="5" xfId="0" applyFont="1" applyFill="1" applyBorder="1" applyAlignment="1" applyProtection="1">
      <alignment horizontal="center" vertical="center"/>
    </xf>
    <xf numFmtId="0" fontId="29" fillId="3" borderId="6" xfId="0" applyFont="1" applyFill="1" applyBorder="1" applyAlignment="1" applyProtection="1">
      <alignment horizontal="center" vertical="center"/>
    </xf>
    <xf numFmtId="0" fontId="29" fillId="3" borderId="67" xfId="0" applyFont="1" applyFill="1" applyBorder="1" applyAlignment="1" applyProtection="1">
      <alignment horizontal="center" vertical="center"/>
    </xf>
    <xf numFmtId="0" fontId="29" fillId="11" borderId="2" xfId="0" quotePrefix="1" applyFont="1" applyFill="1" applyBorder="1" applyAlignment="1" applyProtection="1">
      <alignment horizontal="center" vertical="center"/>
    </xf>
    <xf numFmtId="0" fontId="29" fillId="11" borderId="3" xfId="0" quotePrefix="1" applyFont="1" applyFill="1" applyBorder="1" applyAlignment="1" applyProtection="1">
      <alignment horizontal="center" vertical="center"/>
    </xf>
    <xf numFmtId="0" fontId="29" fillId="11" borderId="63" xfId="0" quotePrefix="1" applyFont="1" applyFill="1" applyBorder="1" applyAlignment="1" applyProtection="1">
      <alignment horizontal="center" vertical="center"/>
    </xf>
    <xf numFmtId="0" fontId="31" fillId="0" borderId="19" xfId="0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40" fillId="16" borderId="12" xfId="0" quotePrefix="1" applyFont="1" applyFill="1" applyBorder="1" applyAlignment="1" applyProtection="1">
      <alignment horizontal="center" vertical="center" wrapText="1"/>
      <protection locked="0"/>
    </xf>
    <xf numFmtId="0" fontId="40" fillId="3" borderId="12" xfId="0" quotePrefix="1" applyFont="1" applyFill="1" applyBorder="1" applyAlignment="1" applyProtection="1">
      <alignment horizontal="center" vertical="center" wrapText="1"/>
      <protection locked="0"/>
    </xf>
    <xf numFmtId="0" fontId="41" fillId="3" borderId="2" xfId="0" quotePrefix="1" applyFont="1" applyFill="1" applyBorder="1" applyAlignment="1" applyProtection="1">
      <alignment horizontal="center" vertical="center"/>
    </xf>
    <xf numFmtId="0" fontId="41" fillId="3" borderId="3" xfId="0" quotePrefix="1" applyFont="1" applyFill="1" applyBorder="1" applyAlignment="1" applyProtection="1">
      <alignment horizontal="center" vertical="center"/>
    </xf>
    <xf numFmtId="0" fontId="41" fillId="3" borderId="63" xfId="0" quotePrefix="1" applyFont="1" applyFill="1" applyBorder="1" applyAlignment="1" applyProtection="1">
      <alignment horizontal="center" vertical="center"/>
    </xf>
    <xf numFmtId="0" fontId="29" fillId="26" borderId="5" xfId="0" applyFont="1" applyFill="1" applyBorder="1" applyAlignment="1" applyProtection="1">
      <alignment horizontal="center" vertical="center"/>
    </xf>
    <xf numFmtId="0" fontId="29" fillId="26" borderId="6" xfId="0" applyFont="1" applyFill="1" applyBorder="1" applyAlignment="1" applyProtection="1">
      <alignment horizontal="center" vertical="center"/>
    </xf>
    <xf numFmtId="0" fontId="29" fillId="26" borderId="67" xfId="0" applyFont="1" applyFill="1" applyBorder="1" applyAlignment="1" applyProtection="1">
      <alignment horizontal="center" vertical="center"/>
    </xf>
    <xf numFmtId="0" fontId="29" fillId="13" borderId="5" xfId="0" quotePrefix="1" applyFont="1" applyFill="1" applyBorder="1" applyAlignment="1" applyProtection="1">
      <alignment horizontal="center" vertical="center"/>
    </xf>
    <xf numFmtId="0" fontId="29" fillId="13" borderId="6" xfId="0" quotePrefix="1" applyFont="1" applyFill="1" applyBorder="1" applyAlignment="1" applyProtection="1">
      <alignment horizontal="center" vertical="center"/>
    </xf>
    <xf numFmtId="0" fontId="29" fillId="13" borderId="67" xfId="0" quotePrefix="1" applyFont="1" applyFill="1" applyBorder="1" applyAlignment="1" applyProtection="1">
      <alignment horizontal="center" vertical="center"/>
    </xf>
    <xf numFmtId="0" fontId="29" fillId="14" borderId="2" xfId="0" quotePrefix="1" applyFont="1" applyFill="1" applyBorder="1" applyAlignment="1" applyProtection="1">
      <alignment horizontal="center" vertical="center"/>
    </xf>
    <xf numFmtId="0" fontId="29" fillId="14" borderId="3" xfId="0" quotePrefix="1" applyFont="1" applyFill="1" applyBorder="1" applyAlignment="1" applyProtection="1">
      <alignment horizontal="center" vertical="center"/>
    </xf>
    <xf numFmtId="0" fontId="29" fillId="14" borderId="63" xfId="0" quotePrefix="1" applyFont="1" applyFill="1" applyBorder="1" applyAlignment="1" applyProtection="1">
      <alignment horizontal="center" vertical="center"/>
    </xf>
    <xf numFmtId="0" fontId="29" fillId="14" borderId="5" xfId="0" applyFont="1" applyFill="1" applyBorder="1" applyAlignment="1" applyProtection="1">
      <alignment horizontal="center" vertical="center"/>
    </xf>
    <xf numFmtId="0" fontId="29" fillId="14" borderId="6" xfId="0" applyFont="1" applyFill="1" applyBorder="1" applyAlignment="1" applyProtection="1">
      <alignment horizontal="center" vertical="center"/>
    </xf>
    <xf numFmtId="0" fontId="29" fillId="14" borderId="67" xfId="0" applyFont="1" applyFill="1" applyBorder="1" applyAlignment="1" applyProtection="1">
      <alignment horizontal="center" vertical="center"/>
    </xf>
    <xf numFmtId="0" fontId="47" fillId="20" borderId="5" xfId="0" quotePrefix="1" applyFont="1" applyFill="1" applyBorder="1" applyAlignment="1" applyProtection="1">
      <alignment horizontal="center" vertical="center"/>
    </xf>
    <xf numFmtId="0" fontId="47" fillId="20" borderId="6" xfId="0" quotePrefix="1" applyFont="1" applyFill="1" applyBorder="1" applyAlignment="1" applyProtection="1">
      <alignment horizontal="center" vertical="center"/>
    </xf>
    <xf numFmtId="0" fontId="47" fillId="20" borderId="67" xfId="0" quotePrefix="1" applyFont="1" applyFill="1" applyBorder="1" applyAlignment="1" applyProtection="1">
      <alignment horizontal="center" vertical="center"/>
    </xf>
    <xf numFmtId="0" fontId="29" fillId="10" borderId="0" xfId="0" applyFont="1" applyFill="1" applyBorder="1" applyAlignment="1" applyProtection="1">
      <alignment horizontal="center" vertical="center"/>
      <protection locked="0"/>
    </xf>
    <xf numFmtId="0" fontId="29" fillId="3" borderId="2" xfId="0" quotePrefix="1" applyFont="1" applyFill="1" applyBorder="1" applyAlignment="1" applyProtection="1">
      <alignment horizontal="center" vertical="center"/>
      <protection locked="0"/>
    </xf>
    <xf numFmtId="0" fontId="29" fillId="3" borderId="3" xfId="0" quotePrefix="1" applyFont="1" applyFill="1" applyBorder="1" applyAlignment="1" applyProtection="1">
      <alignment horizontal="center" vertical="center"/>
      <protection locked="0"/>
    </xf>
    <xf numFmtId="0" fontId="29" fillId="3" borderId="4" xfId="0" quotePrefix="1" applyFont="1" applyFill="1" applyBorder="1" applyAlignment="1" applyProtection="1">
      <alignment horizontal="center" vertical="center"/>
      <protection locked="0"/>
    </xf>
    <xf numFmtId="0" fontId="29" fillId="10" borderId="5" xfId="0" quotePrefix="1" applyFont="1" applyFill="1" applyBorder="1" applyAlignment="1" applyProtection="1">
      <alignment horizontal="center" vertical="center"/>
      <protection locked="0"/>
    </xf>
    <xf numFmtId="0" fontId="29" fillId="10" borderId="6" xfId="0" quotePrefix="1" applyFont="1" applyFill="1" applyBorder="1" applyAlignment="1" applyProtection="1">
      <alignment horizontal="center" vertical="center"/>
      <protection locked="0"/>
    </xf>
    <xf numFmtId="0" fontId="29" fillId="10" borderId="7" xfId="0" quotePrefix="1" applyFont="1" applyFill="1" applyBorder="1" applyAlignment="1" applyProtection="1">
      <alignment horizontal="center" vertical="center"/>
      <protection locked="0"/>
    </xf>
    <xf numFmtId="0" fontId="29" fillId="3" borderId="5" xfId="0" quotePrefix="1" applyFont="1" applyFill="1" applyBorder="1" applyAlignment="1" applyProtection="1">
      <alignment horizontal="center" vertical="center"/>
      <protection locked="0"/>
    </xf>
    <xf numFmtId="0" fontId="29" fillId="3" borderId="6" xfId="0" quotePrefix="1" applyFont="1" applyFill="1" applyBorder="1" applyAlignment="1" applyProtection="1">
      <alignment horizontal="center" vertical="center"/>
      <protection locked="0"/>
    </xf>
    <xf numFmtId="0" fontId="29" fillId="3" borderId="7" xfId="0" quotePrefix="1" applyFont="1" applyFill="1" applyBorder="1" applyAlignment="1" applyProtection="1">
      <alignment horizontal="center" vertical="center"/>
      <protection locked="0"/>
    </xf>
    <xf numFmtId="0" fontId="29" fillId="11" borderId="5" xfId="0" applyFont="1" applyFill="1" applyBorder="1" applyAlignment="1" applyProtection="1">
      <alignment horizontal="center" vertical="center"/>
    </xf>
    <xf numFmtId="0" fontId="29" fillId="11" borderId="6" xfId="0" applyFont="1" applyFill="1" applyBorder="1" applyAlignment="1" applyProtection="1">
      <alignment horizontal="center" vertical="center"/>
    </xf>
    <xf numFmtId="0" fontId="29" fillId="11" borderId="67" xfId="0" applyFont="1" applyFill="1" applyBorder="1" applyAlignment="1" applyProtection="1">
      <alignment horizontal="center" vertical="center"/>
    </xf>
    <xf numFmtId="0" fontId="29" fillId="13" borderId="2" xfId="0" quotePrefix="1" applyFont="1" applyFill="1" applyBorder="1" applyAlignment="1" applyProtection="1">
      <alignment horizontal="center" vertical="center"/>
    </xf>
    <xf numFmtId="0" fontId="29" fillId="13" borderId="3" xfId="0" quotePrefix="1" applyFont="1" applyFill="1" applyBorder="1" applyAlignment="1" applyProtection="1">
      <alignment horizontal="center" vertical="center"/>
    </xf>
    <xf numFmtId="0" fontId="29" fillId="13" borderId="63" xfId="0" quotePrefix="1" applyFont="1" applyFill="1" applyBorder="1" applyAlignment="1" applyProtection="1">
      <alignment horizontal="center" vertical="center"/>
    </xf>
    <xf numFmtId="0" fontId="29" fillId="19" borderId="2" xfId="0" quotePrefix="1" applyFont="1" applyFill="1" applyBorder="1" applyAlignment="1" applyProtection="1">
      <alignment horizontal="center" vertical="center"/>
    </xf>
    <xf numFmtId="0" fontId="29" fillId="19" borderId="3" xfId="0" quotePrefix="1" applyFont="1" applyFill="1" applyBorder="1" applyAlignment="1" applyProtection="1">
      <alignment horizontal="center" vertical="center"/>
    </xf>
    <xf numFmtId="0" fontId="29" fillId="19" borderId="63" xfId="0" quotePrefix="1" applyFont="1" applyFill="1" applyBorder="1" applyAlignment="1" applyProtection="1">
      <alignment horizontal="center" vertical="center"/>
    </xf>
    <xf numFmtId="0" fontId="29" fillId="19" borderId="5" xfId="0" applyFont="1" applyFill="1" applyBorder="1" applyAlignment="1" applyProtection="1">
      <alignment horizontal="center" vertical="center"/>
    </xf>
    <xf numFmtId="0" fontId="29" fillId="19" borderId="6" xfId="0" applyFont="1" applyFill="1" applyBorder="1" applyAlignment="1" applyProtection="1">
      <alignment horizontal="center" vertical="center"/>
    </xf>
    <xf numFmtId="0" fontId="29" fillId="19" borderId="67" xfId="0" applyFont="1" applyFill="1" applyBorder="1" applyAlignment="1" applyProtection="1">
      <alignment horizontal="center" vertical="center"/>
    </xf>
    <xf numFmtId="0" fontId="29" fillId="16" borderId="2" xfId="0" quotePrefix="1" applyFont="1" applyFill="1" applyBorder="1" applyAlignment="1" applyProtection="1">
      <alignment horizontal="center" vertical="center"/>
    </xf>
    <xf numFmtId="0" fontId="29" fillId="16" borderId="3" xfId="0" quotePrefix="1" applyFont="1" applyFill="1" applyBorder="1" applyAlignment="1" applyProtection="1">
      <alignment horizontal="center" vertical="center"/>
    </xf>
    <xf numFmtId="0" fontId="29" fillId="16" borderId="63" xfId="0" quotePrefix="1" applyFont="1" applyFill="1" applyBorder="1" applyAlignment="1" applyProtection="1">
      <alignment horizontal="center" vertical="center"/>
    </xf>
    <xf numFmtId="0" fontId="31" fillId="3" borderId="8" xfId="0" applyFont="1" applyFill="1" applyBorder="1" applyAlignment="1" applyProtection="1">
      <alignment horizontal="center" vertical="center"/>
      <protection locked="0"/>
    </xf>
    <xf numFmtId="0" fontId="31" fillId="3" borderId="9" xfId="0" applyFont="1" applyFill="1" applyBorder="1" applyAlignment="1" applyProtection="1">
      <alignment horizontal="center" vertical="center"/>
      <protection locked="0"/>
    </xf>
    <xf numFmtId="0" fontId="31" fillId="3" borderId="10" xfId="0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10" borderId="2" xfId="0" quotePrefix="1" applyFont="1" applyFill="1" applyBorder="1" applyAlignment="1" applyProtection="1">
      <alignment horizontal="center" vertical="center"/>
      <protection locked="0"/>
    </xf>
    <xf numFmtId="0" fontId="29" fillId="10" borderId="3" xfId="0" quotePrefix="1" applyFont="1" applyFill="1" applyBorder="1" applyAlignment="1" applyProtection="1">
      <alignment horizontal="center" vertical="center"/>
      <protection locked="0"/>
    </xf>
    <xf numFmtId="0" fontId="29" fillId="10" borderId="4" xfId="0" quotePrefix="1" applyFont="1" applyFill="1" applyBorder="1" applyAlignment="1" applyProtection="1">
      <alignment horizontal="center" vertical="center"/>
      <protection locked="0"/>
    </xf>
    <xf numFmtId="0" fontId="29" fillId="11" borderId="5" xfId="0" quotePrefix="1" applyFont="1" applyFill="1" applyBorder="1" applyAlignment="1" applyProtection="1">
      <alignment horizontal="center" vertical="center"/>
    </xf>
    <xf numFmtId="0" fontId="29" fillId="11" borderId="6" xfId="0" quotePrefix="1" applyFont="1" applyFill="1" applyBorder="1" applyAlignment="1" applyProtection="1">
      <alignment horizontal="center" vertical="center"/>
    </xf>
    <xf numFmtId="0" fontId="29" fillId="11" borderId="67" xfId="0" quotePrefix="1" applyFont="1" applyFill="1" applyBorder="1" applyAlignment="1" applyProtection="1">
      <alignment horizontal="center" vertical="center"/>
    </xf>
    <xf numFmtId="0" fontId="29" fillId="19" borderId="5" xfId="0" quotePrefix="1" applyFont="1" applyFill="1" applyBorder="1" applyAlignment="1" applyProtection="1">
      <alignment horizontal="center" vertical="center"/>
    </xf>
    <xf numFmtId="0" fontId="29" fillId="19" borderId="6" xfId="0" quotePrefix="1" applyFont="1" applyFill="1" applyBorder="1" applyAlignment="1" applyProtection="1">
      <alignment horizontal="center" vertical="center"/>
    </xf>
    <xf numFmtId="0" fontId="29" fillId="19" borderId="67" xfId="0" quotePrefix="1" applyFont="1" applyFill="1" applyBorder="1" applyAlignment="1" applyProtection="1">
      <alignment horizontal="center" vertical="center"/>
    </xf>
    <xf numFmtId="0" fontId="29" fillId="9" borderId="2" xfId="0" quotePrefix="1" applyFont="1" applyFill="1" applyBorder="1" applyAlignment="1" applyProtection="1">
      <alignment horizontal="center" vertical="center"/>
    </xf>
    <xf numFmtId="0" fontId="29" fillId="9" borderId="3" xfId="0" quotePrefix="1" applyFont="1" applyFill="1" applyBorder="1" applyAlignment="1" applyProtection="1">
      <alignment horizontal="center" vertical="center"/>
    </xf>
    <xf numFmtId="0" fontId="29" fillId="9" borderId="63" xfId="0" quotePrefix="1" applyFont="1" applyFill="1" applyBorder="1" applyAlignment="1" applyProtection="1">
      <alignment horizontal="center" vertical="center"/>
    </xf>
    <xf numFmtId="0" fontId="41" fillId="3" borderId="76" xfId="0" quotePrefix="1" applyFont="1" applyFill="1" applyBorder="1" applyAlignment="1" applyProtection="1">
      <alignment horizontal="center" vertical="center"/>
    </xf>
    <xf numFmtId="0" fontId="40" fillId="26" borderId="12" xfId="0" quotePrefix="1" applyFont="1" applyFill="1" applyBorder="1" applyAlignment="1" applyProtection="1">
      <alignment horizontal="center" vertical="center" wrapText="1"/>
      <protection locked="0"/>
    </xf>
    <xf numFmtId="0" fontId="24" fillId="9" borderId="8" xfId="0" applyFont="1" applyFill="1" applyBorder="1" applyAlignment="1" applyProtection="1">
      <alignment horizontal="center" vertical="center"/>
      <protection locked="0"/>
    </xf>
    <xf numFmtId="0" fontId="24" fillId="9" borderId="9" xfId="0" applyFont="1" applyFill="1" applyBorder="1" applyAlignment="1" applyProtection="1">
      <alignment horizontal="center" vertical="center"/>
      <protection locked="0"/>
    </xf>
    <xf numFmtId="0" fontId="24" fillId="9" borderId="10" xfId="0" applyFont="1" applyFill="1" applyBorder="1" applyAlignment="1" applyProtection="1">
      <alignment horizontal="center" vertical="center"/>
      <protection locked="0"/>
    </xf>
    <xf numFmtId="0" fontId="24" fillId="13" borderId="8" xfId="0" applyFont="1" applyFill="1" applyBorder="1" applyAlignment="1" applyProtection="1">
      <alignment horizontal="left" vertical="center"/>
      <protection locked="0"/>
    </xf>
    <xf numFmtId="0" fontId="24" fillId="13" borderId="9" xfId="0" applyFont="1" applyFill="1" applyBorder="1" applyAlignment="1" applyProtection="1">
      <alignment horizontal="left" vertical="center"/>
      <protection locked="0"/>
    </xf>
    <xf numFmtId="0" fontId="24" fillId="13" borderId="10" xfId="0" applyFont="1" applyFill="1" applyBorder="1" applyAlignment="1" applyProtection="1">
      <alignment horizontal="left" vertical="center"/>
      <protection locked="0"/>
    </xf>
    <xf numFmtId="0" fontId="41" fillId="9" borderId="2" xfId="0" quotePrefix="1" applyFont="1" applyFill="1" applyBorder="1" applyAlignment="1" applyProtection="1">
      <alignment horizontal="center" vertical="center"/>
    </xf>
    <xf numFmtId="0" fontId="41" fillId="9" borderId="3" xfId="0" quotePrefix="1" applyFont="1" applyFill="1" applyBorder="1" applyAlignment="1" applyProtection="1">
      <alignment horizontal="center" vertical="center"/>
    </xf>
    <xf numFmtId="0" fontId="41" fillId="9" borderId="63" xfId="0" quotePrefix="1" applyFont="1" applyFill="1" applyBorder="1" applyAlignment="1" applyProtection="1">
      <alignment horizontal="center" vertical="center"/>
    </xf>
    <xf numFmtId="0" fontId="41" fillId="9" borderId="76" xfId="0" quotePrefix="1" applyFont="1" applyFill="1" applyBorder="1" applyAlignment="1" applyProtection="1">
      <alignment horizontal="center" vertical="center"/>
    </xf>
    <xf numFmtId="0" fontId="40" fillId="30" borderId="13" xfId="0" applyFont="1" applyFill="1" applyBorder="1" applyAlignment="1" applyProtection="1">
      <alignment horizontal="center" vertical="center" wrapText="1"/>
      <protection locked="0"/>
    </xf>
    <xf numFmtId="0" fontId="40" fillId="30" borderId="14" xfId="0" applyFont="1" applyFill="1" applyBorder="1" applyAlignment="1" applyProtection="1">
      <alignment horizontal="center" vertical="center" wrapText="1"/>
      <protection locked="0"/>
    </xf>
    <xf numFmtId="0" fontId="40" fillId="30" borderId="15" xfId="0" applyFont="1" applyFill="1" applyBorder="1" applyAlignment="1" applyProtection="1">
      <alignment horizontal="center" vertical="center" wrapText="1"/>
      <protection locked="0"/>
    </xf>
    <xf numFmtId="0" fontId="40" fillId="3" borderId="8" xfId="0" applyFont="1" applyFill="1" applyBorder="1" applyAlignment="1" applyProtection="1">
      <alignment horizontal="center" vertical="center" wrapText="1"/>
      <protection locked="0"/>
    </xf>
    <xf numFmtId="0" fontId="40" fillId="3" borderId="9" xfId="0" applyFont="1" applyFill="1" applyBorder="1" applyAlignment="1" applyProtection="1">
      <alignment horizontal="center" vertical="center" wrapText="1"/>
      <protection locked="0"/>
    </xf>
    <xf numFmtId="0" fontId="40" fillId="3" borderId="10" xfId="0" applyFont="1" applyFill="1" applyBorder="1" applyAlignment="1" applyProtection="1">
      <alignment horizontal="center" vertical="center" wrapText="1"/>
      <protection locked="0"/>
    </xf>
    <xf numFmtId="0" fontId="40" fillId="11" borderId="8" xfId="0" applyFont="1" applyFill="1" applyBorder="1" applyAlignment="1" applyProtection="1">
      <alignment horizontal="center" vertical="center" wrapText="1"/>
      <protection locked="0"/>
    </xf>
    <xf numFmtId="0" fontId="40" fillId="11" borderId="9" xfId="0" applyFont="1" applyFill="1" applyBorder="1" applyAlignment="1" applyProtection="1">
      <alignment horizontal="center" vertical="center" wrapText="1"/>
      <protection locked="0"/>
    </xf>
    <xf numFmtId="0" fontId="40" fillId="11" borderId="10" xfId="0" applyFont="1" applyFill="1" applyBorder="1" applyAlignment="1" applyProtection="1">
      <alignment horizontal="center" vertical="center" wrapText="1"/>
      <protection locked="0"/>
    </xf>
    <xf numFmtId="0" fontId="40" fillId="0" borderId="19" xfId="0" applyFont="1" applyFill="1" applyBorder="1" applyAlignment="1" applyProtection="1">
      <alignment horizontal="center" vertical="center" wrapText="1"/>
      <protection locked="0"/>
    </xf>
    <xf numFmtId="0" fontId="40" fillId="0" borderId="70" xfId="0" applyFont="1" applyFill="1" applyBorder="1" applyAlignment="1" applyProtection="1">
      <alignment horizontal="center" vertical="center" wrapText="1"/>
      <protection locked="0"/>
    </xf>
    <xf numFmtId="0" fontId="36" fillId="13" borderId="0" xfId="0" applyFont="1" applyFill="1" applyAlignment="1" applyProtection="1">
      <alignment horizontal="center" vertical="center"/>
      <protection locked="0"/>
    </xf>
    <xf numFmtId="0" fontId="40" fillId="13" borderId="12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31" fillId="0" borderId="8" xfId="0" applyFont="1" applyFill="1" applyBorder="1" applyAlignment="1" applyProtection="1">
      <alignment horizontal="center" vertical="center"/>
      <protection locked="0"/>
    </xf>
    <xf numFmtId="0" fontId="31" fillId="0" borderId="9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29" fillId="0" borderId="2" xfId="0" quotePrefix="1" applyFont="1" applyFill="1" applyBorder="1" applyAlignment="1" applyProtection="1">
      <alignment horizontal="center" vertical="center"/>
    </xf>
    <xf numFmtId="0" fontId="29" fillId="0" borderId="3" xfId="0" quotePrefix="1" applyFont="1" applyFill="1" applyBorder="1" applyAlignment="1" applyProtection="1">
      <alignment horizontal="center" vertical="center"/>
    </xf>
    <xf numFmtId="0" fontId="29" fillId="0" borderId="63" xfId="0" quotePrefix="1" applyFont="1" applyFill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63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67" xfId="0" applyFont="1" applyBorder="1" applyAlignment="1" applyProtection="1">
      <alignment horizontal="center" vertical="center"/>
    </xf>
    <xf numFmtId="0" fontId="29" fillId="9" borderId="6" xfId="0" applyFont="1" applyFill="1" applyBorder="1" applyAlignment="1" applyProtection="1">
      <alignment horizontal="center" vertical="center"/>
    </xf>
    <xf numFmtId="0" fontId="29" fillId="9" borderId="67" xfId="0" applyFont="1" applyFill="1" applyBorder="1" applyAlignment="1" applyProtection="1">
      <alignment horizontal="center" vertical="center"/>
    </xf>
    <xf numFmtId="0" fontId="40" fillId="9" borderId="12" xfId="0" quotePrefix="1" applyFont="1" applyFill="1" applyBorder="1" applyAlignment="1" applyProtection="1">
      <alignment horizontal="center" vertical="center" wrapText="1"/>
      <protection locked="0"/>
    </xf>
    <xf numFmtId="0" fontId="31" fillId="9" borderId="8" xfId="0" applyFont="1" applyFill="1" applyBorder="1" applyAlignment="1" applyProtection="1">
      <alignment horizontal="center" vertical="center"/>
      <protection locked="0"/>
    </xf>
    <xf numFmtId="0" fontId="31" fillId="9" borderId="9" xfId="0" applyFont="1" applyFill="1" applyBorder="1" applyAlignment="1" applyProtection="1">
      <alignment horizontal="center" vertical="center"/>
      <protection locked="0"/>
    </xf>
    <xf numFmtId="0" fontId="31" fillId="9" borderId="10" xfId="0" applyFont="1" applyFill="1" applyBorder="1" applyAlignment="1" applyProtection="1">
      <alignment horizontal="center" vertical="center"/>
      <protection locked="0"/>
    </xf>
    <xf numFmtId="0" fontId="40" fillId="11" borderId="12" xfId="0" quotePrefix="1" applyFont="1" applyFill="1" applyBorder="1" applyAlignment="1" applyProtection="1">
      <alignment horizontal="center" vertical="center" wrapText="1"/>
      <protection locked="0"/>
    </xf>
    <xf numFmtId="0" fontId="40" fillId="11" borderId="12" xfId="0" applyFont="1" applyFill="1" applyBorder="1" applyAlignment="1" applyProtection="1">
      <alignment horizontal="center" vertical="center" wrapText="1"/>
      <protection locked="0"/>
    </xf>
    <xf numFmtId="0" fontId="40" fillId="3" borderId="12" xfId="0" applyFont="1" applyFill="1" applyBorder="1" applyAlignment="1" applyProtection="1">
      <alignment horizontal="center" vertical="center" wrapText="1"/>
      <protection locked="0"/>
    </xf>
    <xf numFmtId="0" fontId="40" fillId="9" borderId="12" xfId="0" applyFont="1" applyFill="1" applyBorder="1" applyAlignment="1" applyProtection="1">
      <alignment horizontal="center" vertical="center" wrapText="1"/>
      <protection locked="0"/>
    </xf>
    <xf numFmtId="0" fontId="40" fillId="19" borderId="12" xfId="0" applyFont="1" applyFill="1" applyBorder="1" applyAlignment="1" applyProtection="1">
      <alignment horizontal="center" vertical="center" wrapText="1"/>
      <protection locked="0"/>
    </xf>
    <xf numFmtId="0" fontId="49" fillId="20" borderId="12" xfId="0" applyFont="1" applyFill="1" applyBorder="1" applyAlignment="1" applyProtection="1">
      <alignment horizontal="center" vertical="center" wrapText="1"/>
      <protection locked="0"/>
    </xf>
    <xf numFmtId="0" fontId="47" fillId="20" borderId="2" xfId="0" quotePrefix="1" applyFont="1" applyFill="1" applyBorder="1" applyAlignment="1" applyProtection="1">
      <alignment horizontal="center" vertical="center"/>
    </xf>
    <xf numFmtId="0" fontId="47" fillId="20" borderId="3" xfId="0" quotePrefix="1" applyFont="1" applyFill="1" applyBorder="1" applyAlignment="1" applyProtection="1">
      <alignment horizontal="center" vertical="center"/>
    </xf>
    <xf numFmtId="0" fontId="47" fillId="20" borderId="63" xfId="0" quotePrefix="1" applyFont="1" applyFill="1" applyBorder="1" applyAlignment="1" applyProtection="1">
      <alignment horizontal="center" vertical="center"/>
    </xf>
    <xf numFmtId="0" fontId="29" fillId="3" borderId="5" xfId="0" quotePrefix="1" applyFont="1" applyFill="1" applyBorder="1" applyAlignment="1" applyProtection="1">
      <alignment horizontal="center" vertical="center"/>
    </xf>
    <xf numFmtId="0" fontId="29" fillId="3" borderId="6" xfId="0" quotePrefix="1" applyFont="1" applyFill="1" applyBorder="1" applyAlignment="1" applyProtection="1">
      <alignment horizontal="center" vertical="center"/>
    </xf>
    <xf numFmtId="0" fontId="29" fillId="3" borderId="67" xfId="0" quotePrefix="1" applyFont="1" applyFill="1" applyBorder="1" applyAlignment="1" applyProtection="1">
      <alignment horizontal="center" vertical="center"/>
    </xf>
    <xf numFmtId="0" fontId="49" fillId="20" borderId="12" xfId="0" quotePrefix="1" applyFont="1" applyFill="1" applyBorder="1" applyAlignment="1" applyProtection="1">
      <alignment horizontal="center" vertical="center" wrapText="1"/>
      <protection locked="0"/>
    </xf>
    <xf numFmtId="0" fontId="20" fillId="25" borderId="0" xfId="0" applyFont="1" applyFill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center" vertical="center" wrapText="1"/>
      <protection locked="0"/>
    </xf>
    <xf numFmtId="0" fontId="40" fillId="0" borderId="18" xfId="0" applyFont="1" applyFill="1" applyBorder="1" applyAlignment="1" applyProtection="1">
      <alignment horizontal="center" vertical="center" wrapText="1"/>
      <protection locked="0"/>
    </xf>
    <xf numFmtId="0" fontId="41" fillId="3" borderId="12" xfId="0" applyFont="1" applyFill="1" applyBorder="1" applyAlignment="1" applyProtection="1">
      <alignment horizontal="center" vertical="center" wrapText="1"/>
      <protection locked="0"/>
    </xf>
    <xf numFmtId="0" fontId="41" fillId="9" borderId="2" xfId="0" applyFont="1" applyFill="1" applyBorder="1" applyAlignment="1" applyProtection="1">
      <alignment horizontal="center" vertical="center"/>
    </xf>
    <xf numFmtId="0" fontId="41" fillId="9" borderId="3" xfId="0" applyFont="1" applyFill="1" applyBorder="1" applyAlignment="1" applyProtection="1">
      <alignment horizontal="center" vertical="center"/>
    </xf>
    <xf numFmtId="0" fontId="41" fillId="9" borderId="63" xfId="0" applyFont="1" applyFill="1" applyBorder="1" applyAlignment="1" applyProtection="1">
      <alignment horizontal="center" vertical="center"/>
    </xf>
    <xf numFmtId="0" fontId="41" fillId="9" borderId="12" xfId="0" applyFont="1" applyFill="1" applyBorder="1" applyAlignment="1" applyProtection="1">
      <alignment horizontal="center" vertical="center" wrapText="1"/>
      <protection locked="0"/>
    </xf>
    <xf numFmtId="0" fontId="41" fillId="11" borderId="12" xfId="0" applyFont="1" applyFill="1" applyBorder="1" applyAlignment="1" applyProtection="1">
      <alignment horizontal="center" vertical="center" wrapText="1"/>
      <protection locked="0"/>
    </xf>
    <xf numFmtId="0" fontId="41" fillId="13" borderId="12" xfId="0" applyFont="1" applyFill="1" applyBorder="1" applyAlignment="1" applyProtection="1">
      <alignment horizontal="center" vertical="center" wrapText="1"/>
      <protection locked="0"/>
    </xf>
    <xf numFmtId="0" fontId="29" fillId="9" borderId="5" xfId="0" applyFont="1" applyFill="1" applyBorder="1" applyAlignment="1" applyProtection="1">
      <alignment horizontal="center" vertical="center"/>
    </xf>
    <xf numFmtId="0" fontId="41" fillId="19" borderId="12" xfId="0" applyFont="1" applyFill="1" applyBorder="1" applyAlignment="1" applyProtection="1">
      <alignment horizontal="center" vertical="center" wrapText="1"/>
      <protection locked="0"/>
    </xf>
    <xf numFmtId="0" fontId="40" fillId="0" borderId="21" xfId="0" applyFont="1" applyFill="1" applyBorder="1" applyAlignment="1" applyProtection="1">
      <alignment horizontal="center" vertical="center" wrapText="1"/>
      <protection locked="0"/>
    </xf>
    <xf numFmtId="0" fontId="29" fillId="13" borderId="5" xfId="0" applyFont="1" applyFill="1" applyBorder="1" applyAlignment="1" applyProtection="1">
      <alignment horizontal="center" vertical="center"/>
    </xf>
    <xf numFmtId="0" fontId="29" fillId="13" borderId="6" xfId="0" applyFont="1" applyFill="1" applyBorder="1" applyAlignment="1" applyProtection="1">
      <alignment horizontal="center" vertical="center"/>
    </xf>
    <xf numFmtId="0" fontId="29" fillId="13" borderId="67" xfId="0" applyFont="1" applyFill="1" applyBorder="1" applyAlignment="1" applyProtection="1">
      <alignment horizontal="center" vertical="center"/>
    </xf>
    <xf numFmtId="0" fontId="13" fillId="18" borderId="20" xfId="0" applyFont="1" applyFill="1" applyBorder="1" applyAlignment="1" applyProtection="1">
      <alignment horizontal="center" vertical="center"/>
    </xf>
    <xf numFmtId="0" fontId="29" fillId="16" borderId="5" xfId="0" quotePrefix="1" applyFont="1" applyFill="1" applyBorder="1" applyAlignment="1" applyProtection="1">
      <alignment horizontal="center" vertical="center"/>
    </xf>
    <xf numFmtId="0" fontId="29" fillId="16" borderId="6" xfId="0" quotePrefix="1" applyFont="1" applyFill="1" applyBorder="1" applyAlignment="1" applyProtection="1">
      <alignment horizontal="center" vertical="center"/>
    </xf>
    <xf numFmtId="0" fontId="29" fillId="16" borderId="67" xfId="0" quotePrefix="1" applyFont="1" applyFill="1" applyBorder="1" applyAlignment="1" applyProtection="1">
      <alignment horizontal="center" vertical="center"/>
    </xf>
    <xf numFmtId="0" fontId="29" fillId="0" borderId="19" xfId="0" applyFont="1" applyFill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0" fontId="47" fillId="29" borderId="5" xfId="0" applyFont="1" applyFill="1" applyBorder="1" applyAlignment="1" applyProtection="1">
      <alignment horizontal="center" vertical="center"/>
    </xf>
    <xf numFmtId="0" fontId="47" fillId="29" borderId="6" xfId="0" applyFont="1" applyFill="1" applyBorder="1" applyAlignment="1" applyProtection="1">
      <alignment horizontal="center" vertical="center"/>
    </xf>
    <xf numFmtId="0" fontId="47" fillId="29" borderId="67" xfId="0" applyFont="1" applyFill="1" applyBorder="1" applyAlignment="1" applyProtection="1">
      <alignment horizontal="center" vertical="center"/>
    </xf>
    <xf numFmtId="0" fontId="47" fillId="29" borderId="2" xfId="0" applyFont="1" applyFill="1" applyBorder="1" applyAlignment="1" applyProtection="1">
      <alignment horizontal="center" vertical="center"/>
    </xf>
    <xf numFmtId="0" fontId="47" fillId="29" borderId="3" xfId="0" applyFont="1" applyFill="1" applyBorder="1" applyAlignment="1" applyProtection="1">
      <alignment horizontal="center" vertical="center"/>
    </xf>
    <xf numFmtId="0" fontId="47" fillId="29" borderId="63" xfId="0" applyFont="1" applyFill="1" applyBorder="1" applyAlignment="1" applyProtection="1">
      <alignment horizontal="center" vertical="center"/>
    </xf>
    <xf numFmtId="0" fontId="29" fillId="32" borderId="8" xfId="0" applyFont="1" applyFill="1" applyBorder="1" applyAlignment="1" applyProtection="1">
      <alignment horizontal="center" vertical="center"/>
      <protection locked="0"/>
    </xf>
    <xf numFmtId="0" fontId="29" fillId="32" borderId="9" xfId="0" applyFont="1" applyFill="1" applyBorder="1" applyAlignment="1" applyProtection="1">
      <alignment horizontal="center" vertical="center"/>
      <protection locked="0"/>
    </xf>
    <xf numFmtId="0" fontId="29" fillId="32" borderId="10" xfId="0" applyFont="1" applyFill="1" applyBorder="1" applyAlignment="1" applyProtection="1">
      <alignment horizontal="center" vertical="center"/>
      <protection locked="0"/>
    </xf>
    <xf numFmtId="0" fontId="29" fillId="32" borderId="2" xfId="0" applyFont="1" applyFill="1" applyBorder="1" applyAlignment="1" applyProtection="1">
      <alignment horizontal="center" vertical="center"/>
      <protection locked="0"/>
    </xf>
    <xf numFmtId="0" fontId="29" fillId="32" borderId="3" xfId="0" applyFont="1" applyFill="1" applyBorder="1" applyAlignment="1" applyProtection="1">
      <alignment horizontal="center" vertical="center"/>
      <protection locked="0"/>
    </xf>
    <xf numFmtId="0" fontId="29" fillId="32" borderId="63" xfId="0" applyFont="1" applyFill="1" applyBorder="1" applyAlignment="1" applyProtection="1">
      <alignment horizontal="center" vertical="center"/>
      <protection locked="0"/>
    </xf>
    <xf numFmtId="0" fontId="41" fillId="13" borderId="0" xfId="0" applyFont="1" applyFill="1" applyAlignment="1" applyProtection="1">
      <alignment horizontal="center" vertical="center"/>
      <protection locked="0"/>
    </xf>
    <xf numFmtId="0" fontId="29" fillId="32" borderId="5" xfId="0" applyFont="1" applyFill="1" applyBorder="1" applyAlignment="1" applyProtection="1">
      <alignment horizontal="center" vertical="center"/>
      <protection locked="0"/>
    </xf>
    <xf numFmtId="0" fontId="29" fillId="32" borderId="6" xfId="0" applyFont="1" applyFill="1" applyBorder="1" applyAlignment="1" applyProtection="1">
      <alignment horizontal="center" vertical="center"/>
      <protection locked="0"/>
    </xf>
    <xf numFmtId="0" fontId="29" fillId="32" borderId="67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1" fillId="0" borderId="8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37" fillId="3" borderId="8" xfId="0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10" xfId="0" applyBorder="1"/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64" fillId="0" borderId="0" xfId="0" applyFont="1" applyFill="1" applyBorder="1" applyAlignment="1" applyProtection="1">
      <alignment horizontal="center" vertical="center"/>
      <protection locked="0"/>
    </xf>
    <xf numFmtId="0" fontId="21" fillId="15" borderId="13" xfId="0" quotePrefix="1" applyNumberFormat="1" applyFont="1" applyFill="1" applyBorder="1" applyAlignment="1" applyProtection="1">
      <alignment horizontal="center" vertical="center"/>
      <protection locked="0"/>
    </xf>
    <xf numFmtId="0" fontId="21" fillId="15" borderId="15" xfId="0" applyNumberFormat="1" applyFont="1" applyFill="1" applyBorder="1" applyAlignment="1" applyProtection="1">
      <alignment horizontal="center" vertical="center"/>
      <protection locked="0"/>
    </xf>
    <xf numFmtId="0" fontId="21" fillId="15" borderId="16" xfId="0" applyNumberFormat="1" applyFont="1" applyFill="1" applyBorder="1" applyAlignment="1" applyProtection="1">
      <alignment horizontal="center" vertical="center"/>
      <protection locked="0"/>
    </xf>
    <xf numFmtId="0" fontId="21" fillId="15" borderId="18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25" fillId="9" borderId="8" xfId="0" applyFont="1" applyFill="1" applyBorder="1" applyAlignment="1" applyProtection="1">
      <alignment horizontal="center" vertical="center"/>
      <protection locked="0"/>
    </xf>
    <xf numFmtId="0" fontId="25" fillId="9" borderId="9" xfId="0" applyFont="1" applyFill="1" applyBorder="1" applyAlignment="1" applyProtection="1">
      <alignment horizontal="center" vertical="center"/>
      <protection locked="0"/>
    </xf>
    <xf numFmtId="0" fontId="25" fillId="9" borderId="10" xfId="0" applyFont="1" applyFill="1" applyBorder="1" applyAlignment="1" applyProtection="1">
      <alignment horizontal="center" vertical="center"/>
      <protection locked="0"/>
    </xf>
    <xf numFmtId="0" fontId="11" fillId="13" borderId="8" xfId="0" applyFont="1" applyFill="1" applyBorder="1" applyAlignment="1" applyProtection="1">
      <alignment horizontal="center" vertical="center"/>
      <protection locked="0"/>
    </xf>
    <xf numFmtId="0" fontId="11" fillId="13" borderId="9" xfId="0" applyFont="1" applyFill="1" applyBorder="1" applyAlignment="1" applyProtection="1">
      <alignment horizontal="center" vertical="center"/>
      <protection locked="0"/>
    </xf>
    <xf numFmtId="0" fontId="11" fillId="13" borderId="10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27" borderId="0" xfId="0" applyFont="1" applyFill="1" applyAlignment="1" applyProtection="1">
      <alignment vertical="center"/>
      <protection locked="0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29" fillId="16" borderId="5" xfId="0" applyFont="1" applyFill="1" applyBorder="1" applyAlignment="1" applyProtection="1">
      <alignment horizontal="center" vertical="center"/>
    </xf>
    <xf numFmtId="0" fontId="29" fillId="16" borderId="6" xfId="0" applyFont="1" applyFill="1" applyBorder="1" applyAlignment="1" applyProtection="1">
      <alignment horizontal="center" vertical="center"/>
    </xf>
    <xf numFmtId="0" fontId="29" fillId="16" borderId="67" xfId="0" applyFont="1" applyFill="1" applyBorder="1" applyAlignment="1" applyProtection="1">
      <alignment horizontal="center" vertical="center"/>
    </xf>
    <xf numFmtId="0" fontId="47" fillId="20" borderId="5" xfId="0" applyFont="1" applyFill="1" applyBorder="1" applyAlignment="1" applyProtection="1">
      <alignment horizontal="center" vertical="center"/>
    </xf>
    <xf numFmtId="0" fontId="47" fillId="20" borderId="6" xfId="0" applyFont="1" applyFill="1" applyBorder="1" applyAlignment="1" applyProtection="1">
      <alignment horizontal="center" vertical="center"/>
    </xf>
    <xf numFmtId="0" fontId="47" fillId="20" borderId="67" xfId="0" applyFont="1" applyFill="1" applyBorder="1" applyAlignment="1" applyProtection="1">
      <alignment horizontal="center" vertical="center"/>
    </xf>
    <xf numFmtId="0" fontId="41" fillId="13" borderId="2" xfId="0" quotePrefix="1" applyFont="1" applyFill="1" applyBorder="1" applyAlignment="1" applyProtection="1">
      <alignment horizontal="center" vertical="center"/>
    </xf>
    <xf numFmtId="0" fontId="41" fillId="13" borderId="3" xfId="0" quotePrefix="1" applyFont="1" applyFill="1" applyBorder="1" applyAlignment="1" applyProtection="1">
      <alignment horizontal="center" vertical="center"/>
    </xf>
    <xf numFmtId="0" fontId="41" fillId="13" borderId="76" xfId="0" quotePrefix="1" applyFont="1" applyFill="1" applyBorder="1" applyAlignment="1" applyProtection="1">
      <alignment horizontal="center" vertical="center"/>
    </xf>
    <xf numFmtId="0" fontId="5" fillId="9" borderId="2" xfId="0" quotePrefix="1" applyNumberFormat="1" applyFont="1" applyFill="1" applyBorder="1" applyAlignment="1" applyProtection="1">
      <alignment horizontal="center" vertical="center"/>
    </xf>
    <xf numFmtId="0" fontId="5" fillId="9" borderId="3" xfId="0" quotePrefix="1" applyNumberFormat="1" applyFont="1" applyFill="1" applyBorder="1" applyAlignment="1" applyProtection="1">
      <alignment horizontal="center" vertical="center"/>
    </xf>
    <xf numFmtId="0" fontId="5" fillId="9" borderId="4" xfId="0" quotePrefix="1" applyNumberFormat="1" applyFont="1" applyFill="1" applyBorder="1" applyAlignment="1" applyProtection="1">
      <alignment horizontal="center" vertical="center"/>
    </xf>
    <xf numFmtId="0" fontId="5" fillId="0" borderId="43" xfId="0" quotePrefix="1" applyNumberFormat="1" applyFont="1" applyFill="1" applyBorder="1" applyAlignment="1" applyProtection="1">
      <alignment horizontal="center" vertical="center"/>
    </xf>
    <xf numFmtId="0" fontId="5" fillId="0" borderId="44" xfId="0" quotePrefix="1" applyNumberFormat="1" applyFont="1" applyFill="1" applyBorder="1" applyAlignment="1" applyProtection="1">
      <alignment horizontal="center" vertical="center"/>
    </xf>
    <xf numFmtId="0" fontId="5" fillId="0" borderId="45" xfId="0" quotePrefix="1" applyNumberFormat="1" applyFont="1" applyFill="1" applyBorder="1" applyAlignment="1" applyProtection="1">
      <alignment horizontal="center" vertical="center"/>
    </xf>
    <xf numFmtId="0" fontId="5" fillId="0" borderId="5" xfId="0" quotePrefix="1" applyNumberFormat="1" applyFont="1" applyFill="1" applyBorder="1" applyAlignment="1" applyProtection="1">
      <alignment horizontal="center" vertical="center"/>
    </xf>
    <xf numFmtId="0" fontId="5" fillId="0" borderId="6" xfId="0" quotePrefix="1" applyNumberFormat="1" applyFont="1" applyFill="1" applyBorder="1" applyAlignment="1" applyProtection="1">
      <alignment horizontal="center" vertical="center"/>
    </xf>
    <xf numFmtId="0" fontId="5" fillId="0" borderId="7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26" fillId="0" borderId="8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/>
    </xf>
    <xf numFmtId="0" fontId="20" fillId="0" borderId="39" xfId="0" applyFont="1" applyBorder="1" applyAlignment="1" applyProtection="1">
      <alignment horizontal="center"/>
    </xf>
    <xf numFmtId="0" fontId="20" fillId="0" borderId="41" xfId="0" applyFont="1" applyBorder="1" applyAlignment="1" applyProtection="1">
      <alignment horizontal="center"/>
    </xf>
    <xf numFmtId="0" fontId="20" fillId="0" borderId="22" xfId="0" applyFont="1" applyBorder="1" applyAlignment="1" applyProtection="1">
      <alignment horizontal="center"/>
    </xf>
    <xf numFmtId="0" fontId="20" fillId="0" borderId="40" xfId="0" applyFont="1" applyBorder="1" applyAlignment="1" applyProtection="1">
      <alignment horizontal="center"/>
    </xf>
    <xf numFmtId="0" fontId="20" fillId="0" borderId="23" xfId="0" applyFont="1" applyBorder="1" applyAlignment="1" applyProtection="1">
      <alignment horizontal="center"/>
    </xf>
    <xf numFmtId="0" fontId="20" fillId="0" borderId="24" xfId="0" applyFont="1" applyBorder="1" applyAlignment="1" applyProtection="1">
      <alignment horizontal="center"/>
    </xf>
    <xf numFmtId="0" fontId="20" fillId="0" borderId="42" xfId="0" applyFont="1" applyBorder="1" applyAlignment="1" applyProtection="1">
      <alignment horizontal="center"/>
    </xf>
    <xf numFmtId="0" fontId="20" fillId="0" borderId="37" xfId="0" applyFont="1" applyBorder="1" applyAlignment="1" applyProtection="1">
      <alignment horizontal="center"/>
    </xf>
    <xf numFmtId="0" fontId="20" fillId="0" borderId="22" xfId="0" quotePrefix="1" applyFont="1" applyFill="1" applyBorder="1" applyAlignment="1" applyProtection="1">
      <alignment horizontal="center"/>
    </xf>
    <xf numFmtId="0" fontId="36" fillId="0" borderId="40" xfId="0" applyFont="1" applyBorder="1"/>
    <xf numFmtId="0" fontId="36" fillId="0" borderId="23" xfId="0" applyFont="1" applyBorder="1"/>
    <xf numFmtId="0" fontId="20" fillId="0" borderId="32" xfId="0" quotePrefix="1" applyFont="1" applyFill="1" applyBorder="1" applyAlignment="1" applyProtection="1">
      <alignment horizontal="center"/>
    </xf>
    <xf numFmtId="0" fontId="20" fillId="0" borderId="39" xfId="0" quotePrefix="1" applyFont="1" applyFill="1" applyBorder="1" applyAlignment="1" applyProtection="1">
      <alignment horizontal="center"/>
    </xf>
    <xf numFmtId="0" fontId="20" fillId="0" borderId="41" xfId="0" quotePrefix="1" applyFont="1" applyFill="1" applyBorder="1" applyAlignment="1" applyProtection="1">
      <alignment horizontal="center"/>
    </xf>
    <xf numFmtId="0" fontId="20" fillId="0" borderId="32" xfId="0" quotePrefix="1" applyFont="1" applyFill="1" applyBorder="1" applyAlignment="1" applyProtection="1">
      <alignment horizontal="center" vertical="center"/>
    </xf>
    <xf numFmtId="0" fontId="20" fillId="0" borderId="39" xfId="0" quotePrefix="1" applyFont="1" applyFill="1" applyBorder="1" applyAlignment="1" applyProtection="1">
      <alignment horizontal="center" vertical="center"/>
    </xf>
    <xf numFmtId="0" fontId="20" fillId="0" borderId="41" xfId="0" quotePrefix="1" applyFont="1" applyFill="1" applyBorder="1" applyAlignment="1" applyProtection="1">
      <alignment horizontal="center" vertical="center"/>
    </xf>
    <xf numFmtId="0" fontId="16" fillId="11" borderId="8" xfId="0" applyFont="1" applyFill="1" applyBorder="1" applyAlignment="1" applyProtection="1">
      <alignment horizontal="center"/>
      <protection locked="0"/>
    </xf>
    <xf numFmtId="0" fontId="16" fillId="11" borderId="9" xfId="0" applyFont="1" applyFill="1" applyBorder="1" applyAlignment="1" applyProtection="1">
      <alignment horizontal="center"/>
      <protection locked="0"/>
    </xf>
    <xf numFmtId="0" fontId="16" fillId="11" borderId="10" xfId="0" applyFont="1" applyFill="1" applyBorder="1" applyAlignment="1" applyProtection="1">
      <alignment horizontal="center"/>
      <protection locked="0"/>
    </xf>
    <xf numFmtId="0" fontId="20" fillId="0" borderId="24" xfId="0" quotePrefix="1" applyFont="1" applyFill="1" applyBorder="1" applyAlignment="1" applyProtection="1">
      <alignment horizontal="center" vertical="center"/>
    </xf>
    <xf numFmtId="0" fontId="20" fillId="0" borderId="42" xfId="0" quotePrefix="1" applyFont="1" applyFill="1" applyBorder="1" applyAlignment="1" applyProtection="1">
      <alignment horizontal="center" vertical="center"/>
    </xf>
    <xf numFmtId="0" fontId="20" fillId="0" borderId="37" xfId="0" quotePrefix="1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20" fillId="0" borderId="43" xfId="0" quotePrefix="1" applyNumberFormat="1" applyFont="1" applyFill="1" applyBorder="1" applyAlignment="1" applyProtection="1">
      <alignment horizontal="center" vertical="center"/>
    </xf>
    <xf numFmtId="0" fontId="20" fillId="0" borderId="44" xfId="0" quotePrefix="1" applyNumberFormat="1" applyFont="1" applyFill="1" applyBorder="1" applyAlignment="1" applyProtection="1">
      <alignment horizontal="center" vertical="center"/>
    </xf>
    <xf numFmtId="0" fontId="20" fillId="0" borderId="45" xfId="0" quotePrefix="1" applyNumberFormat="1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5" xfId="0" quotePrefix="1" applyFont="1" applyFill="1" applyBorder="1" applyAlignment="1" applyProtection="1">
      <alignment horizontal="center"/>
    </xf>
    <xf numFmtId="0" fontId="13" fillId="0" borderId="6" xfId="0" quotePrefix="1" applyFont="1" applyFill="1" applyBorder="1" applyAlignment="1" applyProtection="1">
      <alignment horizontal="center"/>
    </xf>
    <xf numFmtId="0" fontId="13" fillId="0" borderId="7" xfId="0" quotePrefix="1" applyFont="1" applyFill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8" borderId="2" xfId="0" quotePrefix="1" applyFont="1" applyFill="1" applyBorder="1" applyAlignment="1" applyProtection="1">
      <alignment horizontal="center"/>
    </xf>
    <xf numFmtId="0" fontId="13" fillId="8" borderId="3" xfId="0" applyFont="1" applyFill="1" applyBorder="1" applyAlignment="1" applyProtection="1">
      <alignment horizontal="center"/>
    </xf>
    <xf numFmtId="0" fontId="13" fillId="8" borderId="4" xfId="0" applyFont="1" applyFill="1" applyBorder="1" applyAlignment="1" applyProtection="1">
      <alignment horizontal="center"/>
    </xf>
    <xf numFmtId="0" fontId="13" fillId="0" borderId="2" xfId="0" quotePrefix="1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3" fillId="8" borderId="8" xfId="0" quotePrefix="1" applyFont="1" applyFill="1" applyBorder="1" applyAlignment="1" applyProtection="1">
      <alignment horizontal="center"/>
    </xf>
    <xf numFmtId="0" fontId="13" fillId="8" borderId="9" xfId="0" quotePrefix="1" applyFont="1" applyFill="1" applyBorder="1" applyAlignment="1" applyProtection="1">
      <alignment horizontal="center"/>
    </xf>
    <xf numFmtId="0" fontId="13" fillId="8" borderId="10" xfId="0" quotePrefix="1" applyFont="1" applyFill="1" applyBorder="1" applyAlignment="1" applyProtection="1">
      <alignment horizontal="center"/>
    </xf>
    <xf numFmtId="0" fontId="13" fillId="0" borderId="8" xfId="0" quotePrefix="1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13" fillId="0" borderId="3" xfId="0" quotePrefix="1" applyFont="1" applyFill="1" applyBorder="1" applyAlignment="1" applyProtection="1">
      <alignment horizontal="center"/>
    </xf>
    <xf numFmtId="0" fontId="13" fillId="0" borderId="4" xfId="0" quotePrefix="1" applyFont="1" applyFill="1" applyBorder="1" applyAlignment="1" applyProtection="1">
      <alignment horizontal="center"/>
    </xf>
    <xf numFmtId="0" fontId="13" fillId="0" borderId="9" xfId="0" quotePrefix="1" applyFont="1" applyFill="1" applyBorder="1" applyAlignment="1" applyProtection="1">
      <alignment horizontal="center"/>
    </xf>
    <xf numFmtId="0" fontId="13" fillId="0" borderId="10" xfId="0" quotePrefix="1" applyFont="1" applyFill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8" borderId="8" xfId="0" applyFont="1" applyFill="1" applyBorder="1" applyAlignment="1" applyProtection="1">
      <alignment horizontal="center" vertical="center"/>
    </xf>
    <xf numFmtId="0" fontId="13" fillId="8" borderId="9" xfId="0" applyFont="1" applyFill="1" applyBorder="1" applyAlignment="1" applyProtection="1">
      <alignment horizontal="center" vertical="center"/>
    </xf>
    <xf numFmtId="0" fontId="13" fillId="8" borderId="10" xfId="0" applyFont="1" applyFill="1" applyBorder="1" applyAlignment="1" applyProtection="1">
      <alignment horizontal="center" vertical="center"/>
    </xf>
    <xf numFmtId="0" fontId="13" fillId="9" borderId="8" xfId="0" applyFont="1" applyFill="1" applyBorder="1" applyAlignment="1" applyProtection="1">
      <alignment horizontal="center"/>
    </xf>
    <xf numFmtId="0" fontId="13" fillId="9" borderId="9" xfId="0" quotePrefix="1" applyFont="1" applyFill="1" applyBorder="1" applyAlignment="1" applyProtection="1">
      <alignment horizontal="center"/>
    </xf>
    <xf numFmtId="0" fontId="13" fillId="9" borderId="10" xfId="0" quotePrefix="1" applyFont="1" applyFill="1" applyBorder="1" applyAlignment="1" applyProtection="1">
      <alignment horizontal="center"/>
    </xf>
    <xf numFmtId="0" fontId="13" fillId="10" borderId="8" xfId="0" quotePrefix="1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3" fillId="10" borderId="8" xfId="0" applyFont="1" applyFill="1" applyBorder="1" applyAlignment="1" applyProtection="1">
      <alignment horizontal="center"/>
    </xf>
    <xf numFmtId="0" fontId="13" fillId="0" borderId="16" xfId="0" quotePrefix="1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2" xfId="0" quotePrefix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2" fillId="11" borderId="8" xfId="0" applyFont="1" applyFill="1" applyBorder="1" applyAlignment="1" applyProtection="1">
      <alignment horizontal="center"/>
      <protection locked="0"/>
    </xf>
    <xf numFmtId="0" fontId="2" fillId="11" borderId="9" xfId="0" applyFont="1" applyFill="1" applyBorder="1" applyAlignment="1" applyProtection="1">
      <alignment horizontal="center"/>
      <protection locked="0"/>
    </xf>
    <xf numFmtId="0" fontId="2" fillId="11" borderId="10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3" fillId="8" borderId="8" xfId="0" quotePrefix="1" applyFont="1" applyFill="1" applyBorder="1" applyAlignment="1" applyProtection="1">
      <alignment horizontal="center" vertical="center"/>
    </xf>
    <xf numFmtId="0" fontId="13" fillId="8" borderId="9" xfId="0" quotePrefix="1" applyFont="1" applyFill="1" applyBorder="1" applyAlignment="1" applyProtection="1">
      <alignment horizontal="center" vertical="center"/>
    </xf>
    <xf numFmtId="0" fontId="13" fillId="8" borderId="10" xfId="0" quotePrefix="1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3" fillId="0" borderId="8" xfId="0" quotePrefix="1" applyFont="1" applyFill="1" applyBorder="1" applyAlignment="1" applyProtection="1">
      <alignment horizontal="center" vertical="center"/>
    </xf>
    <xf numFmtId="0" fontId="13" fillId="0" borderId="9" xfId="0" quotePrefix="1" applyFont="1" applyFill="1" applyBorder="1" applyAlignment="1" applyProtection="1">
      <alignment horizontal="center" vertical="center"/>
    </xf>
    <xf numFmtId="0" fontId="13" fillId="0" borderId="10" xfId="0" quotePrefix="1" applyFont="1" applyFill="1" applyBorder="1" applyAlignment="1" applyProtection="1">
      <alignment horizontal="center" vertical="center"/>
    </xf>
    <xf numFmtId="0" fontId="13" fillId="0" borderId="5" xfId="0" quotePrefix="1" applyNumberFormat="1" applyFont="1" applyFill="1" applyBorder="1" applyAlignment="1" applyProtection="1">
      <alignment horizontal="center" vertical="center"/>
    </xf>
    <xf numFmtId="0" fontId="13" fillId="0" borderId="6" xfId="0" quotePrefix="1" applyNumberFormat="1" applyFont="1" applyFill="1" applyBorder="1" applyAlignment="1" applyProtection="1">
      <alignment horizontal="center" vertical="center"/>
    </xf>
    <xf numFmtId="0" fontId="13" fillId="0" borderId="7" xfId="0" quotePrefix="1" applyNumberFormat="1" applyFont="1" applyFill="1" applyBorder="1" applyAlignment="1" applyProtection="1">
      <alignment horizontal="center" vertical="center"/>
    </xf>
    <xf numFmtId="0" fontId="13" fillId="0" borderId="32" xfId="0" quotePrefix="1" applyFont="1" applyFill="1" applyBorder="1" applyAlignment="1" applyProtection="1">
      <alignment horizontal="center" vertical="center"/>
    </xf>
    <xf numFmtId="0" fontId="13" fillId="0" borderId="39" xfId="0" quotePrefix="1" applyFont="1" applyFill="1" applyBorder="1" applyAlignment="1" applyProtection="1">
      <alignment horizontal="center" vertical="center"/>
    </xf>
    <xf numFmtId="0" fontId="13" fillId="0" borderId="41" xfId="0" quotePrefix="1" applyFont="1" applyFill="1" applyBorder="1" applyAlignment="1" applyProtection="1">
      <alignment horizontal="center" vertical="center"/>
    </xf>
    <xf numFmtId="0" fontId="13" fillId="0" borderId="22" xfId="0" quotePrefix="1" applyFont="1" applyFill="1" applyBorder="1" applyAlignment="1" applyProtection="1">
      <alignment horizontal="center"/>
    </xf>
    <xf numFmtId="0" fontId="0" fillId="0" borderId="40" xfId="0" applyBorder="1"/>
    <xf numFmtId="0" fontId="0" fillId="0" borderId="23" xfId="0" applyBorder="1"/>
    <xf numFmtId="0" fontId="13" fillId="0" borderId="24" xfId="0" quotePrefix="1" applyFont="1" applyFill="1" applyBorder="1" applyAlignment="1" applyProtection="1">
      <alignment horizontal="center" vertical="center"/>
    </xf>
    <xf numFmtId="0" fontId="13" fillId="0" borderId="42" xfId="0" quotePrefix="1" applyFont="1" applyFill="1" applyBorder="1" applyAlignment="1" applyProtection="1">
      <alignment horizontal="center" vertical="center"/>
    </xf>
    <xf numFmtId="0" fontId="13" fillId="0" borderId="37" xfId="0" quotePrefix="1" applyFont="1" applyFill="1" applyBorder="1" applyAlignment="1" applyProtection="1">
      <alignment horizontal="center" vertical="center"/>
    </xf>
    <xf numFmtId="0" fontId="13" fillId="0" borderId="32" xfId="0" quotePrefix="1" applyFont="1" applyFill="1" applyBorder="1" applyAlignment="1" applyProtection="1">
      <alignment horizontal="center"/>
    </xf>
    <xf numFmtId="0" fontId="13" fillId="0" borderId="39" xfId="0" quotePrefix="1" applyFont="1" applyFill="1" applyBorder="1" applyAlignment="1" applyProtection="1">
      <alignment horizontal="center"/>
    </xf>
    <xf numFmtId="0" fontId="13" fillId="0" borderId="41" xfId="0" quotePrefix="1" applyFont="1" applyFill="1" applyBorder="1" applyAlignment="1" applyProtection="1">
      <alignment horizontal="center"/>
    </xf>
    <xf numFmtId="0" fontId="13" fillId="0" borderId="43" xfId="0" quotePrefix="1" applyNumberFormat="1" applyFont="1" applyFill="1" applyBorder="1" applyAlignment="1" applyProtection="1">
      <alignment horizontal="center" vertical="center"/>
    </xf>
    <xf numFmtId="0" fontId="13" fillId="0" borderId="44" xfId="0" quotePrefix="1" applyNumberFormat="1" applyFont="1" applyFill="1" applyBorder="1" applyAlignment="1" applyProtection="1">
      <alignment horizontal="center" vertical="center"/>
    </xf>
    <xf numFmtId="0" fontId="13" fillId="0" borderId="45" xfId="0" quotePrefix="1" applyNumberFormat="1" applyFont="1" applyFill="1" applyBorder="1" applyAlignment="1" applyProtection="1">
      <alignment horizontal="center" vertical="center"/>
    </xf>
    <xf numFmtId="0" fontId="18" fillId="0" borderId="22" xfId="0" quotePrefix="1" applyFont="1" applyFill="1" applyBorder="1" applyAlignment="1" applyProtection="1">
      <alignment horizontal="center"/>
    </xf>
    <xf numFmtId="0" fontId="33" fillId="0" borderId="40" xfId="0" applyFont="1" applyBorder="1"/>
    <xf numFmtId="0" fontId="33" fillId="0" borderId="23" xfId="0" applyFont="1" applyBorder="1"/>
    <xf numFmtId="0" fontId="18" fillId="0" borderId="32" xfId="0" quotePrefix="1" applyFont="1" applyFill="1" applyBorder="1" applyAlignment="1" applyProtection="1">
      <alignment horizontal="center"/>
    </xf>
    <xf numFmtId="0" fontId="18" fillId="0" borderId="39" xfId="0" quotePrefix="1" applyFont="1" applyFill="1" applyBorder="1" applyAlignment="1" applyProtection="1">
      <alignment horizontal="center"/>
    </xf>
    <xf numFmtId="0" fontId="18" fillId="0" borderId="41" xfId="0" quotePrefix="1" applyFont="1" applyFill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/>
      <protection locked="0"/>
    </xf>
    <xf numFmtId="0" fontId="30" fillId="2" borderId="9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3" fillId="0" borderId="5" xfId="0" quotePrefix="1" applyFont="1" applyFill="1" applyBorder="1" applyAlignment="1" applyProtection="1">
      <alignment horizontal="center" vertical="center"/>
    </xf>
    <xf numFmtId="0" fontId="13" fillId="0" borderId="6" xfId="0" quotePrefix="1" applyFont="1" applyFill="1" applyBorder="1" applyAlignment="1" applyProtection="1">
      <alignment horizontal="center" vertical="center"/>
    </xf>
    <xf numFmtId="0" fontId="13" fillId="0" borderId="7" xfId="0" quotePrefix="1" applyFont="1" applyFill="1" applyBorder="1" applyAlignment="1" applyProtection="1">
      <alignment horizontal="center" vertical="center"/>
    </xf>
    <xf numFmtId="0" fontId="18" fillId="21" borderId="2" xfId="0" quotePrefix="1" applyFont="1" applyFill="1" applyBorder="1" applyAlignment="1" applyProtection="1">
      <alignment horizontal="center"/>
    </xf>
    <xf numFmtId="0" fontId="18" fillId="21" borderId="3" xfId="0" quotePrefix="1" applyFont="1" applyFill="1" applyBorder="1" applyAlignment="1" applyProtection="1">
      <alignment horizontal="center"/>
    </xf>
    <xf numFmtId="0" fontId="18" fillId="21" borderId="4" xfId="0" quotePrefix="1" applyFont="1" applyFill="1" applyBorder="1" applyAlignment="1" applyProtection="1">
      <alignment horizontal="center"/>
    </xf>
    <xf numFmtId="0" fontId="18" fillId="21" borderId="5" xfId="0" quotePrefix="1" applyFont="1" applyFill="1" applyBorder="1" applyAlignment="1" applyProtection="1">
      <alignment horizontal="center" vertical="center"/>
    </xf>
    <xf numFmtId="0" fontId="18" fillId="21" borderId="6" xfId="0" quotePrefix="1" applyFont="1" applyFill="1" applyBorder="1" applyAlignment="1" applyProtection="1">
      <alignment horizontal="center" vertical="center"/>
    </xf>
    <xf numFmtId="0" fontId="18" fillId="21" borderId="7" xfId="0" quotePrefix="1" applyFont="1" applyFill="1" applyBorder="1" applyAlignment="1" applyProtection="1">
      <alignment horizontal="center" vertical="center"/>
    </xf>
    <xf numFmtId="0" fontId="6" fillId="11" borderId="8" xfId="0" applyFont="1" applyFill="1" applyBorder="1" applyAlignment="1" applyProtection="1">
      <alignment horizontal="center" vertical="center"/>
      <protection locked="0"/>
    </xf>
    <xf numFmtId="0" fontId="6" fillId="11" borderId="9" xfId="0" applyFont="1" applyFill="1" applyBorder="1" applyAlignment="1" applyProtection="1">
      <alignment horizontal="center" vertical="center"/>
      <protection locked="0"/>
    </xf>
    <xf numFmtId="0" fontId="6" fillId="11" borderId="10" xfId="0" applyFont="1" applyFill="1" applyBorder="1" applyAlignment="1" applyProtection="1">
      <alignment horizontal="center" vertical="center"/>
      <protection locked="0"/>
    </xf>
    <xf numFmtId="0" fontId="13" fillId="25" borderId="5" xfId="0" quotePrefix="1" applyFont="1" applyFill="1" applyBorder="1" applyAlignment="1" applyProtection="1">
      <alignment horizontal="center" vertical="center"/>
    </xf>
    <xf numFmtId="0" fontId="13" fillId="25" borderId="6" xfId="0" quotePrefix="1" applyFont="1" applyFill="1" applyBorder="1" applyAlignment="1" applyProtection="1">
      <alignment horizontal="center" vertical="center"/>
    </xf>
    <xf numFmtId="0" fontId="13" fillId="25" borderId="7" xfId="0" quotePrefix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quotePrefix="1" applyFont="1" applyFill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 vertical="center"/>
    </xf>
    <xf numFmtId="0" fontId="32" fillId="3" borderId="6" xfId="0" quotePrefix="1" applyFont="1" applyFill="1" applyBorder="1" applyAlignment="1" applyProtection="1">
      <alignment horizontal="center" vertical="center"/>
    </xf>
    <xf numFmtId="0" fontId="32" fillId="3" borderId="7" xfId="0" quotePrefix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3" fillId="18" borderId="5" xfId="0" quotePrefix="1" applyFont="1" applyFill="1" applyBorder="1" applyAlignment="1" applyProtection="1">
      <alignment horizontal="center" vertical="center"/>
    </xf>
    <xf numFmtId="0" fontId="13" fillId="18" borderId="6" xfId="0" quotePrefix="1" applyFont="1" applyFill="1" applyBorder="1" applyAlignment="1" applyProtection="1">
      <alignment horizontal="center" vertical="center"/>
    </xf>
    <xf numFmtId="0" fontId="13" fillId="18" borderId="7" xfId="0" quotePrefix="1" applyFont="1" applyFill="1" applyBorder="1" applyAlignment="1" applyProtection="1">
      <alignment horizontal="center" vertical="center"/>
    </xf>
    <xf numFmtId="0" fontId="13" fillId="13" borderId="5" xfId="0" quotePrefix="1" applyFont="1" applyFill="1" applyBorder="1" applyAlignment="1" applyProtection="1">
      <alignment horizontal="center" vertical="center"/>
    </xf>
    <xf numFmtId="0" fontId="13" fillId="13" borderId="6" xfId="0" quotePrefix="1" applyFont="1" applyFill="1" applyBorder="1" applyAlignment="1" applyProtection="1">
      <alignment horizontal="center" vertical="center"/>
    </xf>
    <xf numFmtId="0" fontId="13" fillId="13" borderId="7" xfId="0" quotePrefix="1" applyFont="1" applyFill="1" applyBorder="1" applyAlignment="1" applyProtection="1">
      <alignment horizontal="center" vertical="center"/>
    </xf>
    <xf numFmtId="0" fontId="32" fillId="9" borderId="5" xfId="0" quotePrefix="1" applyFont="1" applyFill="1" applyBorder="1" applyAlignment="1" applyProtection="1">
      <alignment horizontal="center" vertical="center"/>
    </xf>
    <xf numFmtId="0" fontId="32" fillId="9" borderId="6" xfId="0" quotePrefix="1" applyFont="1" applyFill="1" applyBorder="1" applyAlignment="1" applyProtection="1">
      <alignment horizontal="center" vertical="center"/>
    </xf>
    <xf numFmtId="0" fontId="32" fillId="9" borderId="7" xfId="0" quotePrefix="1" applyFont="1" applyFill="1" applyBorder="1" applyAlignment="1" applyProtection="1">
      <alignment horizontal="center" vertical="center"/>
    </xf>
    <xf numFmtId="0" fontId="16" fillId="3" borderId="5" xfId="0" quotePrefix="1" applyFont="1" applyFill="1" applyBorder="1" applyAlignment="1" applyProtection="1">
      <alignment horizontal="center" vertical="center"/>
    </xf>
    <xf numFmtId="0" fontId="16" fillId="3" borderId="6" xfId="0" quotePrefix="1" applyFont="1" applyFill="1" applyBorder="1" applyAlignment="1" applyProtection="1">
      <alignment horizontal="center" vertical="center"/>
    </xf>
    <xf numFmtId="0" fontId="16" fillId="3" borderId="7" xfId="0" quotePrefix="1" applyFont="1" applyFill="1" applyBorder="1" applyAlignment="1" applyProtection="1">
      <alignment horizontal="center" vertical="center"/>
    </xf>
    <xf numFmtId="0" fontId="13" fillId="20" borderId="5" xfId="0" quotePrefix="1" applyFont="1" applyFill="1" applyBorder="1" applyAlignment="1" applyProtection="1">
      <alignment horizontal="center" vertical="center"/>
    </xf>
    <xf numFmtId="0" fontId="13" fillId="20" borderId="6" xfId="0" quotePrefix="1" applyFont="1" applyFill="1" applyBorder="1" applyAlignment="1" applyProtection="1">
      <alignment horizontal="center" vertical="center"/>
    </xf>
    <xf numFmtId="0" fontId="13" fillId="20" borderId="7" xfId="0" quotePrefix="1" applyFont="1" applyFill="1" applyBorder="1" applyAlignment="1" applyProtection="1">
      <alignment horizontal="center" vertical="center"/>
    </xf>
    <xf numFmtId="0" fontId="13" fillId="3" borderId="5" xfId="0" quotePrefix="1" applyFont="1" applyFill="1" applyBorder="1" applyAlignment="1" applyProtection="1">
      <alignment horizontal="center" vertical="center"/>
    </xf>
    <xf numFmtId="0" fontId="13" fillId="3" borderId="6" xfId="0" quotePrefix="1" applyFont="1" applyFill="1" applyBorder="1" applyAlignment="1" applyProtection="1">
      <alignment horizontal="center" vertical="center"/>
    </xf>
    <xf numFmtId="0" fontId="13" fillId="3" borderId="7" xfId="0" quotePrefix="1" applyFont="1" applyFill="1" applyBorder="1" applyAlignment="1" applyProtection="1">
      <alignment horizontal="center" vertical="center"/>
    </xf>
    <xf numFmtId="0" fontId="35" fillId="3" borderId="8" xfId="0" applyFont="1" applyFill="1" applyBorder="1" applyAlignment="1" applyProtection="1">
      <alignment horizontal="center"/>
      <protection locked="0"/>
    </xf>
    <xf numFmtId="0" fontId="35" fillId="3" borderId="9" xfId="0" applyFont="1" applyFill="1" applyBorder="1" applyAlignment="1" applyProtection="1">
      <alignment horizontal="center"/>
      <protection locked="0"/>
    </xf>
    <xf numFmtId="0" fontId="35" fillId="3" borderId="10" xfId="0" applyFont="1" applyFill="1" applyBorder="1" applyAlignment="1" applyProtection="1">
      <alignment horizontal="center"/>
      <protection locked="0"/>
    </xf>
    <xf numFmtId="0" fontId="13" fillId="5" borderId="5" xfId="0" quotePrefix="1" applyFont="1" applyFill="1" applyBorder="1" applyAlignment="1" applyProtection="1">
      <alignment horizontal="center" vertical="center"/>
    </xf>
    <xf numFmtId="0" fontId="13" fillId="5" borderId="6" xfId="0" quotePrefix="1" applyFont="1" applyFill="1" applyBorder="1" applyAlignment="1" applyProtection="1">
      <alignment horizontal="center" vertical="center"/>
    </xf>
    <xf numFmtId="0" fontId="13" fillId="5" borderId="7" xfId="0" quotePrefix="1" applyFont="1" applyFill="1" applyBorder="1" applyAlignment="1" applyProtection="1">
      <alignment horizontal="center" vertical="center"/>
    </xf>
    <xf numFmtId="0" fontId="13" fillId="13" borderId="6" xfId="0" quotePrefix="1" applyFont="1" applyFill="1" applyBorder="1" applyAlignment="1" applyProtection="1">
      <alignment horizontal="center"/>
    </xf>
    <xf numFmtId="0" fontId="13" fillId="13" borderId="6" xfId="0" applyFont="1" applyFill="1" applyBorder="1" applyAlignment="1" applyProtection="1">
      <alignment horizontal="center"/>
    </xf>
    <xf numFmtId="0" fontId="13" fillId="13" borderId="7" xfId="0" applyFont="1" applyFill="1" applyBorder="1" applyAlignment="1" applyProtection="1">
      <alignment horizontal="center"/>
    </xf>
    <xf numFmtId="0" fontId="13" fillId="9" borderId="8" xfId="0" quotePrefix="1" applyFont="1" applyFill="1" applyBorder="1" applyAlignment="1" applyProtection="1">
      <alignment horizontal="center"/>
    </xf>
    <xf numFmtId="0" fontId="13" fillId="22" borderId="8" xfId="0" quotePrefix="1" applyFont="1" applyFill="1" applyBorder="1" applyAlignment="1" applyProtection="1">
      <alignment horizontal="center"/>
    </xf>
    <xf numFmtId="0" fontId="13" fillId="22" borderId="9" xfId="0" applyFont="1" applyFill="1" applyBorder="1" applyAlignment="1" applyProtection="1">
      <alignment horizontal="center"/>
    </xf>
    <xf numFmtId="0" fontId="13" fillId="22" borderId="10" xfId="0" applyFont="1" applyFill="1" applyBorder="1" applyAlignment="1" applyProtection="1">
      <alignment horizontal="center"/>
    </xf>
    <xf numFmtId="0" fontId="34" fillId="23" borderId="8" xfId="0" applyFont="1" applyFill="1" applyBorder="1" applyAlignment="1" applyProtection="1">
      <alignment horizontal="center"/>
      <protection locked="0"/>
    </xf>
    <xf numFmtId="0" fontId="34" fillId="23" borderId="9" xfId="0" applyFont="1" applyFill="1" applyBorder="1" applyAlignment="1" applyProtection="1">
      <alignment horizontal="center"/>
      <protection locked="0"/>
    </xf>
    <xf numFmtId="0" fontId="34" fillId="23" borderId="10" xfId="0" applyFont="1" applyFill="1" applyBorder="1" applyAlignment="1" applyProtection="1">
      <alignment horizontal="center"/>
      <protection locked="0"/>
    </xf>
    <xf numFmtId="0" fontId="13" fillId="5" borderId="2" xfId="0" quotePrefix="1" applyNumberFormat="1" applyFont="1" applyFill="1" applyBorder="1" applyAlignment="1" applyProtection="1">
      <alignment horizontal="center"/>
    </xf>
    <xf numFmtId="0" fontId="13" fillId="5" borderId="3" xfId="0" quotePrefix="1" applyNumberFormat="1" applyFont="1" applyFill="1" applyBorder="1" applyAlignment="1" applyProtection="1">
      <alignment horizontal="center"/>
    </xf>
    <xf numFmtId="0" fontId="13" fillId="5" borderId="4" xfId="0" quotePrefix="1" applyNumberFormat="1" applyFont="1" applyFill="1" applyBorder="1" applyAlignment="1" applyProtection="1">
      <alignment horizontal="center"/>
    </xf>
    <xf numFmtId="0" fontId="13" fillId="13" borderId="2" xfId="0" quotePrefix="1" applyFont="1" applyFill="1" applyBorder="1" applyAlignment="1" applyProtection="1">
      <alignment horizontal="center"/>
    </xf>
    <xf numFmtId="0" fontId="13" fillId="13" borderId="3" xfId="0" quotePrefix="1" applyFont="1" applyFill="1" applyBorder="1" applyAlignment="1" applyProtection="1">
      <alignment horizontal="center"/>
    </xf>
    <xf numFmtId="0" fontId="13" fillId="13" borderId="4" xfId="0" quotePrefix="1" applyFont="1" applyFill="1" applyBorder="1" applyAlignment="1" applyProtection="1">
      <alignment horizontal="center"/>
    </xf>
    <xf numFmtId="0" fontId="13" fillId="9" borderId="9" xfId="0" applyFont="1" applyFill="1" applyBorder="1" applyAlignment="1" applyProtection="1">
      <alignment horizontal="center"/>
    </xf>
    <xf numFmtId="0" fontId="13" fillId="9" borderId="10" xfId="0" applyFont="1" applyFill="1" applyBorder="1" applyAlignment="1" applyProtection="1">
      <alignment horizontal="center"/>
    </xf>
    <xf numFmtId="0" fontId="13" fillId="22" borderId="14" xfId="0" quotePrefix="1" applyFont="1" applyFill="1" applyBorder="1" applyAlignment="1" applyProtection="1">
      <alignment horizontal="center"/>
    </xf>
    <xf numFmtId="0" fontId="13" fillId="22" borderId="14" xfId="0" applyFont="1" applyFill="1" applyBorder="1" applyAlignment="1" applyProtection="1">
      <alignment horizontal="center"/>
    </xf>
    <xf numFmtId="0" fontId="13" fillId="22" borderId="15" xfId="0" applyFont="1" applyFill="1" applyBorder="1" applyAlignment="1" applyProtection="1">
      <alignment horizontal="center"/>
    </xf>
    <xf numFmtId="0" fontId="6" fillId="5" borderId="8" xfId="0" applyFont="1" applyFill="1" applyBorder="1" applyAlignment="1" applyProtection="1">
      <alignment horizontal="center"/>
      <protection locked="0"/>
    </xf>
    <xf numFmtId="0" fontId="6" fillId="5" borderId="9" xfId="0" applyFont="1" applyFill="1" applyBorder="1" applyAlignment="1" applyProtection="1">
      <alignment horizontal="center"/>
      <protection locked="0"/>
    </xf>
    <xf numFmtId="0" fontId="6" fillId="5" borderId="10" xfId="0" applyFont="1" applyFill="1" applyBorder="1" applyAlignment="1" applyProtection="1">
      <alignment horizontal="center"/>
      <protection locked="0"/>
    </xf>
    <xf numFmtId="0" fontId="6" fillId="13" borderId="8" xfId="0" applyFont="1" applyFill="1" applyBorder="1" applyAlignment="1" applyProtection="1">
      <alignment horizontal="center"/>
      <protection locked="0"/>
    </xf>
    <xf numFmtId="0" fontId="6" fillId="13" borderId="9" xfId="0" applyFont="1" applyFill="1" applyBorder="1" applyAlignment="1" applyProtection="1">
      <alignment horizontal="center"/>
      <protection locked="0"/>
    </xf>
    <xf numFmtId="0" fontId="6" fillId="13" borderId="10" xfId="0" applyFont="1" applyFill="1" applyBorder="1" applyAlignment="1" applyProtection="1">
      <alignment horizontal="center"/>
      <protection locked="0"/>
    </xf>
    <xf numFmtId="0" fontId="6" fillId="9" borderId="8" xfId="0" applyFont="1" applyFill="1" applyBorder="1" applyAlignment="1" applyProtection="1">
      <alignment horizontal="center"/>
      <protection locked="0"/>
    </xf>
    <xf numFmtId="0" fontId="6" fillId="9" borderId="9" xfId="0" applyFont="1" applyFill="1" applyBorder="1" applyAlignment="1" applyProtection="1">
      <alignment horizontal="center"/>
      <protection locked="0"/>
    </xf>
    <xf numFmtId="0" fontId="6" fillId="9" borderId="10" xfId="0" applyFont="1" applyFill="1" applyBorder="1" applyAlignment="1" applyProtection="1">
      <alignment horizontal="center"/>
      <protection locked="0"/>
    </xf>
    <xf numFmtId="0" fontId="6" fillId="22" borderId="8" xfId="0" applyFont="1" applyFill="1" applyBorder="1" applyAlignment="1" applyProtection="1">
      <alignment horizontal="center"/>
      <protection locked="0"/>
    </xf>
    <xf numFmtId="0" fontId="6" fillId="22" borderId="9" xfId="0" applyFont="1" applyFill="1" applyBorder="1" applyAlignment="1" applyProtection="1">
      <alignment horizontal="center"/>
      <protection locked="0"/>
    </xf>
    <xf numFmtId="0" fontId="6" fillId="22" borderId="10" xfId="0" applyFont="1" applyFill="1" applyBorder="1" applyAlignment="1" applyProtection="1">
      <alignment horizontal="center"/>
      <protection locked="0"/>
    </xf>
    <xf numFmtId="0" fontId="23" fillId="23" borderId="8" xfId="0" quotePrefix="1" applyFont="1" applyFill="1" applyBorder="1" applyAlignment="1" applyProtection="1">
      <alignment horizontal="center"/>
    </xf>
    <xf numFmtId="0" fontId="23" fillId="23" borderId="9" xfId="0" quotePrefix="1" applyFont="1" applyFill="1" applyBorder="1" applyAlignment="1" applyProtection="1">
      <alignment horizontal="center"/>
    </xf>
    <xf numFmtId="0" fontId="23" fillId="23" borderId="10" xfId="0" quotePrefix="1" applyFont="1" applyFill="1" applyBorder="1" applyAlignment="1" applyProtection="1">
      <alignment horizontal="center"/>
    </xf>
    <xf numFmtId="0" fontId="23" fillId="23" borderId="9" xfId="0" applyFont="1" applyFill="1" applyBorder="1" applyAlignment="1" applyProtection="1">
      <alignment horizontal="center"/>
    </xf>
    <xf numFmtId="0" fontId="23" fillId="23" borderId="10" xfId="0" applyFont="1" applyFill="1" applyBorder="1" applyAlignment="1" applyProtection="1">
      <alignment horizontal="center"/>
    </xf>
    <xf numFmtId="0" fontId="13" fillId="9" borderId="8" xfId="0" quotePrefix="1" applyFont="1" applyFill="1" applyBorder="1" applyAlignment="1" applyProtection="1">
      <alignment horizontal="center" vertical="center"/>
    </xf>
    <xf numFmtId="0" fontId="13" fillId="9" borderId="9" xfId="0" quotePrefix="1" applyFont="1" applyFill="1" applyBorder="1" applyAlignment="1" applyProtection="1">
      <alignment horizontal="center" vertical="center"/>
    </xf>
    <xf numFmtId="0" fontId="13" fillId="9" borderId="10" xfId="0" quotePrefix="1" applyFont="1" applyFill="1" applyBorder="1" applyAlignment="1" applyProtection="1">
      <alignment horizontal="center" vertical="center"/>
    </xf>
    <xf numFmtId="0" fontId="7" fillId="0" borderId="22" xfId="0" quotePrefix="1" applyNumberFormat="1" applyFont="1" applyFill="1" applyBorder="1" applyAlignment="1" applyProtection="1">
      <alignment horizontal="center" vertical="center"/>
    </xf>
    <xf numFmtId="0" fontId="7" fillId="0" borderId="40" xfId="0" quotePrefix="1" applyNumberFormat="1" applyFont="1" applyFill="1" applyBorder="1" applyAlignment="1" applyProtection="1">
      <alignment horizontal="center" vertical="center"/>
    </xf>
    <xf numFmtId="0" fontId="7" fillId="0" borderId="23" xfId="0" quotePrefix="1" applyNumberFormat="1" applyFont="1" applyFill="1" applyBorder="1" applyAlignment="1" applyProtection="1">
      <alignment horizontal="center" vertical="center"/>
    </xf>
    <xf numFmtId="0" fontId="7" fillId="0" borderId="32" xfId="0" quotePrefix="1" applyNumberFormat="1" applyFont="1" applyFill="1" applyBorder="1" applyAlignment="1" applyProtection="1">
      <alignment horizontal="center" vertical="center"/>
    </xf>
    <xf numFmtId="0" fontId="7" fillId="0" borderId="39" xfId="0" quotePrefix="1" applyNumberFormat="1" applyFont="1" applyFill="1" applyBorder="1" applyAlignment="1" applyProtection="1">
      <alignment horizontal="center" vertical="center"/>
    </xf>
    <xf numFmtId="0" fontId="7" fillId="0" borderId="41" xfId="0" quotePrefix="1" applyNumberFormat="1" applyFont="1" applyFill="1" applyBorder="1" applyAlignment="1" applyProtection="1">
      <alignment horizontal="center" vertical="center"/>
    </xf>
    <xf numFmtId="0" fontId="6" fillId="11" borderId="8" xfId="0" applyFont="1" applyFill="1" applyBorder="1" applyAlignment="1" applyProtection="1">
      <alignment horizontal="center"/>
      <protection locked="0"/>
    </xf>
    <xf numFmtId="0" fontId="6" fillId="11" borderId="9" xfId="0" applyFont="1" applyFill="1" applyBorder="1" applyAlignment="1" applyProtection="1">
      <alignment horizontal="center"/>
      <protection locked="0"/>
    </xf>
    <xf numFmtId="0" fontId="6" fillId="11" borderId="10" xfId="0" applyFont="1" applyFill="1" applyBorder="1" applyAlignment="1" applyProtection="1">
      <alignment horizontal="center"/>
      <protection locked="0"/>
    </xf>
    <xf numFmtId="0" fontId="13" fillId="9" borderId="16" xfId="0" applyFont="1" applyFill="1" applyBorder="1" applyAlignment="1" applyProtection="1">
      <alignment horizontal="center"/>
      <protection locked="0"/>
    </xf>
    <xf numFmtId="0" fontId="13" fillId="9" borderId="17" xfId="0" applyFont="1" applyFill="1" applyBorder="1" applyAlignment="1" applyProtection="1">
      <alignment horizontal="center"/>
      <protection locked="0"/>
    </xf>
    <xf numFmtId="0" fontId="13" fillId="9" borderId="18" xfId="0" applyFont="1" applyFill="1" applyBorder="1" applyAlignment="1" applyProtection="1">
      <alignment horizontal="center"/>
      <protection locked="0"/>
    </xf>
    <xf numFmtId="0" fontId="13" fillId="24" borderId="16" xfId="0" applyFont="1" applyFill="1" applyBorder="1" applyAlignment="1" applyProtection="1">
      <alignment horizontal="center"/>
      <protection locked="0"/>
    </xf>
    <xf numFmtId="0" fontId="13" fillId="24" borderId="17" xfId="0" applyFont="1" applyFill="1" applyBorder="1" applyAlignment="1" applyProtection="1">
      <alignment horizontal="center"/>
      <protection locked="0"/>
    </xf>
    <xf numFmtId="0" fontId="13" fillId="24" borderId="18" xfId="0" applyFont="1" applyFill="1" applyBorder="1" applyAlignment="1" applyProtection="1">
      <alignment horizontal="center"/>
      <protection locked="0"/>
    </xf>
    <xf numFmtId="0" fontId="13" fillId="24" borderId="8" xfId="0" quotePrefix="1" applyFont="1" applyFill="1" applyBorder="1" applyAlignment="1" applyProtection="1">
      <alignment horizontal="center"/>
    </xf>
    <xf numFmtId="0" fontId="13" fillId="24" borderId="9" xfId="0" applyFont="1" applyFill="1" applyBorder="1" applyAlignment="1" applyProtection="1">
      <alignment horizontal="center"/>
    </xf>
    <xf numFmtId="0" fontId="13" fillId="24" borderId="10" xfId="0" applyFont="1" applyFill="1" applyBorder="1" applyAlignment="1" applyProtection="1">
      <alignment horizontal="center"/>
    </xf>
    <xf numFmtId="0" fontId="13" fillId="24" borderId="2" xfId="0" quotePrefix="1" applyFont="1" applyFill="1" applyBorder="1" applyAlignment="1" applyProtection="1">
      <alignment horizontal="center"/>
    </xf>
    <xf numFmtId="0" fontId="13" fillId="24" borderId="3" xfId="0" applyFont="1" applyFill="1" applyBorder="1" applyAlignment="1" applyProtection="1">
      <alignment horizontal="center"/>
    </xf>
    <xf numFmtId="0" fontId="13" fillId="24" borderId="4" xfId="0" applyFont="1" applyFill="1" applyBorder="1" applyAlignment="1" applyProtection="1">
      <alignment horizontal="center"/>
    </xf>
    <xf numFmtId="0" fontId="7" fillId="0" borderId="24" xfId="0" quotePrefix="1" applyNumberFormat="1" applyFont="1" applyFill="1" applyBorder="1" applyAlignment="1" applyProtection="1">
      <alignment horizontal="center" vertical="center"/>
    </xf>
    <xf numFmtId="0" fontId="7" fillId="0" borderId="42" xfId="0" quotePrefix="1" applyNumberFormat="1" applyFont="1" applyFill="1" applyBorder="1" applyAlignment="1" applyProtection="1">
      <alignment horizontal="center" vertical="center"/>
    </xf>
    <xf numFmtId="0" fontId="7" fillId="0" borderId="37" xfId="0" quotePrefix="1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20" fillId="11" borderId="8" xfId="0" applyFont="1" applyFill="1" applyBorder="1" applyAlignment="1" applyProtection="1">
      <alignment horizontal="center"/>
      <protection locked="0"/>
    </xf>
    <xf numFmtId="0" fontId="20" fillId="11" borderId="9" xfId="0" applyFont="1" applyFill="1" applyBorder="1" applyAlignment="1" applyProtection="1">
      <alignment horizontal="center"/>
      <protection locked="0"/>
    </xf>
    <xf numFmtId="0" fontId="20" fillId="11" borderId="10" xfId="0" applyFont="1" applyFill="1" applyBorder="1" applyAlignment="1" applyProtection="1">
      <alignment horizontal="center"/>
      <protection locked="0"/>
    </xf>
    <xf numFmtId="0" fontId="12" fillId="11" borderId="8" xfId="0" applyFont="1" applyFill="1" applyBorder="1" applyAlignment="1" applyProtection="1">
      <alignment horizontal="center"/>
      <protection locked="0"/>
    </xf>
    <xf numFmtId="0" fontId="12" fillId="11" borderId="9" xfId="0" applyFont="1" applyFill="1" applyBorder="1" applyAlignment="1" applyProtection="1">
      <alignment horizontal="center"/>
      <protection locked="0"/>
    </xf>
    <xf numFmtId="0" fontId="12" fillId="11" borderId="10" xfId="0" applyFont="1" applyFill="1" applyBorder="1" applyAlignment="1" applyProtection="1">
      <alignment horizontal="center"/>
      <protection locked="0"/>
    </xf>
    <xf numFmtId="0" fontId="13" fillId="11" borderId="8" xfId="0" quotePrefix="1" applyFont="1" applyFill="1" applyBorder="1" applyAlignment="1" applyProtection="1">
      <alignment horizontal="center"/>
    </xf>
    <xf numFmtId="0" fontId="13" fillId="11" borderId="9" xfId="0" applyFont="1" applyFill="1" applyBorder="1" applyAlignment="1" applyProtection="1">
      <alignment horizontal="center"/>
    </xf>
    <xf numFmtId="0" fontId="13" fillId="11" borderId="10" xfId="0" applyFont="1" applyFill="1" applyBorder="1" applyAlignment="1" applyProtection="1">
      <alignment horizontal="center"/>
    </xf>
    <xf numFmtId="0" fontId="13" fillId="11" borderId="9" xfId="0" quotePrefix="1" applyFont="1" applyFill="1" applyBorder="1" applyAlignment="1" applyProtection="1">
      <alignment horizontal="center"/>
    </xf>
    <xf numFmtId="0" fontId="13" fillId="11" borderId="10" xfId="0" quotePrefix="1" applyFont="1" applyFill="1" applyBorder="1" applyAlignment="1" applyProtection="1">
      <alignment horizontal="center"/>
    </xf>
    <xf numFmtId="0" fontId="13" fillId="9" borderId="3" xfId="0" quotePrefix="1" applyFont="1" applyFill="1" applyBorder="1" applyAlignment="1" applyProtection="1">
      <alignment horizontal="center"/>
    </xf>
    <xf numFmtId="0" fontId="13" fillId="9" borderId="3" xfId="0" applyFont="1" applyFill="1" applyBorder="1" applyAlignment="1" applyProtection="1">
      <alignment horizontal="center"/>
    </xf>
    <xf numFmtId="0" fontId="13" fillId="9" borderId="4" xfId="0" applyFont="1" applyFill="1" applyBorder="1" applyAlignment="1" applyProtection="1">
      <alignment horizontal="center"/>
    </xf>
    <xf numFmtId="0" fontId="60" fillId="9" borderId="33" xfId="0" applyFont="1" applyFill="1" applyBorder="1" applyAlignment="1">
      <alignment horizontal="center" vertical="center"/>
    </xf>
    <xf numFmtId="0" fontId="60" fillId="9" borderId="44" xfId="0" applyFont="1" applyFill="1" applyBorder="1" applyAlignment="1">
      <alignment horizontal="center" vertical="center"/>
    </xf>
    <xf numFmtId="0" fontId="60" fillId="9" borderId="77" xfId="0" applyFont="1" applyFill="1" applyBorder="1" applyAlignment="1">
      <alignment horizontal="center" vertical="center"/>
    </xf>
    <xf numFmtId="0" fontId="31" fillId="9" borderId="39" xfId="0" applyFont="1" applyFill="1" applyBorder="1" applyAlignment="1" applyProtection="1">
      <alignment horizontal="center" vertical="center"/>
    </xf>
    <xf numFmtId="0" fontId="60" fillId="18" borderId="39" xfId="0" applyFont="1" applyFill="1" applyBorder="1" applyAlignment="1">
      <alignment horizontal="center" vertical="center"/>
    </xf>
    <xf numFmtId="0" fontId="31" fillId="25" borderId="39" xfId="0" applyFont="1" applyFill="1" applyBorder="1" applyAlignment="1" applyProtection="1">
      <alignment horizontal="center" vertical="center"/>
    </xf>
    <xf numFmtId="0" fontId="31" fillId="25" borderId="33" xfId="0" applyFont="1" applyFill="1" applyBorder="1" applyAlignment="1" applyProtection="1">
      <alignment horizontal="center" vertical="center"/>
    </xf>
    <xf numFmtId="0" fontId="31" fillId="25" borderId="44" xfId="0" applyFont="1" applyFill="1" applyBorder="1" applyAlignment="1" applyProtection="1">
      <alignment horizontal="center" vertical="center"/>
    </xf>
    <xf numFmtId="0" fontId="31" fillId="25" borderId="77" xfId="0" applyFont="1" applyFill="1" applyBorder="1" applyAlignment="1" applyProtection="1">
      <alignment horizontal="center" vertical="center"/>
    </xf>
    <xf numFmtId="0" fontId="31" fillId="18" borderId="39" xfId="0" applyFont="1" applyFill="1" applyBorder="1" applyAlignment="1" applyProtection="1">
      <alignment horizontal="center" vertical="center"/>
    </xf>
    <xf numFmtId="0" fontId="60" fillId="3" borderId="33" xfId="0" applyFont="1" applyFill="1" applyBorder="1" applyAlignment="1">
      <alignment horizontal="center" vertical="center"/>
    </xf>
    <xf numFmtId="0" fontId="60" fillId="3" borderId="44" xfId="0" applyFont="1" applyFill="1" applyBorder="1" applyAlignment="1">
      <alignment horizontal="center" vertical="center"/>
    </xf>
    <xf numFmtId="0" fontId="60" fillId="3" borderId="77" xfId="0" applyFont="1" applyFill="1" applyBorder="1" applyAlignment="1">
      <alignment horizontal="center" vertical="center"/>
    </xf>
    <xf numFmtId="0" fontId="60" fillId="9" borderId="39" xfId="0" applyFont="1" applyFill="1" applyBorder="1" applyAlignment="1">
      <alignment horizontal="center" vertical="center"/>
    </xf>
    <xf numFmtId="0" fontId="60" fillId="3" borderId="39" xfId="0" applyFont="1" applyFill="1" applyBorder="1" applyAlignment="1">
      <alignment horizontal="center" vertical="center"/>
    </xf>
    <xf numFmtId="0" fontId="60" fillId="18" borderId="39" xfId="0" applyFont="1" applyFill="1" applyBorder="1" applyAlignment="1" applyProtection="1">
      <alignment horizontal="center" vertical="center"/>
    </xf>
    <xf numFmtId="0" fontId="31" fillId="26" borderId="39" xfId="0" applyFont="1" applyFill="1" applyBorder="1" applyAlignment="1" applyProtection="1">
      <alignment horizontal="center" vertical="center"/>
    </xf>
    <xf numFmtId="0" fontId="29" fillId="18" borderId="39" xfId="0" applyFont="1" applyFill="1" applyBorder="1" applyAlignment="1" applyProtection="1">
      <alignment horizontal="center" vertical="center"/>
    </xf>
    <xf numFmtId="0" fontId="60" fillId="3" borderId="39" xfId="0" applyFont="1" applyFill="1" applyBorder="1" applyAlignment="1" applyProtection="1">
      <alignment horizontal="center" vertical="center"/>
    </xf>
    <xf numFmtId="0" fontId="31" fillId="3" borderId="39" xfId="0" applyFont="1" applyFill="1" applyBorder="1" applyAlignment="1" applyProtection="1">
      <alignment horizontal="center" vertical="center"/>
    </xf>
    <xf numFmtId="0" fontId="31" fillId="18" borderId="33" xfId="0" applyFont="1" applyFill="1" applyBorder="1" applyAlignment="1" applyProtection="1">
      <alignment horizontal="center" vertical="center"/>
    </xf>
    <xf numFmtId="0" fontId="31" fillId="18" borderId="77" xfId="0" applyFont="1" applyFill="1" applyBorder="1" applyAlignment="1" applyProtection="1">
      <alignment horizontal="center" vertical="center"/>
    </xf>
    <xf numFmtId="0" fontId="31" fillId="11" borderId="39" xfId="0" applyFont="1" applyFill="1" applyBorder="1" applyAlignment="1" applyProtection="1">
      <alignment horizontal="center" vertical="center"/>
    </xf>
    <xf numFmtId="0" fontId="31" fillId="13" borderId="39" xfId="0" applyFont="1" applyFill="1" applyBorder="1" applyAlignment="1" applyProtection="1">
      <alignment horizontal="center" vertical="center"/>
    </xf>
    <xf numFmtId="0" fontId="31" fillId="3" borderId="33" xfId="0" applyFont="1" applyFill="1" applyBorder="1" applyAlignment="1" applyProtection="1">
      <alignment horizontal="center" vertical="center"/>
    </xf>
    <xf numFmtId="0" fontId="31" fillId="3" borderId="44" xfId="0" applyFont="1" applyFill="1" applyBorder="1" applyAlignment="1" applyProtection="1">
      <alignment horizontal="center" vertical="center"/>
    </xf>
    <xf numFmtId="0" fontId="31" fillId="3" borderId="77" xfId="0" applyFont="1" applyFill="1" applyBorder="1" applyAlignment="1" applyProtection="1">
      <alignment horizontal="center" vertical="center"/>
    </xf>
    <xf numFmtId="0" fontId="29" fillId="9" borderId="39" xfId="0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/>
  </cellStyles>
  <dxfs count="968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fgColor auto="1"/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B0F0"/>
        </patternFill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lightUp"/>
      </fill>
    </dxf>
    <dxf>
      <fill>
        <patternFill>
          <bgColor rgb="FF57D3FF"/>
        </patternFill>
      </fill>
    </dxf>
    <dxf>
      <fill>
        <patternFill patternType="lightUp"/>
      </fill>
    </dxf>
    <dxf>
      <fill>
        <patternFill>
          <bgColor rgb="FF47CFFF"/>
        </patternFill>
      </fill>
    </dxf>
    <dxf>
      <fill>
        <patternFill patternType="lightUp"/>
      </fill>
    </dxf>
    <dxf>
      <fill>
        <patternFill>
          <bgColor theme="9" tint="0.59996337778862885"/>
        </patternFill>
      </fill>
    </dxf>
    <dxf>
      <fill>
        <patternFill patternType="gray125"/>
      </fill>
    </dxf>
    <dxf>
      <fill>
        <patternFill>
          <bgColor rgb="FFFA90ED"/>
        </patternFill>
      </fill>
    </dxf>
    <dxf>
      <fill>
        <patternFill>
          <bgColor rgb="FFF7B3EA"/>
        </patternFill>
      </fill>
    </dxf>
    <dxf>
      <fill>
        <patternFill>
          <bgColor rgb="FFFFCC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solid">
          <bgColor rgb="FFFFFF00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Horizontal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Horizontal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00FFFF"/>
      <color rgb="FF25E7FB"/>
      <color rgb="FFFFC000"/>
      <color rgb="FFC2D69A"/>
      <color rgb="FFFF99FF"/>
      <color rgb="FF66FF33"/>
      <color rgb="FF3399FF"/>
      <color rgb="FFD99795"/>
      <color rgb="FFFCD5B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135</xdr:col>
      <xdr:colOff>0</xdr:colOff>
      <xdr:row>11</xdr:row>
      <xdr:rowOff>47625</xdr:rowOff>
    </xdr:from>
    <xdr:to>
      <xdr:col>135</xdr:col>
      <xdr:colOff>1238250</xdr:colOff>
      <xdr:row>12</xdr:row>
      <xdr:rowOff>95250</xdr:rowOff>
    </xdr:to>
    <xdr:cxnSp macro="">
      <xdr:nvCxnSpPr>
        <xdr:cNvPr id="8" name="Connecteur droit avec flèche 7"/>
        <xdr:cNvCxnSpPr/>
      </xdr:nvCxnSpPr>
      <xdr:spPr>
        <a:xfrm>
          <a:off x="57546875" y="2540000"/>
          <a:ext cx="1238250" cy="3651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47625</xdr:colOff>
      <xdr:row>19</xdr:row>
      <xdr:rowOff>0</xdr:rowOff>
    </xdr:from>
    <xdr:to>
      <xdr:col>136</xdr:col>
      <xdr:colOff>0</xdr:colOff>
      <xdr:row>20</xdr:row>
      <xdr:rowOff>174625</xdr:rowOff>
    </xdr:to>
    <xdr:cxnSp macro="">
      <xdr:nvCxnSpPr>
        <xdr:cNvPr id="42" name="Connecteur droit avec flèche 41"/>
        <xdr:cNvCxnSpPr/>
      </xdr:nvCxnSpPr>
      <xdr:spPr>
        <a:xfrm>
          <a:off x="57594500" y="5032375"/>
          <a:ext cx="1206500" cy="4921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15875</xdr:colOff>
      <xdr:row>35</xdr:row>
      <xdr:rowOff>15875</xdr:rowOff>
    </xdr:from>
    <xdr:to>
      <xdr:col>135</xdr:col>
      <xdr:colOff>1222375</xdr:colOff>
      <xdr:row>36</xdr:row>
      <xdr:rowOff>127000</xdr:rowOff>
    </xdr:to>
    <xdr:cxnSp macro="">
      <xdr:nvCxnSpPr>
        <xdr:cNvPr id="43" name="Connecteur droit avec flèche 42"/>
        <xdr:cNvCxnSpPr/>
      </xdr:nvCxnSpPr>
      <xdr:spPr>
        <a:xfrm>
          <a:off x="57562750" y="10128250"/>
          <a:ext cx="1206500" cy="4286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666750</xdr:colOff>
      <xdr:row>27</xdr:row>
      <xdr:rowOff>47625</xdr:rowOff>
    </xdr:from>
    <xdr:to>
      <xdr:col>136</xdr:col>
      <xdr:colOff>31750</xdr:colOff>
      <xdr:row>28</xdr:row>
      <xdr:rowOff>111125</xdr:rowOff>
    </xdr:to>
    <xdr:cxnSp macro="">
      <xdr:nvCxnSpPr>
        <xdr:cNvPr id="44" name="Connecteur droit avec flèche 43"/>
        <xdr:cNvCxnSpPr/>
      </xdr:nvCxnSpPr>
      <xdr:spPr>
        <a:xfrm>
          <a:off x="57531000" y="7620000"/>
          <a:ext cx="1301750" cy="38100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15875</xdr:colOff>
      <xdr:row>43</xdr:row>
      <xdr:rowOff>15875</xdr:rowOff>
    </xdr:from>
    <xdr:to>
      <xdr:col>135</xdr:col>
      <xdr:colOff>1222375</xdr:colOff>
      <xdr:row>44</xdr:row>
      <xdr:rowOff>158750</xdr:rowOff>
    </xdr:to>
    <xdr:cxnSp macro="">
      <xdr:nvCxnSpPr>
        <xdr:cNvPr id="45" name="Connecteur droit avec flèche 44"/>
        <xdr:cNvCxnSpPr/>
      </xdr:nvCxnSpPr>
      <xdr:spPr>
        <a:xfrm>
          <a:off x="57562750" y="12668250"/>
          <a:ext cx="1206500" cy="46037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31750</xdr:colOff>
      <xdr:row>51</xdr:row>
      <xdr:rowOff>31750</xdr:rowOff>
    </xdr:from>
    <xdr:to>
      <xdr:col>136</xdr:col>
      <xdr:colOff>0</xdr:colOff>
      <xdr:row>52</xdr:row>
      <xdr:rowOff>142875</xdr:rowOff>
    </xdr:to>
    <xdr:cxnSp macro="">
      <xdr:nvCxnSpPr>
        <xdr:cNvPr id="46" name="Connecteur droit avec flèche 45"/>
        <xdr:cNvCxnSpPr/>
      </xdr:nvCxnSpPr>
      <xdr:spPr>
        <a:xfrm>
          <a:off x="57578625" y="15224125"/>
          <a:ext cx="1222375" cy="4286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635000</xdr:colOff>
      <xdr:row>59</xdr:row>
      <xdr:rowOff>15875</xdr:rowOff>
    </xdr:from>
    <xdr:to>
      <xdr:col>136</xdr:col>
      <xdr:colOff>47625</xdr:colOff>
      <xdr:row>60</xdr:row>
      <xdr:rowOff>142875</xdr:rowOff>
    </xdr:to>
    <xdr:cxnSp macro="">
      <xdr:nvCxnSpPr>
        <xdr:cNvPr id="47" name="Connecteur droit avec flèche 46"/>
        <xdr:cNvCxnSpPr/>
      </xdr:nvCxnSpPr>
      <xdr:spPr>
        <a:xfrm>
          <a:off x="57499250" y="17748250"/>
          <a:ext cx="1349375" cy="44450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31750</xdr:colOff>
      <xdr:row>67</xdr:row>
      <xdr:rowOff>31750</xdr:rowOff>
    </xdr:from>
    <xdr:to>
      <xdr:col>135</xdr:col>
      <xdr:colOff>1238250</xdr:colOff>
      <xdr:row>68</xdr:row>
      <xdr:rowOff>142875</xdr:rowOff>
    </xdr:to>
    <xdr:cxnSp macro="">
      <xdr:nvCxnSpPr>
        <xdr:cNvPr id="48" name="Connecteur droit avec flèche 47"/>
        <xdr:cNvCxnSpPr/>
      </xdr:nvCxnSpPr>
      <xdr:spPr>
        <a:xfrm>
          <a:off x="57578625" y="20304125"/>
          <a:ext cx="1206500" cy="4286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0</xdr:colOff>
      <xdr:row>13</xdr:row>
      <xdr:rowOff>127000</xdr:rowOff>
    </xdr:from>
    <xdr:to>
      <xdr:col>136</xdr:col>
      <xdr:colOff>15875</xdr:colOff>
      <xdr:row>15</xdr:row>
      <xdr:rowOff>15876</xdr:rowOff>
    </xdr:to>
    <xdr:cxnSp macro="">
      <xdr:nvCxnSpPr>
        <xdr:cNvPr id="56" name="Connecteur droit avec flèche 55"/>
        <xdr:cNvCxnSpPr/>
      </xdr:nvCxnSpPr>
      <xdr:spPr>
        <a:xfrm flipV="1">
          <a:off x="57546875" y="3254375"/>
          <a:ext cx="1270000" cy="523876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15875</xdr:colOff>
      <xdr:row>21</xdr:row>
      <xdr:rowOff>206375</xdr:rowOff>
    </xdr:from>
    <xdr:to>
      <xdr:col>136</xdr:col>
      <xdr:colOff>0</xdr:colOff>
      <xdr:row>23</xdr:row>
      <xdr:rowOff>15876</xdr:rowOff>
    </xdr:to>
    <xdr:cxnSp macro="">
      <xdr:nvCxnSpPr>
        <xdr:cNvPr id="58" name="Connecteur droit avec flèche 57"/>
        <xdr:cNvCxnSpPr/>
      </xdr:nvCxnSpPr>
      <xdr:spPr>
        <a:xfrm flipV="1">
          <a:off x="57562750" y="5873750"/>
          <a:ext cx="1238250" cy="444501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31750</xdr:colOff>
      <xdr:row>37</xdr:row>
      <xdr:rowOff>142875</xdr:rowOff>
    </xdr:from>
    <xdr:to>
      <xdr:col>135</xdr:col>
      <xdr:colOff>1222375</xdr:colOff>
      <xdr:row>39</xdr:row>
      <xdr:rowOff>2</xdr:rowOff>
    </xdr:to>
    <xdr:cxnSp macro="">
      <xdr:nvCxnSpPr>
        <xdr:cNvPr id="59" name="Connecteur droit avec flèche 58"/>
        <xdr:cNvCxnSpPr/>
      </xdr:nvCxnSpPr>
      <xdr:spPr>
        <a:xfrm flipV="1">
          <a:off x="57578625" y="10890250"/>
          <a:ext cx="1190625" cy="492127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47625</xdr:colOff>
      <xdr:row>29</xdr:row>
      <xdr:rowOff>174626</xdr:rowOff>
    </xdr:from>
    <xdr:to>
      <xdr:col>136</xdr:col>
      <xdr:colOff>15875</xdr:colOff>
      <xdr:row>30</xdr:row>
      <xdr:rowOff>301625</xdr:rowOff>
    </xdr:to>
    <xdr:cxnSp macro="">
      <xdr:nvCxnSpPr>
        <xdr:cNvPr id="60" name="Connecteur droit avec flèche 59"/>
        <xdr:cNvCxnSpPr/>
      </xdr:nvCxnSpPr>
      <xdr:spPr>
        <a:xfrm flipV="1">
          <a:off x="57594500" y="8382001"/>
          <a:ext cx="1222375" cy="444499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31750</xdr:colOff>
      <xdr:row>45</xdr:row>
      <xdr:rowOff>158750</xdr:rowOff>
    </xdr:from>
    <xdr:to>
      <xdr:col>135</xdr:col>
      <xdr:colOff>1238250</xdr:colOff>
      <xdr:row>47</xdr:row>
      <xdr:rowOff>31750</xdr:rowOff>
    </xdr:to>
    <xdr:cxnSp macro="">
      <xdr:nvCxnSpPr>
        <xdr:cNvPr id="61" name="Connecteur droit avec flèche 60"/>
        <xdr:cNvCxnSpPr/>
      </xdr:nvCxnSpPr>
      <xdr:spPr>
        <a:xfrm flipV="1">
          <a:off x="57578625" y="13446125"/>
          <a:ext cx="1206500" cy="50800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15875</xdr:colOff>
      <xdr:row>53</xdr:row>
      <xdr:rowOff>111125</xdr:rowOff>
    </xdr:from>
    <xdr:to>
      <xdr:col>136</xdr:col>
      <xdr:colOff>15875</xdr:colOff>
      <xdr:row>55</xdr:row>
      <xdr:rowOff>15877</xdr:rowOff>
    </xdr:to>
    <xdr:cxnSp macro="">
      <xdr:nvCxnSpPr>
        <xdr:cNvPr id="62" name="Connecteur droit avec flèche 61"/>
        <xdr:cNvCxnSpPr/>
      </xdr:nvCxnSpPr>
      <xdr:spPr>
        <a:xfrm flipV="1">
          <a:off x="57562750" y="15938500"/>
          <a:ext cx="1254125" cy="539752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63500</xdr:colOff>
      <xdr:row>61</xdr:row>
      <xdr:rowOff>158750</xdr:rowOff>
    </xdr:from>
    <xdr:to>
      <xdr:col>136</xdr:col>
      <xdr:colOff>0</xdr:colOff>
      <xdr:row>62</xdr:row>
      <xdr:rowOff>301625</xdr:rowOff>
    </xdr:to>
    <xdr:cxnSp macro="">
      <xdr:nvCxnSpPr>
        <xdr:cNvPr id="63" name="Connecteur droit avec flèche 62"/>
        <xdr:cNvCxnSpPr/>
      </xdr:nvCxnSpPr>
      <xdr:spPr>
        <a:xfrm flipV="1">
          <a:off x="57610375" y="18526125"/>
          <a:ext cx="1190625" cy="46037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15875</xdr:colOff>
      <xdr:row>69</xdr:row>
      <xdr:rowOff>174625</xdr:rowOff>
    </xdr:from>
    <xdr:to>
      <xdr:col>136</xdr:col>
      <xdr:colOff>31750</xdr:colOff>
      <xdr:row>71</xdr:row>
      <xdr:rowOff>47626</xdr:rowOff>
    </xdr:to>
    <xdr:cxnSp macro="">
      <xdr:nvCxnSpPr>
        <xdr:cNvPr id="64" name="Connecteur droit avec flèche 63"/>
        <xdr:cNvCxnSpPr/>
      </xdr:nvCxnSpPr>
      <xdr:spPr>
        <a:xfrm flipV="1">
          <a:off x="57562750" y="21082000"/>
          <a:ext cx="1270000" cy="508001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149</xdr:col>
      <xdr:colOff>0</xdr:colOff>
      <xdr:row>13</xdr:row>
      <xdr:rowOff>0</xdr:rowOff>
    </xdr:from>
    <xdr:to>
      <xdr:col>150</xdr:col>
      <xdr:colOff>47625</xdr:colOff>
      <xdr:row>17</xdr:row>
      <xdr:rowOff>190500</xdr:rowOff>
    </xdr:to>
    <xdr:cxnSp macro="">
      <xdr:nvCxnSpPr>
        <xdr:cNvPr id="50" name="Connecteur droit avec flèche 49"/>
        <xdr:cNvCxnSpPr/>
      </xdr:nvCxnSpPr>
      <xdr:spPr>
        <a:xfrm>
          <a:off x="59944000" y="3127375"/>
          <a:ext cx="936625" cy="146050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148</xdr:col>
      <xdr:colOff>619125</xdr:colOff>
      <xdr:row>32</xdr:row>
      <xdr:rowOff>269875</xdr:rowOff>
    </xdr:from>
    <xdr:to>
      <xdr:col>150</xdr:col>
      <xdr:colOff>15875</xdr:colOff>
      <xdr:row>36</xdr:row>
      <xdr:rowOff>142875</xdr:rowOff>
    </xdr:to>
    <xdr:cxnSp macro="">
      <xdr:nvCxnSpPr>
        <xdr:cNvPr id="52" name="Connecteur droit avec flèche 51"/>
        <xdr:cNvCxnSpPr/>
      </xdr:nvCxnSpPr>
      <xdr:spPr>
        <a:xfrm>
          <a:off x="53276500" y="9890125"/>
          <a:ext cx="762000" cy="114300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149</xdr:col>
      <xdr:colOff>0</xdr:colOff>
      <xdr:row>18</xdr:row>
      <xdr:rowOff>174625</xdr:rowOff>
    </xdr:from>
    <xdr:to>
      <xdr:col>150</xdr:col>
      <xdr:colOff>0</xdr:colOff>
      <xdr:row>22</xdr:row>
      <xdr:rowOff>206375</xdr:rowOff>
    </xdr:to>
    <xdr:cxnSp macro="">
      <xdr:nvCxnSpPr>
        <xdr:cNvPr id="53" name="Connecteur droit avec flèche 52"/>
        <xdr:cNvCxnSpPr/>
      </xdr:nvCxnSpPr>
      <xdr:spPr>
        <a:xfrm flipV="1">
          <a:off x="59944000" y="4889500"/>
          <a:ext cx="889000" cy="130175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149</xdr:col>
      <xdr:colOff>47625</xdr:colOff>
      <xdr:row>37</xdr:row>
      <xdr:rowOff>127001</xdr:rowOff>
    </xdr:from>
    <xdr:to>
      <xdr:col>150</xdr:col>
      <xdr:colOff>0</xdr:colOff>
      <xdr:row>42</xdr:row>
      <xdr:rowOff>269875</xdr:rowOff>
    </xdr:to>
    <xdr:cxnSp macro="">
      <xdr:nvCxnSpPr>
        <xdr:cNvPr id="54" name="Connecteur droit avec flèche 53"/>
        <xdr:cNvCxnSpPr/>
      </xdr:nvCxnSpPr>
      <xdr:spPr>
        <a:xfrm flipV="1">
          <a:off x="68246625" y="10874376"/>
          <a:ext cx="968375" cy="1730374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1095377</xdr:colOff>
      <xdr:row>7</xdr:row>
      <xdr:rowOff>174624</xdr:rowOff>
    </xdr:from>
    <xdr:to>
      <xdr:col>40</xdr:col>
      <xdr:colOff>420690</xdr:colOff>
      <xdr:row>9</xdr:row>
      <xdr:rowOff>158749</xdr:rowOff>
    </xdr:to>
    <xdr:sp macro="" textlink="">
      <xdr:nvSpPr>
        <xdr:cNvPr id="22" name="Flèche vers le bas 21"/>
        <xdr:cNvSpPr/>
      </xdr:nvSpPr>
      <xdr:spPr>
        <a:xfrm rot="16200000">
          <a:off x="22706808" y="3099593"/>
          <a:ext cx="746125" cy="30114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in/Desktop/Projet%20Bertrand/Essais/Projet%20F&#233;d&#233;raux%20Bertrand_Alain%20-%20Cop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nseignements"/>
      <sheetName val="Poule 1 et 2"/>
      <sheetName val="Poule 3 et 4"/>
      <sheetName val="Poule 5 et 6"/>
      <sheetName val="Poule 7 et 8"/>
      <sheetName val="Poule 9 et 10"/>
      <sheetName val="Poule 11 et 12"/>
      <sheetName val="Poule 13 et 14"/>
      <sheetName val="Poule 15 et 16"/>
      <sheetName val="Parties éliminatoires"/>
      <sheetName val="Feuil2"/>
    </sheetNames>
    <sheetDataSet>
      <sheetData sheetId="0">
        <row r="6">
          <cell r="E6">
            <v>0</v>
          </cell>
          <cell r="K6" t="str">
            <v>Quadrettes</v>
          </cell>
        </row>
        <row r="9">
          <cell r="E9" t="str">
            <v xml:space="preserve"> Div.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FF66"/>
  </sheetPr>
  <dimension ref="A1:E84"/>
  <sheetViews>
    <sheetView zoomScale="70" zoomScaleNormal="70" workbookViewId="0">
      <selection activeCell="E2" sqref="E2:E5"/>
    </sheetView>
  </sheetViews>
  <sheetFormatPr baseColWidth="10" defaultRowHeight="15"/>
  <cols>
    <col min="1" max="1" width="17.85546875" customWidth="1"/>
    <col min="2" max="2" width="15.5703125" customWidth="1"/>
    <col min="3" max="3" width="18.5703125" customWidth="1"/>
    <col min="4" max="4" width="14.140625" customWidth="1"/>
    <col min="5" max="5" width="13.28515625" customWidth="1"/>
    <col min="6" max="6" width="6" customWidth="1"/>
    <col min="7" max="7" width="5.85546875" customWidth="1"/>
    <col min="8" max="8" width="6.140625" customWidth="1"/>
    <col min="9" max="9" width="6.28515625" customWidth="1"/>
    <col min="10" max="10" width="6.7109375" customWidth="1"/>
    <col min="11" max="11" width="6.5703125" customWidth="1"/>
    <col min="12" max="12" width="7.28515625" customWidth="1"/>
    <col min="13" max="13" width="6.140625" customWidth="1"/>
    <col min="14" max="14" width="6.7109375" customWidth="1"/>
    <col min="15" max="15" width="6.140625" customWidth="1"/>
    <col min="16" max="16" width="6.5703125" customWidth="1"/>
    <col min="17" max="17" width="5.7109375" customWidth="1"/>
    <col min="18" max="25" width="5.85546875" customWidth="1"/>
    <col min="26" max="26" width="5" customWidth="1"/>
    <col min="27" max="28" width="5.7109375" customWidth="1"/>
    <col min="29" max="29" width="26" customWidth="1"/>
    <col min="30" max="30" width="21.85546875" customWidth="1"/>
    <col min="31" max="31" width="13.85546875" customWidth="1"/>
    <col min="32" max="32" width="5.7109375" customWidth="1"/>
    <col min="33" max="33" width="10" customWidth="1"/>
    <col min="34" max="34" width="12.7109375" customWidth="1"/>
    <col min="35" max="35" width="5.7109375" customWidth="1"/>
    <col min="36" max="36" width="7.5703125" customWidth="1"/>
    <col min="37" max="37" width="28.28515625" customWidth="1"/>
    <col min="38" max="38" width="5.7109375" customWidth="1"/>
    <col min="39" max="39" width="10.7109375" customWidth="1"/>
    <col min="40" max="42" width="5.7109375" customWidth="1"/>
    <col min="43" max="43" width="15.7109375" customWidth="1"/>
    <col min="44" max="48" width="5.7109375" customWidth="1"/>
  </cols>
  <sheetData>
    <row r="1" spans="1:5" ht="36" customHeight="1" thickBot="1">
      <c r="A1" s="588" t="s">
        <v>335</v>
      </c>
      <c r="B1" s="589" t="s">
        <v>336</v>
      </c>
      <c r="C1" s="590" t="s">
        <v>339</v>
      </c>
      <c r="D1" s="589" t="s">
        <v>340</v>
      </c>
      <c r="E1" s="591" t="s">
        <v>333</v>
      </c>
    </row>
    <row r="2" spans="1:5" ht="24.95" customHeight="1">
      <c r="A2" s="592" t="s">
        <v>336</v>
      </c>
      <c r="B2" s="592" t="s">
        <v>341</v>
      </c>
      <c r="C2" s="592" t="s">
        <v>342</v>
      </c>
      <c r="D2" s="592" t="s">
        <v>343</v>
      </c>
      <c r="E2" s="592" t="s">
        <v>334</v>
      </c>
    </row>
    <row r="3" spans="1:5" ht="24.95" customHeight="1">
      <c r="A3" s="592" t="s">
        <v>339</v>
      </c>
      <c r="B3" s="592" t="s">
        <v>344</v>
      </c>
      <c r="C3" s="592" t="s">
        <v>345</v>
      </c>
      <c r="D3" s="592" t="s">
        <v>346</v>
      </c>
      <c r="E3" s="592" t="s">
        <v>347</v>
      </c>
    </row>
    <row r="4" spans="1:5" ht="24.95" customHeight="1">
      <c r="A4" s="592" t="s">
        <v>340</v>
      </c>
      <c r="B4" s="592" t="s">
        <v>338</v>
      </c>
      <c r="C4" s="592" t="s">
        <v>348</v>
      </c>
      <c r="D4" s="592" t="s">
        <v>349</v>
      </c>
      <c r="E4" s="592" t="s">
        <v>350</v>
      </c>
    </row>
    <row r="5" spans="1:5" ht="24.95" customHeight="1">
      <c r="A5" s="592"/>
      <c r="B5" s="592" t="s">
        <v>351</v>
      </c>
      <c r="C5" s="592" t="s">
        <v>352</v>
      </c>
      <c r="D5" s="592" t="s">
        <v>353</v>
      </c>
      <c r="E5" s="592" t="s">
        <v>354</v>
      </c>
    </row>
    <row r="6" spans="1:5" ht="24.95" customHeight="1">
      <c r="A6" s="592"/>
      <c r="B6" s="592" t="s">
        <v>355</v>
      </c>
      <c r="C6" s="592" t="s">
        <v>356</v>
      </c>
      <c r="D6" s="592" t="s">
        <v>357</v>
      </c>
      <c r="E6" s="592"/>
    </row>
    <row r="7" spans="1:5" ht="24.95" customHeight="1">
      <c r="A7" s="592"/>
      <c r="B7" s="592"/>
      <c r="C7" s="592" t="s">
        <v>358</v>
      </c>
      <c r="D7" s="592" t="s">
        <v>359</v>
      </c>
      <c r="E7" s="592"/>
    </row>
    <row r="8" spans="1:5" ht="24.95" customHeight="1">
      <c r="A8" s="592"/>
      <c r="B8" s="592"/>
      <c r="C8" s="592"/>
      <c r="D8" s="592" t="s">
        <v>360</v>
      </c>
      <c r="E8" s="592"/>
    </row>
    <row r="9" spans="1:5" ht="24.95" customHeight="1">
      <c r="A9" s="592"/>
      <c r="B9" s="592"/>
      <c r="C9" s="592"/>
      <c r="D9" s="592" t="s">
        <v>361</v>
      </c>
      <c r="E9" s="592"/>
    </row>
    <row r="10" spans="1:5" ht="24.95" customHeight="1"/>
    <row r="11" spans="1:5" ht="24.95" customHeight="1"/>
    <row r="12" spans="1:5" ht="29.25" customHeight="1"/>
    <row r="13" spans="1:5" ht="24.75" customHeight="1"/>
    <row r="14" spans="1:5" ht="27.75" customHeight="1"/>
    <row r="15" spans="1:5" ht="24.95" customHeight="1"/>
    <row r="16" spans="1:5" ht="32.2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</sheetData>
  <sheetProtection formatCells="0" formatColumns="0" formatRows="0" insertColumns="0" insertRows="0" insertHyperlinks="0" deleteColumns="0" deleteRows="0" sort="0"/>
  <pageMargins left="0.19685039370078741" right="0.23622047244094491" top="0.23622047244094491" bottom="0.49" header="0.11811023622047245" footer="0.23622047244094491"/>
  <pageSetup paperSize="9" orientation="landscape" horizontalDpi="4294967292" r:id="rId1"/>
  <headerFooter>
    <oddFooter>&amp;F&amp;RPage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0">
    <tabColor rgb="FF66FF33"/>
    <pageSetUpPr fitToPage="1"/>
  </sheetPr>
  <dimension ref="A1:AR39"/>
  <sheetViews>
    <sheetView topLeftCell="C1" zoomScale="80" zoomScaleNormal="80" workbookViewId="0">
      <selection activeCell="AE40" sqref="AE40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9.42578125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.5703125" customWidth="1"/>
    <col min="21" max="21" width="7" hidden="1" customWidth="1"/>
    <col min="22" max="22" width="5.140625" hidden="1" customWidth="1"/>
    <col min="23" max="23" width="4.85546875" customWidth="1"/>
    <col min="24" max="24" width="9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8.5703125" customWidth="1"/>
    <col min="31" max="31" width="6.28515625" customWidth="1"/>
    <col min="32" max="32" width="4.42578125" customWidth="1"/>
    <col min="33" max="33" width="9.140625" customWidth="1"/>
    <col min="34" max="34" width="6" customWidth="1"/>
    <col min="35" max="35" width="9.7109375" customWidth="1"/>
    <col min="36" max="36" width="6" customWidth="1"/>
    <col min="37" max="37" width="7.7109375" customWidth="1"/>
    <col min="38" max="38" width="5.28515625" customWidth="1"/>
    <col min="39" max="39" width="9.42578125" customWidth="1"/>
    <col min="40" max="40" width="6" customWidth="1"/>
    <col min="42" max="42" width="7.140625" customWidth="1"/>
    <col min="43" max="43" width="6.28515625" hidden="1" customWidth="1"/>
    <col min="44" max="44" width="5.140625" hidden="1" customWidth="1"/>
  </cols>
  <sheetData>
    <row r="1" spans="1:44" ht="21.75" thickBot="1">
      <c r="A1" s="2"/>
      <c r="B1" s="1007" t="s">
        <v>70</v>
      </c>
      <c r="C1" s="1008"/>
      <c r="D1" s="1008"/>
      <c r="E1" s="1008">
        <f>Données!J1</f>
        <v>0</v>
      </c>
      <c r="F1" s="1008"/>
      <c r="G1" s="1008"/>
      <c r="H1" s="9" t="str">
        <f>Données!$D$3</f>
        <v>F_U18</v>
      </c>
      <c r="I1" s="1008">
        <f>Données!$N$3</f>
        <v>0</v>
      </c>
      <c r="J1" s="1008"/>
      <c r="K1" s="1008"/>
      <c r="L1" s="1008"/>
      <c r="M1" s="10">
        <f>Données!$G$3</f>
        <v>0</v>
      </c>
      <c r="N1" s="1007" t="s">
        <v>20</v>
      </c>
      <c r="O1" s="1008"/>
      <c r="P1" s="1008"/>
      <c r="Q1" s="1008"/>
      <c r="R1" s="1008"/>
      <c r="S1" s="1009"/>
      <c r="T1" s="11">
        <f>+Données!D17</f>
        <v>0</v>
      </c>
      <c r="W1" s="2"/>
      <c r="X1" s="1007" t="s">
        <v>70</v>
      </c>
      <c r="Y1" s="1008"/>
      <c r="Z1" s="1008"/>
      <c r="AA1" s="1008">
        <f>Données!J1</f>
        <v>0</v>
      </c>
      <c r="AB1" s="1008"/>
      <c r="AC1" s="1008"/>
      <c r="AD1" s="9" t="str">
        <f>Données!$D$3</f>
        <v>F_U18</v>
      </c>
      <c r="AE1" s="1008">
        <f>Données!$N$3</f>
        <v>0</v>
      </c>
      <c r="AF1" s="1008"/>
      <c r="AG1" s="1008"/>
      <c r="AH1" s="1008"/>
      <c r="AI1" s="10">
        <f>Données!$G$3</f>
        <v>0</v>
      </c>
      <c r="AJ1" s="1007" t="s">
        <v>20</v>
      </c>
      <c r="AK1" s="1008"/>
      <c r="AL1" s="1008"/>
      <c r="AM1" s="1008"/>
      <c r="AN1" s="1008"/>
      <c r="AO1" s="1009"/>
      <c r="AP1" s="27">
        <f>+Données!D17</f>
        <v>0</v>
      </c>
      <c r="AQ1" s="8"/>
    </row>
    <row r="2" spans="1:44" ht="19.5" customHeight="1" thickBot="1">
      <c r="A2" s="2"/>
      <c r="B2" s="1007" t="s">
        <v>33</v>
      </c>
      <c r="C2" s="1008"/>
      <c r="D2" s="1008"/>
      <c r="E2" s="20">
        <f>Données!$S$17</f>
        <v>0</v>
      </c>
      <c r="F2" s="1008" t="s">
        <v>16</v>
      </c>
      <c r="G2" s="1008"/>
      <c r="H2" s="7">
        <f>Données!$S$18</f>
        <v>0</v>
      </c>
      <c r="I2" s="1008" t="s">
        <v>17</v>
      </c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9"/>
      <c r="W2" s="2"/>
      <c r="X2" s="1007" t="s">
        <v>34</v>
      </c>
      <c r="Y2" s="1008"/>
      <c r="Z2" s="1008"/>
      <c r="AA2" s="20">
        <f>Données!$T$17</f>
        <v>0</v>
      </c>
      <c r="AB2" s="1008" t="s">
        <v>16</v>
      </c>
      <c r="AC2" s="1008"/>
      <c r="AD2" s="12">
        <f>Données!$T$18</f>
        <v>0</v>
      </c>
      <c r="AE2" s="1008" t="s">
        <v>17</v>
      </c>
      <c r="AF2" s="1008"/>
      <c r="AG2" s="1008"/>
      <c r="AH2" s="1008"/>
      <c r="AI2" s="1008"/>
      <c r="AJ2" s="1008"/>
      <c r="AK2" s="1008"/>
      <c r="AL2" s="1008"/>
      <c r="AM2" s="1008"/>
      <c r="AN2" s="1008"/>
      <c r="AO2" s="1008"/>
      <c r="AP2" s="1009"/>
      <c r="AQ2" s="8"/>
    </row>
    <row r="3" spans="1:44" ht="15.75" customHeight="1" thickBot="1">
      <c r="A3" s="30"/>
      <c r="B3" s="40"/>
      <c r="C3" s="41"/>
      <c r="D3" s="41"/>
      <c r="E3" s="41"/>
      <c r="F3" s="192" t="str">
        <f>CONCATENATE(E2,H2)</f>
        <v>00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  <c r="U3" s="41"/>
      <c r="V3" s="41"/>
      <c r="W3" s="30"/>
      <c r="X3" s="40"/>
      <c r="Y3" s="41"/>
      <c r="Z3" s="41"/>
      <c r="AA3" s="33"/>
      <c r="AB3" s="193" t="str">
        <f>CONCATENATE(AA2,AD2)</f>
        <v>00</v>
      </c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2"/>
      <c r="AQ3" s="34"/>
      <c r="AR3" s="34"/>
    </row>
    <row r="4" spans="1:44" ht="15.75" thickBot="1">
      <c r="A4" s="30"/>
      <c r="B4" s="40"/>
      <c r="C4" s="959" t="s">
        <v>81</v>
      </c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0"/>
      <c r="Q4" s="960"/>
      <c r="R4" s="960"/>
      <c r="S4" s="961"/>
      <c r="T4" s="958"/>
      <c r="U4" s="43"/>
      <c r="V4" s="43"/>
      <c r="W4" s="30"/>
      <c r="X4" s="40"/>
      <c r="Y4" s="959" t="s">
        <v>81</v>
      </c>
      <c r="Z4" s="960"/>
      <c r="AA4" s="960"/>
      <c r="AB4" s="960"/>
      <c r="AC4" s="960"/>
      <c r="AD4" s="960"/>
      <c r="AE4" s="960"/>
      <c r="AF4" s="960"/>
      <c r="AG4" s="960"/>
      <c r="AH4" s="960"/>
      <c r="AI4" s="960"/>
      <c r="AJ4" s="960"/>
      <c r="AK4" s="960"/>
      <c r="AL4" s="960"/>
      <c r="AM4" s="960"/>
      <c r="AN4" s="960"/>
      <c r="AO4" s="961"/>
      <c r="AP4" s="958"/>
      <c r="AQ4" s="34"/>
      <c r="AR4" s="34"/>
    </row>
    <row r="5" spans="1:44">
      <c r="A5" s="30"/>
      <c r="B5" s="40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958"/>
      <c r="U5" s="43"/>
      <c r="V5" s="43"/>
      <c r="W5" s="30"/>
      <c r="X5" s="40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958"/>
      <c r="AQ5" s="34"/>
      <c r="AR5" s="34"/>
    </row>
    <row r="6" spans="1:44" ht="15.75" thickBot="1">
      <c r="A6" s="30"/>
      <c r="B6" s="4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1"/>
      <c r="T6" s="42"/>
      <c r="U6" s="41"/>
      <c r="V6" s="41"/>
      <c r="W6" s="30"/>
      <c r="X6" s="40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5"/>
      <c r="AO6" s="41"/>
      <c r="AP6" s="42"/>
      <c r="AQ6" s="34"/>
      <c r="AR6" s="34"/>
    </row>
    <row r="7" spans="1:44" ht="15.75" thickBot="1">
      <c r="A7" s="30"/>
      <c r="B7" s="46" t="s">
        <v>6</v>
      </c>
      <c r="C7" s="47" t="s">
        <v>11</v>
      </c>
      <c r="D7" s="33"/>
      <c r="E7" s="44"/>
      <c r="F7" s="44"/>
      <c r="G7" s="41" t="s">
        <v>5</v>
      </c>
      <c r="H7" s="41"/>
      <c r="I7" s="41" t="s">
        <v>6</v>
      </c>
      <c r="J7" s="47" t="str">
        <f>IF(E2=2,"","C")</f>
        <v>C</v>
      </c>
      <c r="K7" s="33"/>
      <c r="L7" s="44"/>
      <c r="M7" s="44"/>
      <c r="N7" s="41" t="s">
        <v>5</v>
      </c>
      <c r="O7" s="41"/>
      <c r="P7" s="41"/>
      <c r="Q7" s="47" t="s">
        <v>52</v>
      </c>
      <c r="R7" s="44"/>
      <c r="S7" s="44" t="s">
        <v>78</v>
      </c>
      <c r="T7" s="48"/>
      <c r="U7" s="44"/>
      <c r="V7" s="44"/>
      <c r="W7" s="30"/>
      <c r="X7" s="46" t="s">
        <v>6</v>
      </c>
      <c r="Y7" s="47" t="s">
        <v>11</v>
      </c>
      <c r="Z7" s="33"/>
      <c r="AA7" s="44"/>
      <c r="AB7" s="44"/>
      <c r="AC7" s="41" t="s">
        <v>5</v>
      </c>
      <c r="AD7" s="41"/>
      <c r="AE7" s="41" t="s">
        <v>6</v>
      </c>
      <c r="AF7" s="47" t="str">
        <f>IF(AA2=2,"","C")</f>
        <v>C</v>
      </c>
      <c r="AG7" s="33"/>
      <c r="AH7" s="44"/>
      <c r="AI7" s="44"/>
      <c r="AJ7" s="41"/>
      <c r="AK7" s="41"/>
      <c r="AL7" s="41"/>
      <c r="AM7" s="47" t="s">
        <v>52</v>
      </c>
      <c r="AN7" s="44"/>
      <c r="AO7" s="44" t="s">
        <v>78</v>
      </c>
      <c r="AP7" s="48"/>
      <c r="AQ7" s="34"/>
      <c r="AR7" s="34"/>
    </row>
    <row r="8" spans="1:44" ht="15.75" thickBot="1">
      <c r="A8" s="195">
        <v>57</v>
      </c>
      <c r="B8" s="965"/>
      <c r="C8" s="970" t="str">
        <f>IF(ISNA(MATCH($A$8,Données!$AE$5:$AE$84,0)),"",INDEX(Données!$AC$5:$AC$82,MATCH($A$8,Données!$AE$5:$AE$84,0)))</f>
        <v/>
      </c>
      <c r="D8" s="979"/>
      <c r="E8" s="979"/>
      <c r="F8" s="980"/>
      <c r="G8" s="49">
        <v>1</v>
      </c>
      <c r="H8" s="196">
        <v>59</v>
      </c>
      <c r="I8" s="965"/>
      <c r="J8" s="1016" t="str">
        <f>IF(ISNA(MATCH($H$8,Données!$AE$5:$AE$84,0)),"",INDEX(Données!$AC$5:$AC$82,MATCH($H$8,Données!$AE$5:$AE$84,0)))</f>
        <v/>
      </c>
      <c r="K8" s="1017"/>
      <c r="L8" s="1017"/>
      <c r="M8" s="1018"/>
      <c r="N8" s="49">
        <v>1</v>
      </c>
      <c r="O8" s="41"/>
      <c r="P8" s="44"/>
      <c r="Q8" s="973" t="str">
        <f>IF(E2+E3=4,0,IF(E2+E3=3,0,IF(ISNA(MATCH($P$8,Données!$AE$5:$AE$85,0)),"",INDEX(Données!$AC$5:$AC$83,MATCH($P$8,Données!$AE$5:$AE$85,0)))))</f>
        <v/>
      </c>
      <c r="R8" s="974"/>
      <c r="S8" s="975"/>
      <c r="T8" s="50"/>
      <c r="U8" s="44"/>
      <c r="V8" s="44"/>
      <c r="W8" s="141">
        <v>61</v>
      </c>
      <c r="X8" s="965"/>
      <c r="Y8" s="970" t="str">
        <f>IF(ISNA(MATCH($W$8,Données!$AE$5:$AE$84,0)),"",INDEX(Données!$AC$5:$AC$82,MATCH($W$8,Données!$AE$5:$AE$84,0)))</f>
        <v/>
      </c>
      <c r="Z8" s="979"/>
      <c r="AA8" s="979"/>
      <c r="AB8" s="980"/>
      <c r="AC8" s="49">
        <v>1</v>
      </c>
      <c r="AD8" s="196">
        <v>63</v>
      </c>
      <c r="AE8" s="965"/>
      <c r="AF8" s="970" t="str">
        <f>IF(ISNA(MATCH($AD$8,Données!$AE$5:$AE$84,0)),"",INDEX(Données!$AC$5:$AC$82,MATCH($AD$8,Données!$AE$5:$AE$84,0)))</f>
        <v/>
      </c>
      <c r="AG8" s="979"/>
      <c r="AH8" s="979"/>
      <c r="AI8" s="980"/>
      <c r="AJ8" s="49">
        <v>1</v>
      </c>
      <c r="AK8" s="41"/>
      <c r="AL8" s="44"/>
      <c r="AM8" s="973" t="str">
        <f>IF($AA$2+$AA$3=4,0,IF($AA$2+$AA$3=3,0,IF(ISNA(MATCH($AL$8,Données!$AE$5:$AE$85,0)),"",INDEX(Données!$AC$5:$AC$83,MATCH($AL$8,Données!$AE$5:$AE$85,0)))))</f>
        <v/>
      </c>
      <c r="AN8" s="974"/>
      <c r="AO8" s="975"/>
      <c r="AP8" s="50"/>
      <c r="AQ8" s="34"/>
      <c r="AR8" s="34"/>
    </row>
    <row r="9" spans="1:44" ht="15.75" thickBot="1">
      <c r="A9" s="195">
        <v>58</v>
      </c>
      <c r="B9" s="966"/>
      <c r="C9" s="976" t="str">
        <f>IF(ISNA(MATCH($A$9,Données!$AE$5:$AE$84,0)),"",INDEX(Données!$AC$5:$AC$82,MATCH($A$9,Données!$AE$5:$AE$84,0)))</f>
        <v/>
      </c>
      <c r="D9" s="981"/>
      <c r="E9" s="981"/>
      <c r="F9" s="982"/>
      <c r="G9" s="73">
        <v>0</v>
      </c>
      <c r="H9" s="196">
        <v>60</v>
      </c>
      <c r="I9" s="966"/>
      <c r="J9" s="985" t="str">
        <f>IF(ISNA(MATCH($H$9,Données!$AE$5:$AE$84,0)),"0ffice",INDEX(Données!$AC$5:$AC$82,MATCH($H$9,Données!$AE$5:$AE$84,0)))</f>
        <v>0ffice</v>
      </c>
      <c r="K9" s="986"/>
      <c r="L9" s="986"/>
      <c r="M9" s="987"/>
      <c r="N9" s="49">
        <v>0</v>
      </c>
      <c r="O9" s="41"/>
      <c r="P9" s="44"/>
      <c r="R9" s="44"/>
      <c r="S9" s="44"/>
      <c r="T9" s="48"/>
      <c r="U9" s="44"/>
      <c r="V9" s="44"/>
      <c r="W9" s="141">
        <v>62</v>
      </c>
      <c r="X9" s="966"/>
      <c r="Y9" s="976" t="str">
        <f>IF(ISNA(MATCH($W$9,Données!$AE$5:$AE$84,0)),"",INDEX(Données!$AC$5:$AC$82,MATCH($W$9,Données!$AE$5:$AE$84,0)))</f>
        <v/>
      </c>
      <c r="Z9" s="981"/>
      <c r="AA9" s="981"/>
      <c r="AB9" s="982"/>
      <c r="AC9" s="73">
        <v>0</v>
      </c>
      <c r="AD9" s="196">
        <v>64</v>
      </c>
      <c r="AE9" s="966"/>
      <c r="AF9" s="1016" t="str">
        <f>IF(ISNA(MATCH($AD$9,Données!$AE$5:$AE$84,0)),"Office",INDEX(Données!$AC$5:$AC$82,MATCH($AD$9,Données!$AE$5:$AE$84,0)))</f>
        <v>Office</v>
      </c>
      <c r="AG9" s="1017"/>
      <c r="AH9" s="1017"/>
      <c r="AI9" s="1018"/>
      <c r="AJ9" s="49">
        <v>0</v>
      </c>
      <c r="AK9" s="41"/>
      <c r="AL9" s="44"/>
      <c r="AN9" s="44"/>
      <c r="AO9" s="44"/>
      <c r="AP9" s="48"/>
      <c r="AQ9" s="34"/>
      <c r="AR9" s="34"/>
    </row>
    <row r="10" spans="1:44" ht="15.75" thickBot="1">
      <c r="A10" s="30"/>
      <c r="B10" s="40"/>
      <c r="C10" s="83" t="s">
        <v>12</v>
      </c>
      <c r="D10" s="33"/>
      <c r="E10" s="44"/>
      <c r="F10" s="44"/>
      <c r="G10" s="44"/>
      <c r="H10" s="44"/>
      <c r="I10" s="44"/>
      <c r="J10" s="47" t="s">
        <v>51</v>
      </c>
      <c r="K10" s="33"/>
      <c r="L10" s="44"/>
      <c r="M10" s="44"/>
      <c r="N10" s="44"/>
      <c r="O10" s="44"/>
      <c r="P10" s="44"/>
      <c r="Q10" s="44"/>
      <c r="R10" s="44"/>
      <c r="S10" s="44"/>
      <c r="T10" s="48"/>
      <c r="U10" s="44"/>
      <c r="V10" s="44"/>
      <c r="W10" s="30"/>
      <c r="X10" s="40"/>
      <c r="Y10" s="83" t="s">
        <v>12</v>
      </c>
      <c r="Z10" s="33"/>
      <c r="AA10" s="44"/>
      <c r="AB10" s="44"/>
      <c r="AC10" s="44"/>
      <c r="AD10" s="44"/>
      <c r="AE10" s="44"/>
      <c r="AF10" s="47" t="s">
        <v>51</v>
      </c>
      <c r="AG10" s="33"/>
      <c r="AH10" s="44"/>
      <c r="AI10" s="44"/>
      <c r="AJ10" s="44"/>
      <c r="AK10" s="44"/>
      <c r="AL10" s="44"/>
      <c r="AM10" s="44"/>
      <c r="AN10" s="44"/>
      <c r="AO10" s="44"/>
      <c r="AP10" s="48"/>
      <c r="AQ10" s="34"/>
      <c r="AR10" s="34"/>
    </row>
    <row r="11" spans="1:44">
      <c r="A11" s="30"/>
      <c r="B11" s="4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8"/>
      <c r="U11" s="44"/>
      <c r="V11" s="44"/>
      <c r="W11" s="30"/>
      <c r="X11" s="40"/>
      <c r="Y11" s="45"/>
      <c r="Z11" s="45"/>
      <c r="AA11" s="45"/>
      <c r="AB11" s="45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8"/>
      <c r="AQ11" s="34"/>
      <c r="AR11" s="34"/>
    </row>
    <row r="12" spans="1:44">
      <c r="A12" s="30"/>
      <c r="B12" s="4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8"/>
      <c r="U12" s="44"/>
      <c r="V12" s="44"/>
      <c r="W12" s="30"/>
      <c r="X12" s="40"/>
      <c r="Y12" s="45"/>
      <c r="Z12" s="45"/>
      <c r="AA12" s="45"/>
      <c r="AB12" s="45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8"/>
      <c r="AQ12" s="34"/>
      <c r="AR12" s="34"/>
    </row>
    <row r="13" spans="1:44" ht="15.75" thickBot="1">
      <c r="A13" s="30"/>
      <c r="B13" s="46" t="s">
        <v>6</v>
      </c>
      <c r="C13" s="44"/>
      <c r="D13" s="70" t="s">
        <v>77</v>
      </c>
      <c r="E13" s="44"/>
      <c r="F13" s="44"/>
      <c r="G13" s="41" t="s">
        <v>5</v>
      </c>
      <c r="H13" s="41"/>
      <c r="I13" s="44"/>
      <c r="J13" s="44"/>
      <c r="K13" s="44"/>
      <c r="L13" s="44" t="s">
        <v>78</v>
      </c>
      <c r="M13" s="44"/>
      <c r="N13" s="44"/>
      <c r="O13" s="44"/>
      <c r="P13" s="41" t="s">
        <v>6</v>
      </c>
      <c r="Q13" s="44"/>
      <c r="R13" s="70" t="s">
        <v>76</v>
      </c>
      <c r="S13" s="44"/>
      <c r="T13" s="42" t="s">
        <v>5</v>
      </c>
      <c r="U13" s="52"/>
      <c r="V13" s="53"/>
      <c r="W13" s="30"/>
      <c r="X13" s="54" t="s">
        <v>6</v>
      </c>
      <c r="Y13" s="45"/>
      <c r="Z13" s="45" t="s">
        <v>77</v>
      </c>
      <c r="AA13" s="45"/>
      <c r="AB13" s="45"/>
      <c r="AC13" s="41" t="s">
        <v>5</v>
      </c>
      <c r="AD13" s="41"/>
      <c r="AE13" s="44"/>
      <c r="AF13" s="44"/>
      <c r="AG13" s="44"/>
      <c r="AH13" s="44" t="s">
        <v>78</v>
      </c>
      <c r="AI13" s="44"/>
      <c r="AJ13" s="44"/>
      <c r="AK13" s="44"/>
      <c r="AL13" s="41" t="s">
        <v>6</v>
      </c>
      <c r="AM13" s="44"/>
      <c r="AN13" s="44" t="s">
        <v>76</v>
      </c>
      <c r="AO13" s="44"/>
      <c r="AP13" s="42" t="s">
        <v>5</v>
      </c>
      <c r="AQ13" s="53"/>
      <c r="AR13" s="53"/>
    </row>
    <row r="14" spans="1:44" ht="15.75" thickBot="1">
      <c r="A14" s="30"/>
      <c r="B14" s="965"/>
      <c r="C14" s="970" t="str">
        <f>IF($G$8=$G$9,"résultat",IF($G$8&gt;$G$9,$C$9,$C$8))</f>
        <v/>
      </c>
      <c r="D14" s="971"/>
      <c r="E14" s="971"/>
      <c r="F14" s="972"/>
      <c r="G14" s="49">
        <v>1</v>
      </c>
      <c r="H14" s="41"/>
      <c r="I14" s="44"/>
      <c r="J14" s="994" t="str">
        <f>IF(ISTEXT($Q$8),IF(($G$9=$G$8),"résultat",IF(($N$9=$N$8),"résultat",IF(($U$14=2),$C$8,IF(($V$14=2),$C$9,IF(($U$15=2),$J$9,IF(($V$15=2),J8,0)))))))</f>
        <v/>
      </c>
      <c r="K14" s="995"/>
      <c r="L14" s="995"/>
      <c r="M14" s="996"/>
      <c r="N14" s="50"/>
      <c r="O14" s="44"/>
      <c r="P14" s="965"/>
      <c r="Q14" s="967" t="str">
        <f>IF($E$2+$E$3=5,$Q$8,IF($N$8=$N$9,"résultat",IF($N$8&gt;$N$9,$J$8,$J$9)))</f>
        <v/>
      </c>
      <c r="R14" s="968"/>
      <c r="S14" s="969"/>
      <c r="T14" s="49">
        <v>1</v>
      </c>
      <c r="U14" s="56">
        <f>IF(G8&gt;G9,1)+IF(N8&gt;N9,1)</f>
        <v>2</v>
      </c>
      <c r="V14" s="57">
        <f>IF(G9&gt;G8,1)+IF(N9&gt;N8,1)</f>
        <v>0</v>
      </c>
      <c r="W14" s="30"/>
      <c r="X14" s="965"/>
      <c r="Y14" s="1015" t="str">
        <f>IF($AC$8=$AC$9,"résultat",IF($AC$8&gt;$AC$9,$Y$9,$Y$8))</f>
        <v/>
      </c>
      <c r="Z14" s="971"/>
      <c r="AA14" s="971"/>
      <c r="AB14" s="972"/>
      <c r="AC14" s="49">
        <v>1</v>
      </c>
      <c r="AD14" s="41"/>
      <c r="AE14" s="44"/>
      <c r="AF14" s="997" t="str">
        <f>IF(ISTEXT($AM$8),IF(($AC$9=$AC$8),"résultat",IF(($AJ$9=$AJ$8),"résultat",IF(($AQ$14=2),$Y$8,IF(($AR$14=2),$Y$9,IF(($AQ$15=2),$AF$9,IF(($AR$15=2),$AF$8,0)))))))</f>
        <v/>
      </c>
      <c r="AG14" s="995"/>
      <c r="AH14" s="995"/>
      <c r="AI14" s="996"/>
      <c r="AJ14" s="55">
        <v>0</v>
      </c>
      <c r="AK14" s="44"/>
      <c r="AL14" s="965"/>
      <c r="AM14" s="967" t="str">
        <f>IF($AA$2+$AA$3=5,$AM$8,IF($AJ$8&gt;$AJ$9,$AF$8,$AF$9))</f>
        <v/>
      </c>
      <c r="AN14" s="968"/>
      <c r="AO14" s="969"/>
      <c r="AP14" s="49">
        <v>1</v>
      </c>
      <c r="AQ14" s="56">
        <f>IF(AC8&gt;AC9,1)+IF(AJ8&gt;AJ9,1)</f>
        <v>2</v>
      </c>
      <c r="AR14" s="57">
        <f>IF(AC9&gt;AC8,1)+IF(AJ9&gt;AJ8,1)</f>
        <v>0</v>
      </c>
    </row>
    <row r="15" spans="1:44" ht="15.75" thickBot="1">
      <c r="A15" s="30"/>
      <c r="B15" s="966"/>
      <c r="C15" s="962" t="str">
        <f>IF($N$8=$N$9,"résultat",IF($N$8&lt;$N$9,$J$8,$J$9))</f>
        <v>0ffice</v>
      </c>
      <c r="D15" s="963"/>
      <c r="E15" s="963"/>
      <c r="F15" s="964"/>
      <c r="G15" s="58">
        <v>0</v>
      </c>
      <c r="H15" s="41"/>
      <c r="I15" s="44"/>
      <c r="J15" s="59" t="str">
        <f>IF(ISTEXT(J14)," ",0)</f>
        <v xml:space="preserve"> </v>
      </c>
      <c r="K15" s="44"/>
      <c r="L15" s="44"/>
      <c r="M15" s="44"/>
      <c r="N15" s="44"/>
      <c r="O15" s="44"/>
      <c r="P15" s="966"/>
      <c r="Q15" s="96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963"/>
      <c r="S15" s="964"/>
      <c r="T15" s="73">
        <v>0</v>
      </c>
      <c r="U15" s="60">
        <f>IF(G8&gt;G9,1)+IF(N9&gt;N8,1)</f>
        <v>1</v>
      </c>
      <c r="V15" s="61">
        <f>IF(G9&gt;G8,1)+IF(N8&gt;N9,1)</f>
        <v>1</v>
      </c>
      <c r="W15" s="30"/>
      <c r="X15" s="966"/>
      <c r="Y15" s="962" t="str">
        <f>IF($AJ$8=$AJ$9,"résultat",IF($AJ$8&lt;$AJ$9,$AF$8,$AF$9))</f>
        <v>Office</v>
      </c>
      <c r="Z15" s="963"/>
      <c r="AA15" s="963"/>
      <c r="AB15" s="964"/>
      <c r="AC15" s="49">
        <v>0</v>
      </c>
      <c r="AD15" s="41"/>
      <c r="AE15" s="44"/>
      <c r="AF15" s="44"/>
      <c r="AG15" s="44"/>
      <c r="AH15" s="44"/>
      <c r="AI15" s="44"/>
      <c r="AJ15" s="44"/>
      <c r="AK15" s="44"/>
      <c r="AL15" s="966"/>
      <c r="AM15" s="96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963"/>
      <c r="AO15" s="964"/>
      <c r="AP15" s="72">
        <v>0</v>
      </c>
      <c r="AQ15" s="60">
        <f>IF(AC8&gt;AC9,1)+IF(AJ9&gt;AJ8,1)</f>
        <v>1</v>
      </c>
      <c r="AR15" s="61">
        <f>IF(AC9&gt;AC8,1)+IF(AJ8&gt;AJ9,1)</f>
        <v>1</v>
      </c>
    </row>
    <row r="16" spans="1:44">
      <c r="A16" s="30"/>
      <c r="B16" s="4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62"/>
      <c r="Q16" s="44"/>
      <c r="R16" s="44"/>
      <c r="S16" s="44"/>
      <c r="T16" s="48"/>
      <c r="U16" s="44"/>
      <c r="V16" s="44"/>
      <c r="W16" s="30"/>
      <c r="X16" s="40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8"/>
      <c r="AQ16" s="34"/>
      <c r="AR16" s="34"/>
    </row>
    <row r="17" spans="1:44">
      <c r="A17" s="30"/>
      <c r="B17" s="4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8"/>
      <c r="U17" s="44"/>
      <c r="V17" s="44"/>
      <c r="W17" s="30"/>
      <c r="X17" s="40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8"/>
      <c r="AQ17" s="34"/>
      <c r="AR17" s="34"/>
    </row>
    <row r="18" spans="1:44">
      <c r="A18" s="30"/>
      <c r="B18" s="40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6"/>
      <c r="T18" s="48"/>
      <c r="U18" s="44"/>
      <c r="V18" s="44"/>
      <c r="W18" s="30"/>
      <c r="X18" s="40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8"/>
      <c r="AQ18" s="34"/>
      <c r="AR18" s="34"/>
    </row>
    <row r="19" spans="1:44" ht="15.75" thickBot="1">
      <c r="A19" s="30"/>
      <c r="B19" s="40"/>
      <c r="C19" s="44"/>
      <c r="D19" s="44"/>
      <c r="E19" s="41" t="s">
        <v>6</v>
      </c>
      <c r="F19" s="44"/>
      <c r="G19" s="44"/>
      <c r="H19" s="44"/>
      <c r="I19" s="44"/>
      <c r="J19" s="41" t="s">
        <v>5</v>
      </c>
      <c r="K19" s="41"/>
      <c r="L19" s="41" t="s">
        <v>6</v>
      </c>
      <c r="M19" s="44"/>
      <c r="N19" s="44"/>
      <c r="O19" s="44"/>
      <c r="P19" s="44"/>
      <c r="Q19" s="41" t="s">
        <v>5</v>
      </c>
      <c r="R19" s="44"/>
      <c r="S19" s="44"/>
      <c r="T19" s="48"/>
      <c r="U19" s="63"/>
      <c r="V19" s="44"/>
      <c r="W19" s="30"/>
      <c r="X19" s="40"/>
      <c r="Y19" s="44"/>
      <c r="Z19" s="44"/>
      <c r="AA19" s="41" t="s">
        <v>6</v>
      </c>
      <c r="AB19" s="44"/>
      <c r="AC19" s="44"/>
      <c r="AD19" s="44"/>
      <c r="AE19" s="44"/>
      <c r="AF19" s="41" t="s">
        <v>5</v>
      </c>
      <c r="AG19" s="41"/>
      <c r="AH19" s="41" t="s">
        <v>6</v>
      </c>
      <c r="AI19" s="44"/>
      <c r="AJ19" s="44"/>
      <c r="AK19" s="44"/>
      <c r="AL19" s="44"/>
      <c r="AM19" s="41" t="s">
        <v>5</v>
      </c>
      <c r="AN19" s="44"/>
      <c r="AO19" s="44"/>
      <c r="AP19" s="48"/>
      <c r="AQ19" s="34"/>
      <c r="AR19" s="34"/>
    </row>
    <row r="20" spans="1:44" ht="15.75" thickBot="1">
      <c r="A20" s="30"/>
      <c r="B20" s="40"/>
      <c r="C20" s="44"/>
      <c r="D20" s="44"/>
      <c r="E20" s="965"/>
      <c r="F20" s="976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977"/>
      <c r="H20" s="977"/>
      <c r="I20" s="978"/>
      <c r="J20" s="49">
        <v>1</v>
      </c>
      <c r="K20" s="41"/>
      <c r="L20" s="965" t="s">
        <v>13</v>
      </c>
      <c r="M20" s="991" t="b">
        <f>IF($E$2+$E$3=5,$J$14)</f>
        <v>0</v>
      </c>
      <c r="N20" s="992"/>
      <c r="O20" s="992"/>
      <c r="P20" s="993"/>
      <c r="Q20" s="49">
        <v>1</v>
      </c>
      <c r="R20" s="44"/>
      <c r="S20" s="44"/>
      <c r="T20" s="48"/>
      <c r="U20" s="44"/>
      <c r="V20" s="44"/>
      <c r="W20" s="30"/>
      <c r="X20" s="40"/>
      <c r="Y20" s="44"/>
      <c r="Z20" s="44"/>
      <c r="AA20" s="965"/>
      <c r="AB20" s="976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977"/>
      <c r="AD20" s="977"/>
      <c r="AE20" s="978"/>
      <c r="AF20" s="49">
        <v>1</v>
      </c>
      <c r="AG20" s="41"/>
      <c r="AH20" s="965" t="s">
        <v>13</v>
      </c>
      <c r="AI20" s="991" t="b">
        <f>IF($AA$2+$AA$3=5,$AF$14)</f>
        <v>0</v>
      </c>
      <c r="AJ20" s="992"/>
      <c r="AK20" s="992"/>
      <c r="AL20" s="993"/>
      <c r="AM20" s="49">
        <v>1</v>
      </c>
      <c r="AN20" s="44"/>
      <c r="AO20" s="44"/>
      <c r="AP20" s="48"/>
      <c r="AQ20" s="34"/>
      <c r="AR20" s="34"/>
    </row>
    <row r="21" spans="1:44" ht="15.75" thickBot="1">
      <c r="A21" s="30"/>
      <c r="B21" s="40"/>
      <c r="C21" s="44"/>
      <c r="D21" s="44"/>
      <c r="E21" s="966"/>
      <c r="F21" s="976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981"/>
      <c r="H21" s="981"/>
      <c r="I21" s="982"/>
      <c r="J21" s="49">
        <v>0</v>
      </c>
      <c r="K21" s="41"/>
      <c r="L21" s="966"/>
      <c r="M21" s="976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981"/>
      <c r="O21" s="981"/>
      <c r="P21" s="982"/>
      <c r="Q21" s="49">
        <v>0</v>
      </c>
      <c r="R21" s="44"/>
      <c r="S21" s="63"/>
      <c r="T21" s="48"/>
      <c r="U21" s="44"/>
      <c r="V21" s="36"/>
      <c r="W21" s="30"/>
      <c r="X21" s="40"/>
      <c r="Y21" s="44"/>
      <c r="Z21" s="44"/>
      <c r="AA21" s="966"/>
      <c r="AB21" s="976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981"/>
      <c r="AD21" s="981"/>
      <c r="AE21" s="982"/>
      <c r="AF21" s="49">
        <v>0</v>
      </c>
      <c r="AG21" s="41"/>
      <c r="AH21" s="966"/>
      <c r="AI21" s="976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981"/>
      <c r="AK21" s="981"/>
      <c r="AL21" s="982"/>
      <c r="AM21" s="49">
        <v>0</v>
      </c>
      <c r="AN21" s="44"/>
      <c r="AO21" s="44"/>
      <c r="AP21" s="48"/>
      <c r="AQ21" s="34"/>
      <c r="AR21" s="34"/>
    </row>
    <row r="22" spans="1:44">
      <c r="A22" s="30"/>
      <c r="B22" s="40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8"/>
      <c r="U22" s="44"/>
      <c r="V22" s="44"/>
      <c r="W22" s="30"/>
      <c r="X22" s="40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8"/>
      <c r="AQ22" s="34"/>
      <c r="AR22" s="34"/>
    </row>
    <row r="23" spans="1:44">
      <c r="A23" s="30"/>
      <c r="B23" s="4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8"/>
      <c r="U23" s="44"/>
      <c r="V23" s="44"/>
      <c r="W23" s="30"/>
      <c r="X23" s="40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8"/>
      <c r="AQ23" s="34"/>
      <c r="AR23" s="34"/>
    </row>
    <row r="24" spans="1:44" ht="15.75" thickBot="1">
      <c r="A24" s="30"/>
      <c r="B24" s="40"/>
      <c r="C24" s="44"/>
      <c r="D24" s="44"/>
      <c r="E24" s="44"/>
      <c r="F24" s="44"/>
      <c r="G24" s="44"/>
      <c r="H24" s="44"/>
      <c r="I24" s="41" t="s">
        <v>6</v>
      </c>
      <c r="J24" s="44"/>
      <c r="K24" s="44"/>
      <c r="L24" s="44"/>
      <c r="M24" s="44"/>
      <c r="N24" s="41" t="s">
        <v>5</v>
      </c>
      <c r="O24" s="41"/>
      <c r="P24" s="64"/>
      <c r="Q24" s="44"/>
      <c r="R24" s="44"/>
      <c r="S24" s="44"/>
      <c r="T24" s="48"/>
      <c r="U24" s="44"/>
      <c r="V24" s="44"/>
      <c r="W24" s="30"/>
      <c r="X24" s="40"/>
      <c r="Y24" s="44"/>
      <c r="Z24" s="44"/>
      <c r="AA24" s="44"/>
      <c r="AB24" s="44"/>
      <c r="AC24" s="44"/>
      <c r="AD24" s="44"/>
      <c r="AE24" s="41" t="s">
        <v>6</v>
      </c>
      <c r="AF24" s="44"/>
      <c r="AG24" s="44"/>
      <c r="AH24" s="44"/>
      <c r="AI24" s="44"/>
      <c r="AJ24" s="41" t="s">
        <v>5</v>
      </c>
      <c r="AK24" s="41"/>
      <c r="AL24" s="64"/>
      <c r="AM24" s="44"/>
      <c r="AN24" s="44"/>
      <c r="AO24" s="44"/>
      <c r="AP24" s="48"/>
      <c r="AQ24" s="34"/>
      <c r="AR24" s="34"/>
    </row>
    <row r="25" spans="1:44" ht="15.75" thickBot="1">
      <c r="A25" s="30"/>
      <c r="B25" s="40"/>
      <c r="C25" s="44"/>
      <c r="D25" s="44"/>
      <c r="E25" s="44"/>
      <c r="F25" s="44"/>
      <c r="G25" s="44"/>
      <c r="H25" s="44"/>
      <c r="I25" s="965"/>
      <c r="J25" s="1001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002"/>
      <c r="L25" s="1002"/>
      <c r="M25" s="1003"/>
      <c r="N25" s="49">
        <v>1</v>
      </c>
      <c r="O25" s="41"/>
      <c r="P25" s="44"/>
      <c r="Q25" s="44"/>
      <c r="R25" s="44"/>
      <c r="S25" s="44"/>
      <c r="T25" s="48"/>
      <c r="U25" s="44"/>
      <c r="V25" s="44"/>
      <c r="W25" s="30"/>
      <c r="X25" s="40"/>
      <c r="Y25" s="44"/>
      <c r="Z25" s="44"/>
      <c r="AA25" s="44"/>
      <c r="AB25" s="44"/>
      <c r="AC25" s="44"/>
      <c r="AD25" s="44"/>
      <c r="AE25" s="965"/>
      <c r="AF25" s="1016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986"/>
      <c r="AH25" s="986"/>
      <c r="AI25" s="987"/>
      <c r="AJ25" s="49">
        <v>1</v>
      </c>
      <c r="AK25" s="41"/>
      <c r="AL25" s="44"/>
      <c r="AM25" s="44"/>
      <c r="AN25" s="44"/>
      <c r="AO25" s="44"/>
      <c r="AP25" s="48"/>
      <c r="AQ25" s="34"/>
      <c r="AR25" s="34"/>
    </row>
    <row r="26" spans="1:44" ht="15.75" thickBot="1">
      <c r="A26" s="30"/>
      <c r="B26" s="40"/>
      <c r="C26" s="44"/>
      <c r="D26" s="44"/>
      <c r="E26" s="44"/>
      <c r="F26" s="44"/>
      <c r="G26" s="44"/>
      <c r="H26" s="44"/>
      <c r="I26" s="966"/>
      <c r="J26" s="998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999"/>
      <c r="L26" s="999"/>
      <c r="M26" s="1000"/>
      <c r="N26" s="49">
        <v>0</v>
      </c>
      <c r="O26" s="41"/>
      <c r="P26" s="44"/>
      <c r="Q26" s="44"/>
      <c r="R26" s="44"/>
      <c r="S26" s="44"/>
      <c r="T26" s="48"/>
      <c r="U26" s="44"/>
      <c r="V26" s="44"/>
      <c r="W26" s="30"/>
      <c r="X26" s="40"/>
      <c r="Y26" s="44"/>
      <c r="Z26" s="44"/>
      <c r="AA26" s="44"/>
      <c r="AB26" s="44"/>
      <c r="AC26" s="44"/>
      <c r="AD26" s="44"/>
      <c r="AE26" s="966"/>
      <c r="AF26" s="998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999"/>
      <c r="AH26" s="999"/>
      <c r="AI26" s="1000"/>
      <c r="AJ26" s="49">
        <v>0</v>
      </c>
      <c r="AK26" s="41"/>
      <c r="AL26" s="44"/>
      <c r="AM26" s="44"/>
      <c r="AN26" s="44"/>
      <c r="AO26" s="44"/>
      <c r="AP26" s="48"/>
      <c r="AQ26" s="34"/>
      <c r="AR26" s="34"/>
    </row>
    <row r="27" spans="1:44" ht="15.75" thickBot="1">
      <c r="A27" s="30"/>
      <c r="B27" s="40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8"/>
      <c r="U27" s="44"/>
      <c r="V27" s="44"/>
      <c r="W27" s="30"/>
      <c r="X27" s="40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8"/>
      <c r="AQ27" s="34"/>
      <c r="AR27" s="34"/>
    </row>
    <row r="28" spans="1:44" ht="15.75" thickBot="1">
      <c r="A28" s="30"/>
      <c r="B28" s="40"/>
      <c r="D28" s="44"/>
      <c r="E28" s="44"/>
      <c r="F28" s="44"/>
      <c r="G28" s="44"/>
      <c r="H28" s="44"/>
      <c r="I28" s="44"/>
      <c r="J28" s="955" t="s">
        <v>75</v>
      </c>
      <c r="K28" s="956"/>
      <c r="L28" s="956"/>
      <c r="M28" s="957"/>
      <c r="N28" s="44"/>
      <c r="O28" s="44"/>
      <c r="P28" s="63"/>
      <c r="Q28" s="44"/>
      <c r="R28" s="44"/>
      <c r="S28" s="44"/>
      <c r="T28" s="48"/>
      <c r="W28" s="30"/>
      <c r="X28" s="40"/>
      <c r="Z28" s="44"/>
      <c r="AA28" s="44"/>
      <c r="AB28" s="44"/>
      <c r="AC28" s="44"/>
      <c r="AD28" s="44"/>
      <c r="AE28" s="44"/>
      <c r="AF28" s="955" t="s">
        <v>75</v>
      </c>
      <c r="AG28" s="956"/>
      <c r="AH28" s="956"/>
      <c r="AI28" s="957"/>
      <c r="AJ28" s="44"/>
      <c r="AK28" s="44"/>
      <c r="AL28" s="63"/>
      <c r="AM28" s="44"/>
      <c r="AN28" s="44"/>
      <c r="AO28" s="44"/>
      <c r="AP28" s="48"/>
    </row>
    <row r="29" spans="1:44">
      <c r="A29" s="30"/>
      <c r="B29" s="40"/>
      <c r="D29" s="928" t="s">
        <v>0</v>
      </c>
      <c r="E29" s="929"/>
      <c r="F29" s="930"/>
      <c r="G29" s="44"/>
      <c r="H29" s="1037" t="str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OFFICE</v>
      </c>
      <c r="I29" s="1038"/>
      <c r="J29" s="1038"/>
      <c r="K29" s="1038"/>
      <c r="L29" s="1038"/>
      <c r="M29" s="1038"/>
      <c r="N29" s="1039"/>
      <c r="O29" s="44"/>
      <c r="P29" s="44"/>
      <c r="Q29" s="44"/>
      <c r="R29" s="44"/>
      <c r="S29" s="44"/>
      <c r="T29" s="48"/>
      <c r="W29" s="30"/>
      <c r="X29" s="40"/>
      <c r="Z29" s="928" t="s">
        <v>0</v>
      </c>
      <c r="AA29" s="929"/>
      <c r="AB29" s="930"/>
      <c r="AC29" s="44"/>
      <c r="AD29" s="1037" t="str">
        <f>IF(AB3+AC3=0,"OFFICE",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)</f>
        <v>OFFICE</v>
      </c>
      <c r="AE29" s="1038"/>
      <c r="AF29" s="1038"/>
      <c r="AG29" s="1038"/>
      <c r="AH29" s="1038"/>
      <c r="AI29" s="1038"/>
      <c r="AJ29" s="1039"/>
      <c r="AK29" s="44"/>
      <c r="AL29" s="44"/>
      <c r="AN29" s="44"/>
      <c r="AO29" s="44"/>
      <c r="AP29" s="48"/>
    </row>
    <row r="30" spans="1:44">
      <c r="A30" s="30"/>
      <c r="B30" s="40"/>
      <c r="D30" s="925" t="s">
        <v>1</v>
      </c>
      <c r="E30" s="926"/>
      <c r="F30" s="927"/>
      <c r="G30" s="44"/>
      <c r="H30" s="1040" t="str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OFFICE</v>
      </c>
      <c r="I30" s="1041"/>
      <c r="J30" s="1041"/>
      <c r="K30" s="1041"/>
      <c r="L30" s="1041"/>
      <c r="M30" s="1041"/>
      <c r="N30" s="1042"/>
      <c r="O30" s="44"/>
      <c r="P30" s="65"/>
      <c r="Q30" s="65"/>
      <c r="R30" s="65"/>
      <c r="S30" s="65"/>
      <c r="T30" s="48"/>
      <c r="W30" s="30"/>
      <c r="X30" s="40"/>
      <c r="Z30" s="925" t="s">
        <v>1</v>
      </c>
      <c r="AA30" s="926"/>
      <c r="AB30" s="927"/>
      <c r="AC30" s="44"/>
      <c r="AD30" s="1040" t="str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OFFICE</v>
      </c>
      <c r="AE30" s="1041"/>
      <c r="AF30" s="1041"/>
      <c r="AG30" s="1041"/>
      <c r="AH30" s="1041"/>
      <c r="AI30" s="1041"/>
      <c r="AJ30" s="1042"/>
      <c r="AK30" s="44"/>
      <c r="AL30" s="65"/>
      <c r="AM30" s="65"/>
      <c r="AN30" s="65"/>
      <c r="AO30" s="44"/>
      <c r="AP30" s="48"/>
    </row>
    <row r="31" spans="1:44">
      <c r="A31" s="30"/>
      <c r="B31" s="40"/>
      <c r="D31" s="925" t="s">
        <v>2</v>
      </c>
      <c r="E31" s="926"/>
      <c r="F31" s="927"/>
      <c r="G31" s="44"/>
      <c r="H31" s="1022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1023"/>
      <c r="J31" s="1023"/>
      <c r="K31" s="1023"/>
      <c r="L31" s="1023"/>
      <c r="M31" s="1023"/>
      <c r="N31" s="1024"/>
      <c r="O31" s="44"/>
      <c r="P31" s="44"/>
      <c r="Q31" s="44"/>
      <c r="R31" s="44"/>
      <c r="S31" s="44"/>
      <c r="T31" s="48"/>
      <c r="W31" s="30"/>
      <c r="X31" s="40"/>
      <c r="Z31" s="925" t="s">
        <v>2</v>
      </c>
      <c r="AA31" s="926"/>
      <c r="AB31" s="927"/>
      <c r="AC31" s="44"/>
      <c r="AD31" s="1034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1035"/>
      <c r="AF31" s="1035"/>
      <c r="AG31" s="1035"/>
      <c r="AH31" s="1035"/>
      <c r="AI31" s="1035"/>
      <c r="AJ31" s="1036"/>
      <c r="AK31" s="44"/>
      <c r="AL31" s="44"/>
      <c r="AM31" s="44"/>
      <c r="AN31" s="44"/>
      <c r="AO31" s="44"/>
      <c r="AP31" s="48"/>
    </row>
    <row r="32" spans="1:44">
      <c r="A32" s="30"/>
      <c r="B32" s="40"/>
      <c r="D32" s="925" t="s">
        <v>3</v>
      </c>
      <c r="E32" s="926"/>
      <c r="F32" s="927"/>
      <c r="G32" s="44"/>
      <c r="H32" s="1022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1023"/>
      <c r="J32" s="1023"/>
      <c r="K32" s="1023"/>
      <c r="L32" s="1023"/>
      <c r="M32" s="1023"/>
      <c r="N32" s="1024"/>
      <c r="O32" s="44"/>
      <c r="P32" s="44"/>
      <c r="Q32" s="44"/>
      <c r="R32" s="44"/>
      <c r="S32" s="44"/>
      <c r="T32" s="48"/>
      <c r="W32" s="30"/>
      <c r="X32" s="40"/>
      <c r="Z32" s="925" t="s">
        <v>3</v>
      </c>
      <c r="AA32" s="926"/>
      <c r="AB32" s="927"/>
      <c r="AC32" s="44"/>
      <c r="AD32" s="1022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1023"/>
      <c r="AF32" s="1023"/>
      <c r="AG32" s="1023"/>
      <c r="AH32" s="1023"/>
      <c r="AI32" s="1023"/>
      <c r="AJ32" s="1024"/>
      <c r="AK32" s="44"/>
      <c r="AL32" s="44"/>
      <c r="AM32" s="44"/>
      <c r="AN32" s="44"/>
      <c r="AO32" s="44"/>
      <c r="AP32" s="48"/>
    </row>
    <row r="33" spans="1:44" ht="15.75" thickBot="1">
      <c r="A33" s="30"/>
      <c r="B33" s="40"/>
      <c r="D33" s="931" t="s">
        <v>4</v>
      </c>
      <c r="E33" s="932"/>
      <c r="F33" s="933"/>
      <c r="G33" s="44"/>
      <c r="H33" s="1028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1029"/>
      <c r="J33" s="1029"/>
      <c r="K33" s="1029"/>
      <c r="L33" s="1029"/>
      <c r="M33" s="1029"/>
      <c r="N33" s="1030"/>
      <c r="O33" s="44"/>
      <c r="P33" s="44"/>
      <c r="Q33" s="44"/>
      <c r="R33" s="44"/>
      <c r="S33" s="44"/>
      <c r="T33" s="48"/>
      <c r="W33" s="30"/>
      <c r="X33" s="40"/>
      <c r="Z33" s="931" t="s">
        <v>4</v>
      </c>
      <c r="AA33" s="932"/>
      <c r="AB33" s="933"/>
      <c r="AC33" s="44"/>
      <c r="AD33" s="1028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1029"/>
      <c r="AF33" s="1029"/>
      <c r="AG33" s="1029"/>
      <c r="AH33" s="1029"/>
      <c r="AI33" s="1029"/>
      <c r="AJ33" s="1030"/>
      <c r="AK33" s="44"/>
      <c r="AL33" s="44"/>
      <c r="AM33" s="44"/>
      <c r="AN33" s="44"/>
      <c r="AO33" s="44"/>
      <c r="AP33" s="48"/>
    </row>
    <row r="34" spans="1:44">
      <c r="A34" s="30"/>
      <c r="B34" s="40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44"/>
      <c r="O34" s="44"/>
      <c r="P34" s="44"/>
      <c r="Q34" s="44"/>
      <c r="R34" s="44"/>
      <c r="S34" s="44"/>
      <c r="T34" s="48"/>
      <c r="U34" s="44"/>
      <c r="V34" s="44"/>
      <c r="W34" s="30"/>
      <c r="X34" s="40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44"/>
      <c r="AK34" s="44"/>
      <c r="AL34" s="44"/>
      <c r="AM34" s="44"/>
      <c r="AN34" s="44"/>
      <c r="AO34" s="44"/>
      <c r="AP34" s="48"/>
      <c r="AQ34" s="34"/>
      <c r="AR34" s="34"/>
    </row>
    <row r="35" spans="1:44" ht="15.75" thickBot="1">
      <c r="A35" s="30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68"/>
      <c r="P35" s="68"/>
      <c r="Q35" s="68"/>
      <c r="R35" s="68"/>
      <c r="S35" s="68"/>
      <c r="T35" s="69"/>
      <c r="U35" s="30"/>
      <c r="V35" s="30"/>
      <c r="W35" s="30"/>
      <c r="X35" s="66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9"/>
      <c r="AQ35" s="34"/>
      <c r="AR35" s="34"/>
    </row>
    <row r="36" spans="1:44" ht="15.75" thickBot="1"/>
    <row r="37" spans="1:44" ht="15.75" thickBot="1">
      <c r="M37" s="1004" t="s">
        <v>79</v>
      </c>
      <c r="N37" s="1005"/>
      <c r="O37" s="1006"/>
    </row>
    <row r="39" spans="1:4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AF9:AI9"/>
    <mergeCell ref="B8:B9"/>
    <mergeCell ref="C8:F8"/>
    <mergeCell ref="I8:I9"/>
    <mergeCell ref="J8:M8"/>
    <mergeCell ref="Q8:S8"/>
    <mergeCell ref="C9:F9"/>
    <mergeCell ref="J9:M9"/>
    <mergeCell ref="E20:E21"/>
    <mergeCell ref="F20:I20"/>
    <mergeCell ref="L20:L21"/>
    <mergeCell ref="M20:P20"/>
    <mergeCell ref="Y9:AB9"/>
    <mergeCell ref="AA20:AA21"/>
    <mergeCell ref="AB20:AE20"/>
    <mergeCell ref="Z32:AB32"/>
    <mergeCell ref="AD32:AJ32"/>
    <mergeCell ref="D33:F33"/>
    <mergeCell ref="H33:N33"/>
    <mergeCell ref="Z33:AB33"/>
    <mergeCell ref="AD33:AJ33"/>
    <mergeCell ref="AF28:AI28"/>
    <mergeCell ref="D29:F29"/>
    <mergeCell ref="H29:N29"/>
    <mergeCell ref="Z29:AB29"/>
    <mergeCell ref="AD29:AJ29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M37:O37"/>
    <mergeCell ref="I1:L1"/>
    <mergeCell ref="N1:S1"/>
    <mergeCell ref="B1:D1"/>
    <mergeCell ref="E1:G1"/>
    <mergeCell ref="B2:D2"/>
    <mergeCell ref="F2:G2"/>
    <mergeCell ref="I2:K2"/>
    <mergeCell ref="L2:T2"/>
    <mergeCell ref="J28:M28"/>
    <mergeCell ref="D32:F32"/>
    <mergeCell ref="H32:N32"/>
    <mergeCell ref="B14:B15"/>
    <mergeCell ref="C14:F14"/>
    <mergeCell ref="J14:M14"/>
    <mergeCell ref="P14:P15"/>
  </mergeCells>
  <conditionalFormatting sqref="H32">
    <cfRule type="expression" dxfId="246" priority="257">
      <formula>$H$2=5</formula>
    </cfRule>
    <cfRule type="expression" dxfId="245" priority="258">
      <formula>$H$2=4</formula>
    </cfRule>
    <cfRule type="expression" dxfId="244" priority="259">
      <formula>$H$2=0</formula>
    </cfRule>
  </conditionalFormatting>
  <conditionalFormatting sqref="H29:N29">
    <cfRule type="expression" dxfId="243" priority="254">
      <formula>$H$2=0</formula>
    </cfRule>
    <cfRule type="expression" dxfId="242" priority="255" stopIfTrue="1">
      <formula>(OR(H2="1",H2="2",H2="3"))</formula>
    </cfRule>
  </conditionalFormatting>
  <conditionalFormatting sqref="H30:N30">
    <cfRule type="expression" dxfId="241" priority="253">
      <formula>(OR(H2="2",H2="3"))</formula>
    </cfRule>
  </conditionalFormatting>
  <conditionalFormatting sqref="H31:N31">
    <cfRule type="expression" dxfId="240" priority="252">
      <formula>(H2="3")</formula>
    </cfRule>
  </conditionalFormatting>
  <conditionalFormatting sqref="H32:N33 AD31:AJ33 AF25:AI25 C14:F15">
    <cfRule type="cellIs" dxfId="239" priority="251" operator="equal">
      <formula>0</formula>
    </cfRule>
  </conditionalFormatting>
  <conditionalFormatting sqref="AD32">
    <cfRule type="expression" dxfId="238" priority="241">
      <formula>$H$2=5</formula>
    </cfRule>
    <cfRule type="expression" dxfId="237" priority="242">
      <formula>$H$2=4</formula>
    </cfRule>
    <cfRule type="expression" dxfId="236" priority="243" stopIfTrue="1">
      <formula>$AA$2=0</formula>
    </cfRule>
  </conditionalFormatting>
  <conditionalFormatting sqref="H33 AD33">
    <cfRule type="expression" dxfId="235" priority="282">
      <formula>$AF$2=5</formula>
    </cfRule>
  </conditionalFormatting>
  <conditionalFormatting sqref="AD33">
    <cfRule type="expression" dxfId="234" priority="281" stopIfTrue="1">
      <formula>$AA$2=0</formula>
    </cfRule>
  </conditionalFormatting>
  <conditionalFormatting sqref="AD30">
    <cfRule type="expression" dxfId="233" priority="267" stopIfTrue="1">
      <formula>$AA$2=0</formula>
    </cfRule>
    <cfRule type="expression" dxfId="232" priority="268">
      <formula>$AF$2=5</formula>
    </cfRule>
    <cfRule type="expression" dxfId="231" priority="269">
      <formula>$AF$2=4</formula>
    </cfRule>
    <cfRule type="expression" dxfId="230" priority="270">
      <formula>$AF$2=3</formula>
    </cfRule>
    <cfRule type="expression" dxfId="229" priority="271">
      <formula>$AF$2=2</formula>
    </cfRule>
  </conditionalFormatting>
  <conditionalFormatting sqref="AD31:AJ31">
    <cfRule type="expression" dxfId="228" priority="263" stopIfTrue="1">
      <formula>$AA$2=0</formula>
    </cfRule>
    <cfRule type="expression" dxfId="227" priority="264">
      <formula>$AF$2=5</formula>
    </cfRule>
    <cfRule type="expression" dxfId="226" priority="265">
      <formula>$AF$2=4</formula>
    </cfRule>
    <cfRule type="expression" dxfId="225" priority="266">
      <formula>$AF$2=3</formula>
    </cfRule>
  </conditionalFormatting>
  <conditionalFormatting sqref="AD32:AJ32">
    <cfRule type="expression" dxfId="224" priority="260">
      <formula>$AF$2=5</formula>
    </cfRule>
    <cfRule type="expression" dxfId="223" priority="261">
      <formula>$AA$2=0</formula>
    </cfRule>
    <cfRule type="expression" dxfId="222" priority="262">
      <formula>$AF$2=4</formula>
    </cfRule>
  </conditionalFormatting>
  <conditionalFormatting sqref="AD29:AJ29">
    <cfRule type="expression" dxfId="221" priority="256">
      <formula>$AF$2=1</formula>
    </cfRule>
  </conditionalFormatting>
  <conditionalFormatting sqref="AD29:AJ29">
    <cfRule type="expression" dxfId="220" priority="240" stopIfTrue="1">
      <formula>(OR(AF2="1",AF2="2",AF2="3"))</formula>
    </cfRule>
  </conditionalFormatting>
  <conditionalFormatting sqref="AD30:AJ30">
    <cfRule type="expression" dxfId="219" priority="238">
      <formula>(OR(AF2="2",AF2="3"))</formula>
    </cfRule>
  </conditionalFormatting>
  <conditionalFormatting sqref="AD31:AJ31">
    <cfRule type="expression" dxfId="218" priority="237">
      <formula>(AF2="3")</formula>
    </cfRule>
  </conditionalFormatting>
  <conditionalFormatting sqref="AD29">
    <cfRule type="expression" dxfId="217" priority="321">
      <formula>$AF$2=2</formula>
    </cfRule>
    <cfRule type="expression" dxfId="216" priority="322">
      <formula>$AF$2=5</formula>
    </cfRule>
    <cfRule type="expression" dxfId="215" priority="323">
      <formula>$AF$2=4</formula>
    </cfRule>
    <cfRule type="expression" dxfId="214" priority="324">
      <formula>$AF$2=3</formula>
    </cfRule>
    <cfRule type="expression" dxfId="213" priority="325">
      <formula>$H$2=0</formula>
    </cfRule>
  </conditionalFormatting>
  <conditionalFormatting sqref="AD29:AJ33">
    <cfRule type="expression" dxfId="212" priority="239">
      <formula>$AA$2=0</formula>
    </cfRule>
  </conditionalFormatting>
  <conditionalFormatting sqref="H33 AD33">
    <cfRule type="expression" dxfId="211" priority="220">
      <formula>$AD$2=5</formula>
    </cfRule>
  </conditionalFormatting>
  <conditionalFormatting sqref="AD33">
    <cfRule type="expression" dxfId="210" priority="219">
      <formula>$AD$2=0</formula>
    </cfRule>
  </conditionalFormatting>
  <conditionalFormatting sqref="AD29">
    <cfRule type="expression" dxfId="209" priority="211">
      <formula>$AD$2=2</formula>
    </cfRule>
    <cfRule type="expression" dxfId="208" priority="212">
      <formula>$AD$2=5</formula>
    </cfRule>
    <cfRule type="expression" dxfId="207" priority="213">
      <formula>$AD$2=4</formula>
    </cfRule>
    <cfRule type="expression" dxfId="206" priority="214">
      <formula>$AD$2=3</formula>
    </cfRule>
    <cfRule type="expression" dxfId="205" priority="215">
      <formula>$H$2=0</formula>
    </cfRule>
  </conditionalFormatting>
  <conditionalFormatting sqref="AD30">
    <cfRule type="expression" dxfId="204" priority="206">
      <formula>$AD$2=0</formula>
    </cfRule>
    <cfRule type="expression" dxfId="203" priority="207">
      <formula>$AD$2=5</formula>
    </cfRule>
    <cfRule type="expression" dxfId="202" priority="208">
      <formula>$AD$2=4</formula>
    </cfRule>
    <cfRule type="expression" dxfId="201" priority="209">
      <formula>$AD$2=3</formula>
    </cfRule>
    <cfRule type="expression" dxfId="200" priority="210">
      <formula>$AD$2=2</formula>
    </cfRule>
  </conditionalFormatting>
  <conditionalFormatting sqref="AD31">
    <cfRule type="expression" dxfId="199" priority="202">
      <formula>$AD$2=0</formula>
    </cfRule>
    <cfRule type="expression" dxfId="198" priority="203">
      <formula>$AD$2=5</formula>
    </cfRule>
    <cfRule type="expression" dxfId="197" priority="204">
      <formula>$AD$2=4</formula>
    </cfRule>
    <cfRule type="expression" dxfId="196" priority="205">
      <formula>$AD$2=3</formula>
    </cfRule>
  </conditionalFormatting>
  <conditionalFormatting sqref="AD32:AJ32">
    <cfRule type="cellIs" dxfId="195" priority="198" operator="equal">
      <formula>0</formula>
    </cfRule>
    <cfRule type="expression" dxfId="194" priority="199">
      <formula>$AD$2=5</formula>
    </cfRule>
    <cfRule type="expression" dxfId="193" priority="200">
      <formula>$AD$2=0</formula>
    </cfRule>
    <cfRule type="expression" dxfId="192" priority="201">
      <formula>$AD$2=4</formula>
    </cfRule>
  </conditionalFormatting>
  <conditionalFormatting sqref="H32 AD32">
    <cfRule type="expression" dxfId="191" priority="197">
      <formula>$H$2=0</formula>
    </cfRule>
  </conditionalFormatting>
  <conditionalFormatting sqref="AD29:AJ29">
    <cfRule type="expression" dxfId="190" priority="196">
      <formula>$AD$2=1</formula>
    </cfRule>
  </conditionalFormatting>
  <conditionalFormatting sqref="H29:N29">
    <cfRule type="expression" dxfId="189" priority="194">
      <formula>$H$2=0</formula>
    </cfRule>
    <cfRule type="expression" dxfId="188" priority="195" stopIfTrue="1">
      <formula>(OR(H2="1",H2="2",H2="3"))</formula>
    </cfRule>
  </conditionalFormatting>
  <conditionalFormatting sqref="H30:N30">
    <cfRule type="expression" dxfId="187" priority="193">
      <formula>(OR(H2="2",H2="3"))</formula>
    </cfRule>
  </conditionalFormatting>
  <conditionalFormatting sqref="H31:N31">
    <cfRule type="cellIs" dxfId="186" priority="191" operator="equal">
      <formula>0</formula>
    </cfRule>
    <cfRule type="expression" dxfId="185" priority="192">
      <formula>(H2="3")</formula>
    </cfRule>
  </conditionalFormatting>
  <conditionalFormatting sqref="AD29:AJ29">
    <cfRule type="expression" dxfId="184" priority="189">
      <formula>$H$2=0</formula>
    </cfRule>
    <cfRule type="expression" dxfId="183" priority="190" stopIfTrue="1">
      <formula>(OR(AD2="1",AD2="2",AD2="3"))</formula>
    </cfRule>
  </conditionalFormatting>
  <conditionalFormatting sqref="AD30:AJ30">
    <cfRule type="expression" dxfId="182" priority="188">
      <formula>(OR(AD2="2",AD2="3"))</formula>
    </cfRule>
  </conditionalFormatting>
  <conditionalFormatting sqref="AD31">
    <cfRule type="expression" dxfId="181" priority="187">
      <formula>(AD2="3")</formula>
    </cfRule>
  </conditionalFormatting>
  <conditionalFormatting sqref="C8:F9 AF8:AF9 AG8:AI8">
    <cfRule type="expression" dxfId="180" priority="61">
      <formula>(OR($E$2=3,$E$2=4,$E$2=5))</formula>
    </cfRule>
  </conditionalFormatting>
  <conditionalFormatting sqref="AB20:AE21">
    <cfRule type="cellIs" dxfId="179" priority="7" operator="equal">
      <formula>0</formula>
    </cfRule>
  </conditionalFormatting>
  <conditionalFormatting sqref="AI20:AL21">
    <cfRule type="cellIs" dxfId="178" priority="6" operator="equal">
      <formula>0</formula>
    </cfRule>
  </conditionalFormatting>
  <conditionalFormatting sqref="M20:P21">
    <cfRule type="cellIs" dxfId="177" priority="5" operator="equal">
      <formula>0</formula>
    </cfRule>
  </conditionalFormatting>
  <conditionalFormatting sqref="F20:I21">
    <cfRule type="cellIs" dxfId="176" priority="4" operator="equal">
      <formula>0</formula>
    </cfRule>
  </conditionalFormatting>
  <pageMargins left="0.7" right="0.7" top="0.75" bottom="0.75" header="0.3" footer="0.3"/>
  <pageSetup paperSize="9" scale="47" orientation="landscape" horizont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AR37"/>
  <sheetViews>
    <sheetView zoomScale="80" zoomScaleNormal="80" workbookViewId="0">
      <selection activeCell="AD45" sqref="AD45"/>
    </sheetView>
  </sheetViews>
  <sheetFormatPr baseColWidth="10" defaultRowHeight="15"/>
  <cols>
    <col min="1" max="1" width="4.28515625" customWidth="1"/>
    <col min="2" max="10" width="6.7109375" customWidth="1"/>
    <col min="11" max="11" width="5.7109375" customWidth="1"/>
    <col min="12" max="12" width="6.7109375" customWidth="1"/>
    <col min="13" max="13" width="8.7109375" customWidth="1"/>
    <col min="14" max="20" width="6.7109375" customWidth="1"/>
    <col min="21" max="22" width="6.7109375" hidden="1" customWidth="1"/>
    <col min="23" max="23" width="4.7109375" customWidth="1"/>
    <col min="24" max="32" width="6.7109375" customWidth="1"/>
    <col min="33" max="33" width="5.85546875" customWidth="1"/>
    <col min="34" max="34" width="6.7109375" customWidth="1"/>
    <col min="35" max="35" width="9" customWidth="1"/>
    <col min="36" max="42" width="6.7109375" customWidth="1"/>
    <col min="43" max="43" width="7.85546875" hidden="1" customWidth="1"/>
    <col min="44" max="44" width="6.42578125" hidden="1" customWidth="1"/>
  </cols>
  <sheetData>
    <row r="1" spans="1:44" ht="21.75" thickBot="1">
      <c r="A1" s="2"/>
      <c r="B1" s="1007" t="s">
        <v>70</v>
      </c>
      <c r="C1" s="1008"/>
      <c r="D1" s="1008"/>
      <c r="E1" s="1008">
        <f>Données!J1</f>
        <v>0</v>
      </c>
      <c r="F1" s="1008"/>
      <c r="G1" s="1008"/>
      <c r="H1" s="105" t="str">
        <f>Données!$D$3</f>
        <v>F_U18</v>
      </c>
      <c r="I1" s="1008">
        <f>Données!$N$3</f>
        <v>0</v>
      </c>
      <c r="J1" s="1008"/>
      <c r="K1" s="1008"/>
      <c r="L1" s="1008"/>
      <c r="M1" s="106">
        <f>Données!$G$3</f>
        <v>0</v>
      </c>
      <c r="N1" s="1007" t="s">
        <v>20</v>
      </c>
      <c r="O1" s="1008"/>
      <c r="P1" s="1008"/>
      <c r="Q1" s="1008"/>
      <c r="R1" s="1008"/>
      <c r="S1" s="1009"/>
      <c r="T1" s="11">
        <f>+Données!D17</f>
        <v>0</v>
      </c>
      <c r="W1" s="2"/>
      <c r="X1" s="1007" t="s">
        <v>70</v>
      </c>
      <c r="Y1" s="1008"/>
      <c r="Z1" s="1008"/>
      <c r="AA1" s="1008">
        <f>Données!J1</f>
        <v>0</v>
      </c>
      <c r="AB1" s="1008"/>
      <c r="AC1" s="1008"/>
      <c r="AD1" s="105" t="str">
        <f>Données!$D$3</f>
        <v>F_U18</v>
      </c>
      <c r="AE1" s="1008">
        <f>Données!$N$3</f>
        <v>0</v>
      </c>
      <c r="AF1" s="1008"/>
      <c r="AG1" s="1008"/>
      <c r="AH1" s="1008"/>
      <c r="AI1" s="106">
        <f>Données!$G$3</f>
        <v>0</v>
      </c>
      <c r="AJ1" s="1007" t="s">
        <v>20</v>
      </c>
      <c r="AK1" s="1008"/>
      <c r="AL1" s="1008"/>
      <c r="AM1" s="1008"/>
      <c r="AN1" s="1008"/>
      <c r="AO1" s="1009"/>
      <c r="AP1" s="27">
        <f>+Données!D17</f>
        <v>0</v>
      </c>
      <c r="AQ1" s="8"/>
    </row>
    <row r="2" spans="1:44" ht="21.75" thickBot="1">
      <c r="A2" s="2"/>
      <c r="B2" s="1007" t="s">
        <v>153</v>
      </c>
      <c r="C2" s="1008"/>
      <c r="D2" s="1008"/>
      <c r="E2" s="20">
        <f>Données!$U$17</f>
        <v>0</v>
      </c>
      <c r="F2" s="1008" t="s">
        <v>16</v>
      </c>
      <c r="G2" s="1008"/>
      <c r="H2" s="7">
        <f>Données!$U$18</f>
        <v>0</v>
      </c>
      <c r="I2" s="1008" t="s">
        <v>17</v>
      </c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9"/>
      <c r="W2" s="2"/>
      <c r="X2" s="1007" t="s">
        <v>154</v>
      </c>
      <c r="Y2" s="1008"/>
      <c r="Z2" s="1008"/>
      <c r="AA2" s="20">
        <f>Données!$V$17</f>
        <v>0</v>
      </c>
      <c r="AB2" s="1008" t="s">
        <v>16</v>
      </c>
      <c r="AC2" s="1008"/>
      <c r="AD2" s="12">
        <f>Données!$V$18</f>
        <v>0</v>
      </c>
      <c r="AE2" s="1008" t="s">
        <v>17</v>
      </c>
      <c r="AF2" s="1008"/>
      <c r="AG2" s="1008"/>
      <c r="AH2" s="1008"/>
      <c r="AI2" s="1008"/>
      <c r="AJ2" s="1008"/>
      <c r="AK2" s="1008"/>
      <c r="AL2" s="1008"/>
      <c r="AM2" s="1008"/>
      <c r="AN2" s="1008"/>
      <c r="AO2" s="1008"/>
      <c r="AP2" s="1009"/>
      <c r="AQ2" s="8"/>
    </row>
    <row r="3" spans="1:44" ht="15.75" thickBot="1">
      <c r="A3" s="30"/>
      <c r="B3" s="40"/>
      <c r="C3" s="41"/>
      <c r="D3" s="41"/>
      <c r="E3" s="41"/>
      <c r="F3" s="192" t="str">
        <f>CONCATENATE(E2,H2)</f>
        <v>00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  <c r="U3" s="41"/>
      <c r="V3" s="41"/>
      <c r="W3" s="30"/>
      <c r="X3" s="40"/>
      <c r="Y3" s="41"/>
      <c r="Z3" s="41"/>
      <c r="AA3" s="107"/>
      <c r="AB3" s="193" t="str">
        <f>CONCATENATE(AA2,AD2)</f>
        <v>00</v>
      </c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2"/>
      <c r="AQ3" s="34"/>
      <c r="AR3" s="34"/>
    </row>
    <row r="4" spans="1:44" ht="15.75" thickBot="1">
      <c r="A4" s="30"/>
      <c r="B4" s="40"/>
      <c r="C4" s="959" t="s">
        <v>81</v>
      </c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0"/>
      <c r="Q4" s="960"/>
      <c r="R4" s="960"/>
      <c r="S4" s="961"/>
      <c r="T4" s="958"/>
      <c r="U4" s="43"/>
      <c r="V4" s="43"/>
      <c r="W4" s="30"/>
      <c r="X4" s="40"/>
      <c r="Y4" s="959" t="s">
        <v>81</v>
      </c>
      <c r="Z4" s="960"/>
      <c r="AA4" s="960"/>
      <c r="AB4" s="960"/>
      <c r="AC4" s="960"/>
      <c r="AD4" s="960"/>
      <c r="AE4" s="960"/>
      <c r="AF4" s="960"/>
      <c r="AG4" s="960"/>
      <c r="AH4" s="960"/>
      <c r="AI4" s="960"/>
      <c r="AJ4" s="960"/>
      <c r="AK4" s="960"/>
      <c r="AL4" s="960"/>
      <c r="AM4" s="960"/>
      <c r="AN4" s="960"/>
      <c r="AO4" s="961"/>
      <c r="AP4" s="958"/>
      <c r="AQ4" s="34"/>
      <c r="AR4" s="34"/>
    </row>
    <row r="5" spans="1:44">
      <c r="A5" s="30"/>
      <c r="B5" s="40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958"/>
      <c r="U5" s="43"/>
      <c r="V5" s="43"/>
      <c r="W5" s="30"/>
      <c r="X5" s="40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958"/>
      <c r="AQ5" s="34"/>
      <c r="AR5" s="34"/>
    </row>
    <row r="6" spans="1:44" ht="15.75" thickBot="1">
      <c r="A6" s="30"/>
      <c r="B6" s="4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1"/>
      <c r="T6" s="42"/>
      <c r="U6" s="41"/>
      <c r="V6" s="41"/>
      <c r="W6" s="30"/>
      <c r="X6" s="40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5"/>
      <c r="AO6" s="41"/>
      <c r="AP6" s="42"/>
      <c r="AQ6" s="34"/>
      <c r="AR6" s="34"/>
    </row>
    <row r="7" spans="1:44" ht="15.75" thickBot="1">
      <c r="A7" s="30"/>
      <c r="B7" s="46" t="s">
        <v>6</v>
      </c>
      <c r="C7" s="47" t="s">
        <v>11</v>
      </c>
      <c r="D7" s="107"/>
      <c r="E7" s="44"/>
      <c r="F7" s="44"/>
      <c r="G7" s="41" t="s">
        <v>5</v>
      </c>
      <c r="H7" s="41"/>
      <c r="I7" s="41" t="s">
        <v>6</v>
      </c>
      <c r="J7" s="47" t="str">
        <f>IF(E2=2,"","C")</f>
        <v>C</v>
      </c>
      <c r="K7" s="107"/>
      <c r="L7" s="44"/>
      <c r="M7" s="44"/>
      <c r="N7" s="41" t="s">
        <v>5</v>
      </c>
      <c r="O7" s="41"/>
      <c r="P7" s="41"/>
      <c r="Q7" s="47" t="s">
        <v>52</v>
      </c>
      <c r="R7" s="44"/>
      <c r="S7" s="44" t="s">
        <v>78</v>
      </c>
      <c r="T7" s="48"/>
      <c r="U7" s="44"/>
      <c r="V7" s="44"/>
      <c r="W7" s="30"/>
      <c r="X7" s="46" t="s">
        <v>6</v>
      </c>
      <c r="Y7" s="47" t="s">
        <v>11</v>
      </c>
      <c r="Z7" s="107"/>
      <c r="AA7" s="44"/>
      <c r="AB7" s="44"/>
      <c r="AC7" s="41" t="s">
        <v>5</v>
      </c>
      <c r="AD7" s="41"/>
      <c r="AE7" s="41" t="s">
        <v>6</v>
      </c>
      <c r="AF7" s="47" t="str">
        <f>IF(AA2=2,"","C")</f>
        <v>C</v>
      </c>
      <c r="AG7" s="107"/>
      <c r="AH7" s="44"/>
      <c r="AI7" s="44"/>
      <c r="AJ7" s="41"/>
      <c r="AK7" s="41"/>
      <c r="AL7" s="41"/>
      <c r="AM7" s="47" t="s">
        <v>52</v>
      </c>
      <c r="AN7" s="44"/>
      <c r="AO7" s="44" t="s">
        <v>78</v>
      </c>
      <c r="AP7" s="48"/>
      <c r="AQ7" s="34"/>
      <c r="AR7" s="34"/>
    </row>
    <row r="8" spans="1:44" ht="15.75" thickBot="1">
      <c r="A8" s="195">
        <v>65</v>
      </c>
      <c r="B8" s="965"/>
      <c r="C8" s="970" t="str">
        <f>IF(ISNA(MATCH($A$8,Données!$AE$5:$AE$84,0)),"",INDEX(Données!$AC$5:$AC$82,MATCH($A$8,Données!$AE$5:$AE$84,0)))</f>
        <v/>
      </c>
      <c r="D8" s="979"/>
      <c r="E8" s="979"/>
      <c r="F8" s="980"/>
      <c r="G8" s="49">
        <v>1</v>
      </c>
      <c r="H8" s="196">
        <v>67</v>
      </c>
      <c r="I8" s="965"/>
      <c r="J8" s="1016" t="str">
        <f>IF(ISNA(MATCH($H$8,Données!$AE$5:$AE$84,0)),"",INDEX(Données!$AC$5:$AC$82,MATCH($H$8,Données!$AE$5:$AE$84,0)))</f>
        <v/>
      </c>
      <c r="K8" s="1017"/>
      <c r="L8" s="1017"/>
      <c r="M8" s="1018"/>
      <c r="N8" s="49">
        <v>1</v>
      </c>
      <c r="O8" s="41"/>
      <c r="P8" s="44"/>
      <c r="Q8" s="973" t="str">
        <f>IF(E2+E3=4,0,IF(E2+E3=3,0,IF(ISNA(MATCH($P$8,Données!$AE$5:$AE$85,0)),"",INDEX(Données!$AC$5:$AC$83,MATCH($P$8,Données!$AE$5:$AE$85,0)))))</f>
        <v/>
      </c>
      <c r="R8" s="974"/>
      <c r="S8" s="975"/>
      <c r="T8" s="50"/>
      <c r="U8" s="44"/>
      <c r="V8" s="44"/>
      <c r="W8" s="141">
        <v>69</v>
      </c>
      <c r="X8" s="965"/>
      <c r="Y8" s="970" t="str">
        <f>IF(ISNA(MATCH($W$8,Données!$AE$5:$AE$84,0)),"",INDEX(Données!$AC$5:$AC$82,MATCH($W$8,Données!$AE$5:$AE$84,0)))</f>
        <v/>
      </c>
      <c r="Z8" s="979"/>
      <c r="AA8" s="979"/>
      <c r="AB8" s="980"/>
      <c r="AC8" s="49">
        <v>1</v>
      </c>
      <c r="AD8" s="196">
        <v>71</v>
      </c>
      <c r="AE8" s="965"/>
      <c r="AF8" s="970" t="str">
        <f>IF(ISNA(MATCH($AD$8,Données!$AE$5:$AE$84,0)),"",INDEX(Données!$AC$5:$AC$82,MATCH($AD$8,Données!$AE$5:$AE$84,0)))</f>
        <v/>
      </c>
      <c r="AG8" s="979"/>
      <c r="AH8" s="979"/>
      <c r="AI8" s="980"/>
      <c r="AJ8" s="49">
        <v>1</v>
      </c>
      <c r="AK8" s="41"/>
      <c r="AL8" s="44"/>
      <c r="AM8" s="973" t="str">
        <f>IF($AA$2+$AA$3=4,0,IF($AA$2+$AA$3=3,0,IF(ISNA(MATCH($AL$8,Données!$AE$5:$AE$85,0)),"",INDEX(Données!$AC$5:$AC$83,MATCH($AL$8,Données!$AE$5:$AE$85,0)))))</f>
        <v/>
      </c>
      <c r="AN8" s="974"/>
      <c r="AO8" s="975"/>
      <c r="AP8" s="50"/>
      <c r="AQ8" s="34"/>
      <c r="AR8" s="34"/>
    </row>
    <row r="9" spans="1:44" ht="15.75" thickBot="1">
      <c r="A9" s="195">
        <v>66</v>
      </c>
      <c r="B9" s="966"/>
      <c r="C9" s="976" t="str">
        <f>IF(ISNA(MATCH($A$9,Données!$AE$5:$AE$84,0)),"",INDEX(Données!$AC$5:$AC$82,MATCH($A$9,Données!$AE$5:$AE$84,0)))</f>
        <v/>
      </c>
      <c r="D9" s="981"/>
      <c r="E9" s="981"/>
      <c r="F9" s="982"/>
      <c r="G9" s="104">
        <v>0</v>
      </c>
      <c r="H9" s="196">
        <v>68</v>
      </c>
      <c r="I9" s="966"/>
      <c r="J9" s="985" t="str">
        <f>IF(ISNA(MATCH($H$9,Données!$AE$5:$AE$84,0)),"0ffice",INDEX(Données!$AC$5:$AC$82,MATCH($H$9,Données!$AE$5:$AE$84,0)))</f>
        <v>0ffice</v>
      </c>
      <c r="K9" s="986"/>
      <c r="L9" s="986"/>
      <c r="M9" s="987"/>
      <c r="N9" s="49"/>
      <c r="O9" s="41"/>
      <c r="P9" s="44"/>
      <c r="R9" s="44"/>
      <c r="S9" s="44"/>
      <c r="T9" s="48"/>
      <c r="U9" s="44"/>
      <c r="V9" s="44"/>
      <c r="W9" s="141">
        <v>70</v>
      </c>
      <c r="X9" s="966"/>
      <c r="Y9" s="976" t="str">
        <f>IF(ISNA(MATCH($W$9,Données!$AE$5:$AE$84,0)),"",INDEX(Données!$AC$5:$AC$82,MATCH($W$9,Données!$AE$5:$AE$84,0)))</f>
        <v/>
      </c>
      <c r="Z9" s="981"/>
      <c r="AA9" s="981"/>
      <c r="AB9" s="982"/>
      <c r="AC9" s="104">
        <v>0</v>
      </c>
      <c r="AD9" s="196">
        <v>72</v>
      </c>
      <c r="AE9" s="966"/>
      <c r="AF9" s="1016" t="str">
        <f>IF(ISNA(MATCH($AD$9,Données!$AE$5:$AE$84,0)),"Office",INDEX(Données!$AC$5:$AC$82,MATCH($AD$9,Données!$AE$5:$AE$84,0)))</f>
        <v>Office</v>
      </c>
      <c r="AG9" s="1017"/>
      <c r="AH9" s="1017"/>
      <c r="AI9" s="1018"/>
      <c r="AJ9" s="49">
        <v>0</v>
      </c>
      <c r="AK9" s="41"/>
      <c r="AL9" s="44"/>
      <c r="AN9" s="44"/>
      <c r="AO9" s="44"/>
      <c r="AP9" s="48"/>
      <c r="AQ9" s="34"/>
      <c r="AR9" s="34"/>
    </row>
    <row r="10" spans="1:44" ht="15.75" thickBot="1">
      <c r="A10" s="30"/>
      <c r="B10" s="40"/>
      <c r="C10" s="83" t="s">
        <v>12</v>
      </c>
      <c r="D10" s="107"/>
      <c r="E10" s="44"/>
      <c r="F10" s="44"/>
      <c r="G10" s="44"/>
      <c r="H10" s="44"/>
      <c r="I10" s="44"/>
      <c r="J10" s="47" t="s">
        <v>51</v>
      </c>
      <c r="K10" s="107"/>
      <c r="L10" s="44"/>
      <c r="M10" s="44"/>
      <c r="N10" s="44"/>
      <c r="O10" s="44"/>
      <c r="P10" s="44"/>
      <c r="Q10" s="44"/>
      <c r="R10" s="44"/>
      <c r="S10" s="44"/>
      <c r="T10" s="48"/>
      <c r="U10" s="44"/>
      <c r="V10" s="44"/>
      <c r="W10" s="30"/>
      <c r="X10" s="40"/>
      <c r="Y10" s="83" t="s">
        <v>12</v>
      </c>
      <c r="Z10" s="107"/>
      <c r="AA10" s="44"/>
      <c r="AB10" s="44"/>
      <c r="AC10" s="44"/>
      <c r="AD10" s="44"/>
      <c r="AE10" s="44"/>
      <c r="AF10" s="47" t="s">
        <v>51</v>
      </c>
      <c r="AG10" s="107"/>
      <c r="AH10" s="44"/>
      <c r="AI10" s="44"/>
      <c r="AJ10" s="44"/>
      <c r="AK10" s="44"/>
      <c r="AL10" s="44"/>
      <c r="AM10" s="44"/>
      <c r="AN10" s="44"/>
      <c r="AO10" s="44"/>
      <c r="AP10" s="48"/>
      <c r="AQ10" s="34"/>
      <c r="AR10" s="34"/>
    </row>
    <row r="11" spans="1:44">
      <c r="A11" s="30"/>
      <c r="B11" s="4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8"/>
      <c r="U11" s="44"/>
      <c r="V11" s="44"/>
      <c r="W11" s="30"/>
      <c r="X11" s="40"/>
      <c r="Y11" s="45"/>
      <c r="Z11" s="45"/>
      <c r="AA11" s="45"/>
      <c r="AB11" s="45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8"/>
      <c r="AQ11" s="34"/>
      <c r="AR11" s="34"/>
    </row>
    <row r="12" spans="1:44">
      <c r="A12" s="30"/>
      <c r="B12" s="4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8"/>
      <c r="U12" s="44"/>
      <c r="V12" s="44"/>
      <c r="W12" s="30"/>
      <c r="X12" s="40"/>
      <c r="Y12" s="45"/>
      <c r="Z12" s="45"/>
      <c r="AA12" s="45"/>
      <c r="AB12" s="45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8"/>
      <c r="AQ12" s="34"/>
      <c r="AR12" s="34"/>
    </row>
    <row r="13" spans="1:44" ht="15.75" thickBot="1">
      <c r="A13" s="30"/>
      <c r="B13" s="46" t="s">
        <v>6</v>
      </c>
      <c r="C13" s="44"/>
      <c r="D13" s="70" t="s">
        <v>77</v>
      </c>
      <c r="E13" s="44"/>
      <c r="F13" s="44"/>
      <c r="G13" s="41" t="s">
        <v>5</v>
      </c>
      <c r="H13" s="41"/>
      <c r="I13" s="44"/>
      <c r="J13" s="44"/>
      <c r="K13" s="44"/>
      <c r="L13" s="44" t="s">
        <v>78</v>
      </c>
      <c r="M13" s="44"/>
      <c r="N13" s="44"/>
      <c r="O13" s="44"/>
      <c r="P13" s="41" t="s">
        <v>6</v>
      </c>
      <c r="Q13" s="44"/>
      <c r="R13" s="70" t="s">
        <v>76</v>
      </c>
      <c r="S13" s="44"/>
      <c r="T13" s="42" t="s">
        <v>5</v>
      </c>
      <c r="U13" s="52"/>
      <c r="V13" s="53"/>
      <c r="W13" s="30"/>
      <c r="X13" s="54" t="s">
        <v>6</v>
      </c>
      <c r="Y13" s="45"/>
      <c r="Z13" s="45" t="s">
        <v>77</v>
      </c>
      <c r="AA13" s="45"/>
      <c r="AB13" s="45"/>
      <c r="AC13" s="41" t="s">
        <v>5</v>
      </c>
      <c r="AD13" s="41"/>
      <c r="AE13" s="44"/>
      <c r="AF13" s="44"/>
      <c r="AG13" s="44"/>
      <c r="AH13" s="44" t="s">
        <v>78</v>
      </c>
      <c r="AI13" s="44"/>
      <c r="AJ13" s="44"/>
      <c r="AK13" s="44"/>
      <c r="AL13" s="41" t="s">
        <v>6</v>
      </c>
      <c r="AM13" s="44"/>
      <c r="AN13" s="44" t="s">
        <v>76</v>
      </c>
      <c r="AO13" s="44"/>
      <c r="AP13" s="42" t="s">
        <v>5</v>
      </c>
      <c r="AQ13" s="53"/>
      <c r="AR13" s="53"/>
    </row>
    <row r="14" spans="1:44" ht="15.75" thickBot="1">
      <c r="A14" s="30"/>
      <c r="B14" s="965"/>
      <c r="C14" s="970" t="str">
        <f>IF($G$8=$G$9,"résultat",IF($G$8&gt;$G$9,$C$9,$C$8))</f>
        <v/>
      </c>
      <c r="D14" s="971"/>
      <c r="E14" s="971"/>
      <c r="F14" s="972"/>
      <c r="G14" s="49">
        <v>1</v>
      </c>
      <c r="H14" s="41"/>
      <c r="I14" s="44"/>
      <c r="J14" s="994" t="str">
        <f>IF(ISTEXT($Q$8),IF(($G$9=$G$8),"résultat",IF(($N$9=$N$8),"résultat",IF(($U$14=2),$C$8,IF(($V$14=2),$C$9,IF(($U$15=2),$J$9,IF(($V$15=2),J8,0)))))))</f>
        <v/>
      </c>
      <c r="K14" s="995"/>
      <c r="L14" s="995"/>
      <c r="M14" s="996"/>
      <c r="N14" s="50"/>
      <c r="O14" s="44"/>
      <c r="P14" s="965"/>
      <c r="Q14" s="967" t="str">
        <f>IF($E$2+$E$3=5,$Q$8,IF($N$8=$N$9,"résultat",IF($N$8&gt;$N$9,$J$8,$J$9)))</f>
        <v/>
      </c>
      <c r="R14" s="968"/>
      <c r="S14" s="969"/>
      <c r="T14" s="49">
        <v>1</v>
      </c>
      <c r="U14" s="56">
        <f>IF(G8&gt;G9,1)+IF(N8&gt;N9,1)</f>
        <v>2</v>
      </c>
      <c r="V14" s="57">
        <f>IF(G9&gt;G8,1)+IF(N9&gt;N8,1)</f>
        <v>0</v>
      </c>
      <c r="W14" s="30"/>
      <c r="X14" s="965"/>
      <c r="Y14" s="1015" t="str">
        <f>IF($AC$8=$AC$9,"résultat",IF($AC$8&gt;$AC$9,$Y$9,$Y$8))</f>
        <v/>
      </c>
      <c r="Z14" s="971"/>
      <c r="AA14" s="971"/>
      <c r="AB14" s="972"/>
      <c r="AC14" s="49">
        <v>1</v>
      </c>
      <c r="AD14" s="41"/>
      <c r="AE14" s="44"/>
      <c r="AF14" s="997" t="str">
        <f>IF(ISTEXT($AM$8),IF(($AC$9=$AC$8),"résultat",IF(($AJ$9=$AJ$8),"résultat",IF(($AQ$14=2),$Y$8,IF(($AR$14=2),$Y$9,IF(($AQ$15=2),$AF$9,IF(($AR$15=2),$AF$8,0)))))))</f>
        <v/>
      </c>
      <c r="AG14" s="995"/>
      <c r="AH14" s="995"/>
      <c r="AI14" s="996"/>
      <c r="AJ14" s="55">
        <v>0</v>
      </c>
      <c r="AK14" s="44"/>
      <c r="AL14" s="965"/>
      <c r="AM14" s="967" t="str">
        <f>IF($AA$2+$AA$3=5,$AM$8,IF($AJ$8&gt;$AJ$9,$AF$8,$AF$9))</f>
        <v/>
      </c>
      <c r="AN14" s="968"/>
      <c r="AO14" s="969"/>
      <c r="AP14" s="49">
        <v>1</v>
      </c>
      <c r="AQ14" s="56">
        <f>IF(AC8&gt;AC9,1)+IF(AJ8&gt;AJ9,1)</f>
        <v>2</v>
      </c>
      <c r="AR14" s="57">
        <f>IF(AC9&gt;AC8,1)+IF(AJ9&gt;AJ8,1)</f>
        <v>0</v>
      </c>
    </row>
    <row r="15" spans="1:44" ht="15.75" thickBot="1">
      <c r="A15" s="30"/>
      <c r="B15" s="966"/>
      <c r="C15" s="962" t="str">
        <f>IF($N$8=$N$9,"résultat",IF($N$8&lt;$N$9,$J$8,$J$9))</f>
        <v>0ffice</v>
      </c>
      <c r="D15" s="963"/>
      <c r="E15" s="963"/>
      <c r="F15" s="964"/>
      <c r="G15" s="58">
        <v>0</v>
      </c>
      <c r="H15" s="41"/>
      <c r="I15" s="44"/>
      <c r="J15" s="59" t="str">
        <f>IF(ISTEXT(J14)," ",0)</f>
        <v xml:space="preserve"> </v>
      </c>
      <c r="K15" s="44"/>
      <c r="L15" s="44"/>
      <c r="M15" s="44"/>
      <c r="N15" s="44"/>
      <c r="O15" s="44"/>
      <c r="P15" s="966"/>
      <c r="Q15" s="96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963"/>
      <c r="S15" s="964"/>
      <c r="T15" s="104">
        <v>0</v>
      </c>
      <c r="U15" s="60">
        <f>IF(G8&gt;G9,1)+IF(N9&gt;N8,1)</f>
        <v>1</v>
      </c>
      <c r="V15" s="61">
        <f>IF(G9&gt;G8,1)+IF(N8&gt;N9,1)</f>
        <v>1</v>
      </c>
      <c r="W15" s="30"/>
      <c r="X15" s="966"/>
      <c r="Y15" s="962" t="str">
        <f>IF($AJ$8=$AJ$9,"résultat",IF($AJ$8&lt;$AJ$9,$AF$8,$AF$9))</f>
        <v>Office</v>
      </c>
      <c r="Z15" s="963"/>
      <c r="AA15" s="963"/>
      <c r="AB15" s="964"/>
      <c r="AC15" s="49">
        <v>0</v>
      </c>
      <c r="AD15" s="41"/>
      <c r="AE15" s="44"/>
      <c r="AF15" s="44"/>
      <c r="AG15" s="44"/>
      <c r="AH15" s="44"/>
      <c r="AI15" s="44"/>
      <c r="AJ15" s="44"/>
      <c r="AK15" s="44"/>
      <c r="AL15" s="966"/>
      <c r="AM15" s="96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963"/>
      <c r="AO15" s="964"/>
      <c r="AP15" s="104">
        <v>0</v>
      </c>
      <c r="AQ15" s="60">
        <f>IF(AC8&gt;AC9,1)+IF(AJ9&gt;AJ8,1)</f>
        <v>1</v>
      </c>
      <c r="AR15" s="61">
        <f>IF(AC9&gt;AC8,1)+IF(AJ8&gt;AJ9,1)</f>
        <v>1</v>
      </c>
    </row>
    <row r="16" spans="1:44">
      <c r="A16" s="30"/>
      <c r="B16" s="4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62"/>
      <c r="Q16" s="44"/>
      <c r="R16" s="44"/>
      <c r="S16" s="44"/>
      <c r="T16" s="48"/>
      <c r="U16" s="44"/>
      <c r="V16" s="44"/>
      <c r="W16" s="30"/>
      <c r="X16" s="40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8"/>
      <c r="AQ16" s="34"/>
      <c r="AR16" s="34"/>
    </row>
    <row r="17" spans="1:44">
      <c r="A17" s="30"/>
      <c r="B17" s="4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8"/>
      <c r="U17" s="44"/>
      <c r="V17" s="44"/>
      <c r="W17" s="30"/>
      <c r="X17" s="40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8"/>
      <c r="AQ17" s="34"/>
      <c r="AR17" s="34"/>
    </row>
    <row r="18" spans="1:44">
      <c r="A18" s="30"/>
      <c r="B18" s="40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6"/>
      <c r="T18" s="48"/>
      <c r="U18" s="44"/>
      <c r="V18" s="44"/>
      <c r="W18" s="30"/>
      <c r="X18" s="40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8"/>
      <c r="AQ18" s="34"/>
      <c r="AR18" s="34"/>
    </row>
    <row r="19" spans="1:44" ht="15.75" thickBot="1">
      <c r="A19" s="30"/>
      <c r="B19" s="40"/>
      <c r="C19" s="44"/>
      <c r="D19" s="44"/>
      <c r="E19" s="41" t="s">
        <v>6</v>
      </c>
      <c r="F19" s="44"/>
      <c r="G19" s="44"/>
      <c r="H19" s="44"/>
      <c r="I19" s="44"/>
      <c r="J19" s="41" t="s">
        <v>5</v>
      </c>
      <c r="K19" s="41"/>
      <c r="L19" s="41" t="s">
        <v>6</v>
      </c>
      <c r="M19" s="44"/>
      <c r="N19" s="44"/>
      <c r="O19" s="44"/>
      <c r="P19" s="44"/>
      <c r="Q19" s="41" t="s">
        <v>5</v>
      </c>
      <c r="R19" s="44"/>
      <c r="S19" s="44"/>
      <c r="T19" s="48"/>
      <c r="U19" s="63"/>
      <c r="V19" s="44"/>
      <c r="W19" s="30"/>
      <c r="X19" s="40"/>
      <c r="Y19" s="44"/>
      <c r="Z19" s="44"/>
      <c r="AA19" s="41" t="s">
        <v>6</v>
      </c>
      <c r="AB19" s="44"/>
      <c r="AC19" s="44"/>
      <c r="AD19" s="44"/>
      <c r="AE19" s="44"/>
      <c r="AF19" s="41" t="s">
        <v>5</v>
      </c>
      <c r="AG19" s="41"/>
      <c r="AH19" s="41" t="s">
        <v>6</v>
      </c>
      <c r="AI19" s="44"/>
      <c r="AJ19" s="44"/>
      <c r="AK19" s="44"/>
      <c r="AL19" s="44"/>
      <c r="AM19" s="41" t="s">
        <v>5</v>
      </c>
      <c r="AN19" s="44"/>
      <c r="AO19" s="44"/>
      <c r="AP19" s="48"/>
      <c r="AQ19" s="34"/>
      <c r="AR19" s="34"/>
    </row>
    <row r="20" spans="1:44" ht="15.75" thickBot="1">
      <c r="A20" s="30"/>
      <c r="B20" s="40"/>
      <c r="C20" s="44"/>
      <c r="D20" s="44"/>
      <c r="E20" s="965"/>
      <c r="F20" s="976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977"/>
      <c r="H20" s="977"/>
      <c r="I20" s="978"/>
      <c r="J20" s="49">
        <v>1</v>
      </c>
      <c r="K20" s="41"/>
      <c r="L20" s="965" t="s">
        <v>13</v>
      </c>
      <c r="M20" s="991" t="b">
        <f>IF($E$2+$E$3=5,$J$14)</f>
        <v>0</v>
      </c>
      <c r="N20" s="992"/>
      <c r="O20" s="992"/>
      <c r="P20" s="993"/>
      <c r="Q20" s="49">
        <v>1</v>
      </c>
      <c r="R20" s="44"/>
      <c r="S20" s="44"/>
      <c r="T20" s="48"/>
      <c r="U20" s="44"/>
      <c r="V20" s="44"/>
      <c r="W20" s="30"/>
      <c r="X20" s="40"/>
      <c r="Y20" s="44"/>
      <c r="Z20" s="44"/>
      <c r="AA20" s="965"/>
      <c r="AB20" s="976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977"/>
      <c r="AD20" s="977"/>
      <c r="AE20" s="978"/>
      <c r="AF20" s="49">
        <v>1</v>
      </c>
      <c r="AG20" s="41"/>
      <c r="AH20" s="965" t="s">
        <v>13</v>
      </c>
      <c r="AI20" s="991" t="b">
        <f>IF($AA$2+$AA$3=5,$AF$14)</f>
        <v>0</v>
      </c>
      <c r="AJ20" s="992"/>
      <c r="AK20" s="992"/>
      <c r="AL20" s="993"/>
      <c r="AM20" s="49">
        <v>1</v>
      </c>
      <c r="AN20" s="44"/>
      <c r="AO20" s="44"/>
      <c r="AP20" s="48"/>
      <c r="AQ20" s="34"/>
      <c r="AR20" s="34"/>
    </row>
    <row r="21" spans="1:44" ht="15.75" thickBot="1">
      <c r="A21" s="30"/>
      <c r="B21" s="40"/>
      <c r="C21" s="44"/>
      <c r="D21" s="44"/>
      <c r="E21" s="966"/>
      <c r="F21" s="976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981"/>
      <c r="H21" s="981"/>
      <c r="I21" s="982"/>
      <c r="J21" s="49">
        <v>0</v>
      </c>
      <c r="K21" s="41"/>
      <c r="L21" s="966"/>
      <c r="M21" s="976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981"/>
      <c r="O21" s="981"/>
      <c r="P21" s="982"/>
      <c r="Q21" s="49">
        <v>0</v>
      </c>
      <c r="R21" s="44"/>
      <c r="S21" s="63"/>
      <c r="T21" s="48"/>
      <c r="U21" s="44"/>
      <c r="V21" s="36"/>
      <c r="W21" s="30"/>
      <c r="X21" s="40"/>
      <c r="Y21" s="44"/>
      <c r="Z21" s="44"/>
      <c r="AA21" s="966"/>
      <c r="AB21" s="976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981"/>
      <c r="AD21" s="981"/>
      <c r="AE21" s="982"/>
      <c r="AF21" s="49">
        <v>0</v>
      </c>
      <c r="AG21" s="41"/>
      <c r="AH21" s="966"/>
      <c r="AI21" s="976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981"/>
      <c r="AK21" s="981"/>
      <c r="AL21" s="982"/>
      <c r="AM21" s="49">
        <v>0</v>
      </c>
      <c r="AN21" s="44"/>
      <c r="AO21" s="44"/>
      <c r="AP21" s="48"/>
      <c r="AQ21" s="34"/>
      <c r="AR21" s="34"/>
    </row>
    <row r="22" spans="1:44">
      <c r="A22" s="30"/>
      <c r="B22" s="40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8"/>
      <c r="U22" s="44"/>
      <c r="V22" s="44"/>
      <c r="W22" s="30"/>
      <c r="X22" s="40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8"/>
      <c r="AQ22" s="34"/>
      <c r="AR22" s="34"/>
    </row>
    <row r="23" spans="1:44">
      <c r="A23" s="30"/>
      <c r="B23" s="4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8"/>
      <c r="U23" s="44"/>
      <c r="V23" s="44"/>
      <c r="W23" s="30"/>
      <c r="X23" s="40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8"/>
      <c r="AQ23" s="34"/>
      <c r="AR23" s="34"/>
    </row>
    <row r="24" spans="1:44" ht="15.75" thickBot="1">
      <c r="A24" s="30"/>
      <c r="B24" s="40"/>
      <c r="C24" s="44"/>
      <c r="D24" s="44"/>
      <c r="E24" s="44"/>
      <c r="F24" s="44"/>
      <c r="G24" s="44"/>
      <c r="H24" s="44"/>
      <c r="I24" s="41" t="s">
        <v>6</v>
      </c>
      <c r="J24" s="44"/>
      <c r="K24" s="44"/>
      <c r="L24" s="44"/>
      <c r="M24" s="44"/>
      <c r="N24" s="41" t="s">
        <v>5</v>
      </c>
      <c r="O24" s="41"/>
      <c r="P24" s="64"/>
      <c r="Q24" s="44"/>
      <c r="R24" s="44"/>
      <c r="S24" s="44"/>
      <c r="T24" s="48"/>
      <c r="U24" s="44"/>
      <c r="V24" s="44"/>
      <c r="W24" s="30"/>
      <c r="X24" s="40"/>
      <c r="Y24" s="44"/>
      <c r="Z24" s="44"/>
      <c r="AA24" s="44"/>
      <c r="AB24" s="44"/>
      <c r="AC24" s="44"/>
      <c r="AD24" s="44"/>
      <c r="AE24" s="41" t="s">
        <v>6</v>
      </c>
      <c r="AF24" s="44"/>
      <c r="AG24" s="44"/>
      <c r="AH24" s="44"/>
      <c r="AI24" s="44"/>
      <c r="AJ24" s="41" t="s">
        <v>5</v>
      </c>
      <c r="AK24" s="41"/>
      <c r="AL24" s="64"/>
      <c r="AM24" s="44"/>
      <c r="AN24" s="44"/>
      <c r="AO24" s="44"/>
      <c r="AP24" s="48"/>
      <c r="AQ24" s="34"/>
      <c r="AR24" s="34"/>
    </row>
    <row r="25" spans="1:44" ht="15.75" thickBot="1">
      <c r="A25" s="30"/>
      <c r="B25" s="40"/>
      <c r="C25" s="44"/>
      <c r="D25" s="44"/>
      <c r="E25" s="44"/>
      <c r="F25" s="44"/>
      <c r="G25" s="44"/>
      <c r="H25" s="44"/>
      <c r="I25" s="965"/>
      <c r="J25" s="1001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002"/>
      <c r="L25" s="1002"/>
      <c r="M25" s="1003"/>
      <c r="N25" s="49">
        <v>1</v>
      </c>
      <c r="O25" s="41"/>
      <c r="P25" s="44"/>
      <c r="Q25" s="44"/>
      <c r="R25" s="44"/>
      <c r="S25" s="44"/>
      <c r="T25" s="48"/>
      <c r="U25" s="44"/>
      <c r="V25" s="44"/>
      <c r="W25" s="30"/>
      <c r="X25" s="40"/>
      <c r="Y25" s="44"/>
      <c r="Z25" s="44"/>
      <c r="AA25" s="44"/>
      <c r="AB25" s="44"/>
      <c r="AC25" s="44"/>
      <c r="AD25" s="44"/>
      <c r="AE25" s="965"/>
      <c r="AF25" s="1016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986"/>
      <c r="AH25" s="986"/>
      <c r="AI25" s="987"/>
      <c r="AJ25" s="49">
        <v>1</v>
      </c>
      <c r="AK25" s="41"/>
      <c r="AL25" s="44"/>
      <c r="AM25" s="44"/>
      <c r="AN25" s="44"/>
      <c r="AO25" s="44"/>
      <c r="AP25" s="48"/>
      <c r="AQ25" s="34"/>
      <c r="AR25" s="34"/>
    </row>
    <row r="26" spans="1:44" ht="15.75" thickBot="1">
      <c r="A26" s="30"/>
      <c r="B26" s="40"/>
      <c r="C26" s="44"/>
      <c r="D26" s="44"/>
      <c r="E26" s="44"/>
      <c r="F26" s="44"/>
      <c r="G26" s="44"/>
      <c r="H26" s="44"/>
      <c r="I26" s="966"/>
      <c r="J26" s="998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999"/>
      <c r="L26" s="999"/>
      <c r="M26" s="1000"/>
      <c r="N26" s="49">
        <v>0</v>
      </c>
      <c r="O26" s="41"/>
      <c r="P26" s="44"/>
      <c r="Q26" s="44"/>
      <c r="R26" s="44"/>
      <c r="S26" s="44"/>
      <c r="T26" s="48"/>
      <c r="U26" s="44"/>
      <c r="V26" s="44"/>
      <c r="W26" s="30"/>
      <c r="X26" s="40"/>
      <c r="Y26" s="44"/>
      <c r="Z26" s="44"/>
      <c r="AA26" s="44"/>
      <c r="AB26" s="44"/>
      <c r="AC26" s="44"/>
      <c r="AD26" s="44"/>
      <c r="AE26" s="966"/>
      <c r="AF26" s="998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999"/>
      <c r="AH26" s="999"/>
      <c r="AI26" s="1000"/>
      <c r="AJ26" s="49">
        <v>0</v>
      </c>
      <c r="AK26" s="41"/>
      <c r="AL26" s="44"/>
      <c r="AM26" s="44"/>
      <c r="AN26" s="44"/>
      <c r="AO26" s="44"/>
      <c r="AP26" s="48"/>
      <c r="AQ26" s="34"/>
      <c r="AR26" s="34"/>
    </row>
    <row r="27" spans="1:44" ht="15.75" thickBot="1">
      <c r="A27" s="30"/>
      <c r="B27" s="40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8"/>
      <c r="U27" s="44"/>
      <c r="V27" s="44"/>
      <c r="W27" s="30"/>
      <c r="X27" s="40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8"/>
      <c r="AQ27" s="34"/>
      <c r="AR27" s="34"/>
    </row>
    <row r="28" spans="1:44" ht="15.75" thickBot="1">
      <c r="A28" s="30"/>
      <c r="B28" s="40"/>
      <c r="D28" s="44"/>
      <c r="E28" s="44"/>
      <c r="F28" s="44"/>
      <c r="G28" s="44"/>
      <c r="H28" s="44"/>
      <c r="I28" s="44"/>
      <c r="J28" s="955" t="s">
        <v>75</v>
      </c>
      <c r="K28" s="956"/>
      <c r="L28" s="956"/>
      <c r="M28" s="957"/>
      <c r="N28" s="44"/>
      <c r="O28" s="44"/>
      <c r="P28" s="63"/>
      <c r="Q28" s="44"/>
      <c r="R28" s="44"/>
      <c r="S28" s="44"/>
      <c r="T28" s="48"/>
      <c r="W28" s="30"/>
      <c r="X28" s="40"/>
      <c r="Z28" s="44"/>
      <c r="AA28" s="44"/>
      <c r="AB28" s="44"/>
      <c r="AC28" s="44"/>
      <c r="AD28" s="44"/>
      <c r="AE28" s="44"/>
      <c r="AF28" s="955" t="s">
        <v>75</v>
      </c>
      <c r="AG28" s="956"/>
      <c r="AH28" s="956"/>
      <c r="AI28" s="957"/>
      <c r="AJ28" s="44"/>
      <c r="AK28" s="44"/>
      <c r="AL28" s="63"/>
      <c r="AM28" s="44"/>
      <c r="AN28" s="44"/>
      <c r="AO28" s="44"/>
      <c r="AP28" s="48"/>
    </row>
    <row r="29" spans="1:44">
      <c r="A29" s="30"/>
      <c r="B29" s="40"/>
      <c r="D29" s="928" t="s">
        <v>0</v>
      </c>
      <c r="E29" s="929"/>
      <c r="F29" s="930"/>
      <c r="G29" s="44"/>
      <c r="H29" s="1037" t="str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OFFICE</v>
      </c>
      <c r="I29" s="1038"/>
      <c r="J29" s="1038"/>
      <c r="K29" s="1038"/>
      <c r="L29" s="1038"/>
      <c r="M29" s="1038"/>
      <c r="N29" s="1039"/>
      <c r="O29" s="44"/>
      <c r="P29" s="44"/>
      <c r="Q29" s="44"/>
      <c r="R29" s="44"/>
      <c r="S29" s="44"/>
      <c r="T29" s="48"/>
      <c r="W29" s="30"/>
      <c r="X29" s="40"/>
      <c r="Z29" s="928" t="s">
        <v>0</v>
      </c>
      <c r="AA29" s="929"/>
      <c r="AB29" s="930"/>
      <c r="AC29" s="44"/>
      <c r="AD29" s="1037" t="str">
        <f>IF(AB3+AC3=0,"OFFICE",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)</f>
        <v>OFFICE</v>
      </c>
      <c r="AE29" s="1038"/>
      <c r="AF29" s="1038"/>
      <c r="AG29" s="1038"/>
      <c r="AH29" s="1038"/>
      <c r="AI29" s="1038"/>
      <c r="AJ29" s="1039"/>
      <c r="AK29" s="44"/>
      <c r="AL29" s="44"/>
      <c r="AN29" s="44"/>
      <c r="AO29" s="44"/>
      <c r="AP29" s="48"/>
    </row>
    <row r="30" spans="1:44">
      <c r="A30" s="30"/>
      <c r="B30" s="40"/>
      <c r="D30" s="925" t="s">
        <v>1</v>
      </c>
      <c r="E30" s="926"/>
      <c r="F30" s="927"/>
      <c r="G30" s="44"/>
      <c r="H30" s="1040" t="str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OFFICE</v>
      </c>
      <c r="I30" s="1041"/>
      <c r="J30" s="1041"/>
      <c r="K30" s="1041"/>
      <c r="L30" s="1041"/>
      <c r="M30" s="1041"/>
      <c r="N30" s="1042"/>
      <c r="O30" s="44"/>
      <c r="P30" s="65"/>
      <c r="Q30" s="65"/>
      <c r="R30" s="65"/>
      <c r="S30" s="65"/>
      <c r="T30" s="48"/>
      <c r="W30" s="30"/>
      <c r="X30" s="40"/>
      <c r="Z30" s="925" t="s">
        <v>1</v>
      </c>
      <c r="AA30" s="926"/>
      <c r="AB30" s="927"/>
      <c r="AC30" s="44"/>
      <c r="AD30" s="1040" t="str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OFFICE</v>
      </c>
      <c r="AE30" s="1041"/>
      <c r="AF30" s="1041"/>
      <c r="AG30" s="1041"/>
      <c r="AH30" s="1041"/>
      <c r="AI30" s="1041"/>
      <c r="AJ30" s="1042"/>
      <c r="AK30" s="44"/>
      <c r="AL30" s="65"/>
      <c r="AM30" s="65"/>
      <c r="AN30" s="65"/>
      <c r="AO30" s="44"/>
      <c r="AP30" s="48"/>
    </row>
    <row r="31" spans="1:44">
      <c r="A31" s="30"/>
      <c r="B31" s="40"/>
      <c r="D31" s="925" t="s">
        <v>2</v>
      </c>
      <c r="E31" s="926"/>
      <c r="F31" s="927"/>
      <c r="G31" s="44"/>
      <c r="H31" s="1022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1023"/>
      <c r="J31" s="1023"/>
      <c r="K31" s="1023"/>
      <c r="L31" s="1023"/>
      <c r="M31" s="1023"/>
      <c r="N31" s="1024"/>
      <c r="O31" s="44"/>
      <c r="P31" s="44"/>
      <c r="Q31" s="44"/>
      <c r="R31" s="44"/>
      <c r="S31" s="44"/>
      <c r="T31" s="48"/>
      <c r="W31" s="30"/>
      <c r="X31" s="40"/>
      <c r="Z31" s="925" t="s">
        <v>2</v>
      </c>
      <c r="AA31" s="926"/>
      <c r="AB31" s="927"/>
      <c r="AC31" s="44"/>
      <c r="AD31" s="1034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1035"/>
      <c r="AF31" s="1035"/>
      <c r="AG31" s="1035"/>
      <c r="AH31" s="1035"/>
      <c r="AI31" s="1035"/>
      <c r="AJ31" s="1036"/>
      <c r="AK31" s="44"/>
      <c r="AL31" s="44"/>
      <c r="AM31" s="44"/>
      <c r="AN31" s="44"/>
      <c r="AO31" s="44"/>
      <c r="AP31" s="48"/>
    </row>
    <row r="32" spans="1:44">
      <c r="A32" s="30"/>
      <c r="B32" s="40"/>
      <c r="D32" s="925" t="s">
        <v>3</v>
      </c>
      <c r="E32" s="926"/>
      <c r="F32" s="927"/>
      <c r="G32" s="44"/>
      <c r="H32" s="1022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1023"/>
      <c r="J32" s="1023"/>
      <c r="K32" s="1023"/>
      <c r="L32" s="1023"/>
      <c r="M32" s="1023"/>
      <c r="N32" s="1024"/>
      <c r="O32" s="44"/>
      <c r="P32" s="44"/>
      <c r="Q32" s="44"/>
      <c r="R32" s="44"/>
      <c r="S32" s="44"/>
      <c r="T32" s="48"/>
      <c r="W32" s="30"/>
      <c r="X32" s="40"/>
      <c r="Z32" s="925" t="s">
        <v>3</v>
      </c>
      <c r="AA32" s="926"/>
      <c r="AB32" s="927"/>
      <c r="AC32" s="44"/>
      <c r="AD32" s="1022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1023"/>
      <c r="AF32" s="1023"/>
      <c r="AG32" s="1023"/>
      <c r="AH32" s="1023"/>
      <c r="AI32" s="1023"/>
      <c r="AJ32" s="1024"/>
      <c r="AK32" s="44"/>
      <c r="AL32" s="44"/>
      <c r="AM32" s="44"/>
      <c r="AN32" s="44"/>
      <c r="AO32" s="44"/>
      <c r="AP32" s="48"/>
    </row>
    <row r="33" spans="1:44" ht="15.75" thickBot="1">
      <c r="A33" s="30"/>
      <c r="B33" s="40"/>
      <c r="D33" s="931" t="s">
        <v>4</v>
      </c>
      <c r="E33" s="932"/>
      <c r="F33" s="933"/>
      <c r="G33" s="44"/>
      <c r="H33" s="1028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1029"/>
      <c r="J33" s="1029"/>
      <c r="K33" s="1029"/>
      <c r="L33" s="1029"/>
      <c r="M33" s="1029"/>
      <c r="N33" s="1030"/>
      <c r="O33" s="44"/>
      <c r="P33" s="44"/>
      <c r="Q33" s="44"/>
      <c r="R33" s="44"/>
      <c r="S33" s="44"/>
      <c r="T33" s="48"/>
      <c r="W33" s="30"/>
      <c r="X33" s="40"/>
      <c r="Z33" s="931" t="s">
        <v>4</v>
      </c>
      <c r="AA33" s="932"/>
      <c r="AB33" s="933"/>
      <c r="AC33" s="44"/>
      <c r="AD33" s="1028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1029"/>
      <c r="AF33" s="1029"/>
      <c r="AG33" s="1029"/>
      <c r="AH33" s="1029"/>
      <c r="AI33" s="1029"/>
      <c r="AJ33" s="1030"/>
      <c r="AK33" s="44"/>
      <c r="AL33" s="44"/>
      <c r="AM33" s="44"/>
      <c r="AN33" s="44"/>
      <c r="AO33" s="44"/>
      <c r="AP33" s="48"/>
    </row>
    <row r="34" spans="1:44">
      <c r="A34" s="30"/>
      <c r="B34" s="40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44"/>
      <c r="O34" s="44"/>
      <c r="P34" s="44"/>
      <c r="Q34" s="44"/>
      <c r="R34" s="44"/>
      <c r="S34" s="44"/>
      <c r="T34" s="48"/>
      <c r="U34" s="44"/>
      <c r="V34" s="44"/>
      <c r="W34" s="30"/>
      <c r="X34" s="40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44"/>
      <c r="AK34" s="44"/>
      <c r="AL34" s="44"/>
      <c r="AM34" s="44"/>
      <c r="AN34" s="44"/>
      <c r="AO34" s="44"/>
      <c r="AP34" s="48"/>
      <c r="AQ34" s="34"/>
      <c r="AR34" s="34"/>
    </row>
    <row r="35" spans="1:44" ht="15.75" thickBot="1">
      <c r="A35" s="30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68"/>
      <c r="P35" s="68"/>
      <c r="Q35" s="68"/>
      <c r="R35" s="68"/>
      <c r="S35" s="68"/>
      <c r="T35" s="69"/>
      <c r="U35" s="30"/>
      <c r="V35" s="30"/>
      <c r="W35" s="30"/>
      <c r="X35" s="66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9"/>
      <c r="AQ35" s="34"/>
      <c r="AR35" s="34"/>
    </row>
    <row r="36" spans="1:44" ht="15.75" thickBot="1"/>
    <row r="37" spans="1:44" ht="15.75" thickBot="1">
      <c r="M37" s="1004" t="s">
        <v>79</v>
      </c>
      <c r="N37" s="1005"/>
      <c r="O37" s="1006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D32:F32"/>
    <mergeCell ref="H32:N32"/>
    <mergeCell ref="Z32:AB32"/>
    <mergeCell ref="AD32:AJ32"/>
    <mergeCell ref="D33:F33"/>
    <mergeCell ref="H33:N33"/>
    <mergeCell ref="Z33:AB33"/>
    <mergeCell ref="AD33:AJ33"/>
    <mergeCell ref="D30:F30"/>
    <mergeCell ref="H30:N30"/>
    <mergeCell ref="Z30:AB30"/>
    <mergeCell ref="AD30:AJ30"/>
    <mergeCell ref="D31:F31"/>
    <mergeCell ref="H31:N31"/>
    <mergeCell ref="Z31:AB31"/>
    <mergeCell ref="AD31:AJ31"/>
    <mergeCell ref="J28:M28"/>
    <mergeCell ref="AF28:AI28"/>
    <mergeCell ref="D29:F29"/>
    <mergeCell ref="H29:N29"/>
    <mergeCell ref="Z29:AB29"/>
    <mergeCell ref="AD29:AJ29"/>
    <mergeCell ref="I25:I26"/>
    <mergeCell ref="J25:M25"/>
    <mergeCell ref="AE25:AE26"/>
    <mergeCell ref="AF25:AI25"/>
    <mergeCell ref="J26:M26"/>
    <mergeCell ref="AF26:AI26"/>
    <mergeCell ref="AH20:AH21"/>
    <mergeCell ref="AI20:AL20"/>
    <mergeCell ref="F21:I21"/>
    <mergeCell ref="M21:P21"/>
    <mergeCell ref="AB21:AE21"/>
    <mergeCell ref="AI21:AL21"/>
    <mergeCell ref="AB20:AE20"/>
    <mergeCell ref="E20:E21"/>
    <mergeCell ref="F20:I20"/>
    <mergeCell ref="L20:L21"/>
    <mergeCell ref="M20:P20"/>
    <mergeCell ref="AA20:AA21"/>
    <mergeCell ref="AL14:AL15"/>
    <mergeCell ref="AM14:AO14"/>
    <mergeCell ref="C15:F15"/>
    <mergeCell ref="Q15:S15"/>
    <mergeCell ref="Y15:AB15"/>
    <mergeCell ref="AM15:AO15"/>
    <mergeCell ref="X14:X15"/>
    <mergeCell ref="Y9:AB9"/>
    <mergeCell ref="AF9:AI9"/>
    <mergeCell ref="B14:B15"/>
    <mergeCell ref="C14:F14"/>
    <mergeCell ref="J14:M14"/>
    <mergeCell ref="P14:P15"/>
    <mergeCell ref="Q14:S14"/>
    <mergeCell ref="Y14:AB14"/>
    <mergeCell ref="AF14:AI14"/>
    <mergeCell ref="C4:S4"/>
    <mergeCell ref="T4:T5"/>
    <mergeCell ref="Y4:AO4"/>
    <mergeCell ref="AP4:AP5"/>
    <mergeCell ref="B8:B9"/>
    <mergeCell ref="C8:F8"/>
    <mergeCell ref="I8:I9"/>
    <mergeCell ref="J8:M8"/>
    <mergeCell ref="Q8:S8"/>
    <mergeCell ref="X8:X9"/>
    <mergeCell ref="Y8:AB8"/>
    <mergeCell ref="AE8:AE9"/>
    <mergeCell ref="AF8:AI8"/>
    <mergeCell ref="AM8:AO8"/>
    <mergeCell ref="C9:F9"/>
    <mergeCell ref="J9:M9"/>
    <mergeCell ref="AE1:AH1"/>
    <mergeCell ref="AJ1:AO1"/>
    <mergeCell ref="B2:D2"/>
    <mergeCell ref="F2:G2"/>
    <mergeCell ref="I2:K2"/>
    <mergeCell ref="L2:T2"/>
    <mergeCell ref="X2:Z2"/>
    <mergeCell ref="AB2:AC2"/>
    <mergeCell ref="AE2:AG2"/>
    <mergeCell ref="AH2:AP2"/>
    <mergeCell ref="B1:D1"/>
    <mergeCell ref="E1:G1"/>
    <mergeCell ref="I1:L1"/>
    <mergeCell ref="N1:S1"/>
    <mergeCell ref="X1:Z1"/>
    <mergeCell ref="AA1:AC1"/>
  </mergeCells>
  <conditionalFormatting sqref="H32">
    <cfRule type="expression" dxfId="175" priority="89">
      <formula>$H$2=5</formula>
    </cfRule>
    <cfRule type="expression" dxfId="174" priority="90">
      <formula>$H$2=4</formula>
    </cfRule>
    <cfRule type="expression" dxfId="173" priority="91">
      <formula>$H$2=0</formula>
    </cfRule>
  </conditionalFormatting>
  <conditionalFormatting sqref="H29:N29">
    <cfRule type="expression" dxfId="172" priority="87">
      <formula>$H$2=0</formula>
    </cfRule>
    <cfRule type="expression" dxfId="171" priority="88" stopIfTrue="1">
      <formula>(OR(H2="1",H2="2",H2="3"))</formula>
    </cfRule>
  </conditionalFormatting>
  <conditionalFormatting sqref="H30:N30">
    <cfRule type="expression" dxfId="170" priority="86">
      <formula>(OR(H2="2",H2="3"))</formula>
    </cfRule>
  </conditionalFormatting>
  <conditionalFormatting sqref="H31:N31">
    <cfRule type="expression" dxfId="169" priority="85">
      <formula>(H2="3")</formula>
    </cfRule>
  </conditionalFormatting>
  <conditionalFormatting sqref="AD32">
    <cfRule type="expression" dxfId="168" priority="80">
      <formula>$H$2=5</formula>
    </cfRule>
    <cfRule type="expression" dxfId="167" priority="81">
      <formula>$H$2=4</formula>
    </cfRule>
    <cfRule type="expression" dxfId="166" priority="82" stopIfTrue="1">
      <formula>$AA$2=0</formula>
    </cfRule>
  </conditionalFormatting>
  <conditionalFormatting sqref="H33 AD33">
    <cfRule type="expression" dxfId="165" priority="77">
      <formula>$AF$2=5</formula>
    </cfRule>
  </conditionalFormatting>
  <conditionalFormatting sqref="AD33">
    <cfRule type="expression" dxfId="164" priority="76" stopIfTrue="1">
      <formula>$AA$2=0</formula>
    </cfRule>
  </conditionalFormatting>
  <conditionalFormatting sqref="AD30">
    <cfRule type="expression" dxfId="163" priority="71" stopIfTrue="1">
      <formula>$AA$2=0</formula>
    </cfRule>
    <cfRule type="expression" dxfId="162" priority="72">
      <formula>$AF$2=5</formula>
    </cfRule>
    <cfRule type="expression" dxfId="161" priority="73">
      <formula>$AF$2=4</formula>
    </cfRule>
    <cfRule type="expression" dxfId="160" priority="74">
      <formula>$AF$2=3</formula>
    </cfRule>
    <cfRule type="expression" dxfId="159" priority="75">
      <formula>$AF$2=2</formula>
    </cfRule>
  </conditionalFormatting>
  <conditionalFormatting sqref="AD31:AJ31">
    <cfRule type="expression" dxfId="158" priority="67" stopIfTrue="1">
      <formula>$AA$2=0</formula>
    </cfRule>
    <cfRule type="expression" dxfId="157" priority="68">
      <formula>$AF$2=5</formula>
    </cfRule>
    <cfRule type="expression" dxfId="156" priority="69">
      <formula>$AF$2=4</formula>
    </cfRule>
    <cfRule type="expression" dxfId="155" priority="70">
      <formula>$AF$2=3</formula>
    </cfRule>
  </conditionalFormatting>
  <conditionalFormatting sqref="AD32:AJ32">
    <cfRule type="expression" dxfId="154" priority="64">
      <formula>$AF$2=5</formula>
    </cfRule>
    <cfRule type="expression" dxfId="153" priority="65">
      <formula>$AA$2=0</formula>
    </cfRule>
    <cfRule type="expression" dxfId="152" priority="66">
      <formula>$AF$2=4</formula>
    </cfRule>
  </conditionalFormatting>
  <conditionalFormatting sqref="AD29:AJ29">
    <cfRule type="expression" dxfId="151" priority="63">
      <formula>$AF$2=1</formula>
    </cfRule>
  </conditionalFormatting>
  <conditionalFormatting sqref="AD29:AJ29">
    <cfRule type="expression" dxfId="150" priority="62" stopIfTrue="1">
      <formula>(OR(AF2="1",AF2="2",AF2="3"))</formula>
    </cfRule>
  </conditionalFormatting>
  <conditionalFormatting sqref="AD30:AJ30">
    <cfRule type="expression" dxfId="149" priority="61">
      <formula>(OR(AF2="2",AF2="3"))</formula>
    </cfRule>
  </conditionalFormatting>
  <conditionalFormatting sqref="AD31:AJ31">
    <cfRule type="expression" dxfId="148" priority="60">
      <formula>(AF2="3")</formula>
    </cfRule>
  </conditionalFormatting>
  <conditionalFormatting sqref="AD29">
    <cfRule type="expression" dxfId="147" priority="55">
      <formula>$AF$2=2</formula>
    </cfRule>
    <cfRule type="expression" dxfId="146" priority="56">
      <formula>$AF$2=5</formula>
    </cfRule>
    <cfRule type="expression" dxfId="145" priority="57">
      <formula>$AF$2=4</formula>
    </cfRule>
    <cfRule type="expression" dxfId="144" priority="58">
      <formula>$AF$2=3</formula>
    </cfRule>
    <cfRule type="expression" dxfId="143" priority="59">
      <formula>$H$2=0</formula>
    </cfRule>
  </conditionalFormatting>
  <conditionalFormatting sqref="AD29:AJ33">
    <cfRule type="expression" dxfId="142" priority="54">
      <formula>$AA$2=0</formula>
    </cfRule>
  </conditionalFormatting>
  <conditionalFormatting sqref="H33 AD33">
    <cfRule type="expression" dxfId="141" priority="53">
      <formula>$AD$2=5</formula>
    </cfRule>
  </conditionalFormatting>
  <conditionalFormatting sqref="AD33">
    <cfRule type="expression" dxfId="140" priority="52">
      <formula>$AD$2=0</formula>
    </cfRule>
  </conditionalFormatting>
  <conditionalFormatting sqref="AD29">
    <cfRule type="expression" dxfId="139" priority="47">
      <formula>$AD$2=2</formula>
    </cfRule>
    <cfRule type="expression" dxfId="138" priority="48">
      <formula>$AD$2=5</formula>
    </cfRule>
    <cfRule type="expression" dxfId="137" priority="49">
      <formula>$AD$2=4</formula>
    </cfRule>
    <cfRule type="expression" dxfId="136" priority="50">
      <formula>$AD$2=3</formula>
    </cfRule>
    <cfRule type="expression" dxfId="135" priority="51">
      <formula>$H$2=0</formula>
    </cfRule>
  </conditionalFormatting>
  <conditionalFormatting sqref="AD30">
    <cfRule type="expression" dxfId="134" priority="42">
      <formula>$AD$2=0</formula>
    </cfRule>
    <cfRule type="expression" dxfId="133" priority="43">
      <formula>$AD$2=5</formula>
    </cfRule>
    <cfRule type="expression" dxfId="132" priority="44">
      <formula>$AD$2=4</formula>
    </cfRule>
    <cfRule type="expression" dxfId="131" priority="45">
      <formula>$AD$2=3</formula>
    </cfRule>
    <cfRule type="expression" dxfId="130" priority="46">
      <formula>$AD$2=2</formula>
    </cfRule>
  </conditionalFormatting>
  <conditionalFormatting sqref="AD31">
    <cfRule type="expression" dxfId="129" priority="38">
      <formula>$AD$2=0</formula>
    </cfRule>
    <cfRule type="expression" dxfId="128" priority="39">
      <formula>$AD$2=5</formula>
    </cfRule>
    <cfRule type="expression" dxfId="127" priority="40">
      <formula>$AD$2=4</formula>
    </cfRule>
    <cfRule type="expression" dxfId="126" priority="41">
      <formula>$AD$2=3</formula>
    </cfRule>
  </conditionalFormatting>
  <conditionalFormatting sqref="AD32:AJ32">
    <cfRule type="cellIs" dxfId="125" priority="34" operator="equal">
      <formula>0</formula>
    </cfRule>
    <cfRule type="expression" dxfId="124" priority="35">
      <formula>$AD$2=5</formula>
    </cfRule>
    <cfRule type="expression" dxfId="123" priority="36">
      <formula>$AD$2=0</formula>
    </cfRule>
    <cfRule type="expression" dxfId="122" priority="37">
      <formula>$AD$2=4</formula>
    </cfRule>
  </conditionalFormatting>
  <conditionalFormatting sqref="H32 AD32">
    <cfRule type="expression" dxfId="121" priority="33">
      <formula>$H$2=0</formula>
    </cfRule>
  </conditionalFormatting>
  <conditionalFormatting sqref="AD29:AJ29">
    <cfRule type="expression" dxfId="120" priority="32">
      <formula>$AD$2=1</formula>
    </cfRule>
  </conditionalFormatting>
  <conditionalFormatting sqref="H29:N29">
    <cfRule type="expression" dxfId="119" priority="30">
      <formula>$H$2=0</formula>
    </cfRule>
    <cfRule type="expression" dxfId="118" priority="31" stopIfTrue="1">
      <formula>(OR(H2="1",H2="2",H2="3"))</formula>
    </cfRule>
  </conditionalFormatting>
  <conditionalFormatting sqref="H30:N30">
    <cfRule type="expression" dxfId="117" priority="29">
      <formula>(OR(H2="2",H2="3"))</formula>
    </cfRule>
  </conditionalFormatting>
  <conditionalFormatting sqref="H31:N31">
    <cfRule type="cellIs" dxfId="116" priority="27" operator="equal">
      <formula>0</formula>
    </cfRule>
    <cfRule type="expression" dxfId="115" priority="28">
      <formula>(H2="3")</formula>
    </cfRule>
  </conditionalFormatting>
  <conditionalFormatting sqref="AD29:AJ29">
    <cfRule type="expression" dxfId="114" priority="25">
      <formula>$H$2=0</formula>
    </cfRule>
    <cfRule type="expression" dxfId="113" priority="26" stopIfTrue="1">
      <formula>(OR(AD2="1",AD2="2",AD2="3"))</formula>
    </cfRule>
  </conditionalFormatting>
  <conditionalFormatting sqref="AD30:AJ30">
    <cfRule type="expression" dxfId="112" priority="24">
      <formula>(OR(AD2="2",AD2="3"))</formula>
    </cfRule>
  </conditionalFormatting>
  <conditionalFormatting sqref="AD31">
    <cfRule type="expression" dxfId="111" priority="23">
      <formula>(AD2="3")</formula>
    </cfRule>
  </conditionalFormatting>
  <conditionalFormatting sqref="C8:F9 AF8:AF9 AG8:AI8">
    <cfRule type="expression" dxfId="110" priority="16">
      <formula>(OR($E$2=3,$E$2=4,$E$2=5))</formula>
    </cfRule>
  </conditionalFormatting>
  <conditionalFormatting sqref="C15:F15">
    <cfRule type="cellIs" dxfId="109" priority="8" operator="equal">
      <formula>0</formula>
    </cfRule>
  </conditionalFormatting>
  <conditionalFormatting sqref="AB20:AE21">
    <cfRule type="cellIs" dxfId="108" priority="6" operator="equal">
      <formula>0</formula>
    </cfRule>
  </conditionalFormatting>
  <conditionalFormatting sqref="AI21:AL21">
    <cfRule type="cellIs" dxfId="107" priority="5" operator="equal">
      <formula>0</formula>
    </cfRule>
  </conditionalFormatting>
  <conditionalFormatting sqref="F20:I21">
    <cfRule type="cellIs" dxfId="106" priority="4" operator="equal">
      <formula>0</formula>
    </cfRule>
  </conditionalFormatting>
  <conditionalFormatting sqref="AF25:AI26">
    <cfRule type="cellIs" dxfId="105" priority="3" operator="equal">
      <formula>0</formula>
    </cfRule>
  </conditionalFormatting>
  <conditionalFormatting sqref="H32:N33">
    <cfRule type="cellIs" dxfId="104" priority="2" operator="equal">
      <formula>0</formula>
    </cfRule>
  </conditionalFormatting>
  <conditionalFormatting sqref="AD33:AJ33">
    <cfRule type="cellIs" dxfId="103" priority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66FF33"/>
  </sheetPr>
  <dimension ref="A1:AR37"/>
  <sheetViews>
    <sheetView topLeftCell="C1" zoomScale="80" zoomScaleNormal="80" workbookViewId="0">
      <selection activeCell="AA2" sqref="AA2"/>
    </sheetView>
  </sheetViews>
  <sheetFormatPr baseColWidth="10" defaultRowHeight="15"/>
  <cols>
    <col min="1" max="1" width="4.5703125" customWidth="1"/>
    <col min="2" max="7" width="6.7109375" customWidth="1"/>
    <col min="8" max="8" width="8.28515625" customWidth="1"/>
    <col min="9" max="20" width="6.7109375" customWidth="1"/>
    <col min="21" max="22" width="6.7109375" hidden="1" customWidth="1"/>
    <col min="23" max="23" width="3.7109375" customWidth="1"/>
    <col min="24" max="29" width="6.7109375" customWidth="1"/>
    <col min="30" max="30" width="8.140625" customWidth="1"/>
    <col min="31" max="42" width="6.7109375" customWidth="1"/>
    <col min="43" max="44" width="6.7109375" hidden="1" customWidth="1"/>
    <col min="45" max="45" width="6.7109375" customWidth="1"/>
  </cols>
  <sheetData>
    <row r="1" spans="1:44" ht="21.75" thickBot="1">
      <c r="A1" s="2"/>
      <c r="B1" s="1007" t="s">
        <v>70</v>
      </c>
      <c r="C1" s="1008"/>
      <c r="D1" s="1008"/>
      <c r="E1" s="1008">
        <f>Données!J1</f>
        <v>0</v>
      </c>
      <c r="F1" s="1008"/>
      <c r="G1" s="1008"/>
      <c r="H1" s="105" t="str">
        <f>Données!$D$3</f>
        <v>F_U18</v>
      </c>
      <c r="I1" s="1008">
        <f>Données!$N$3</f>
        <v>0</v>
      </c>
      <c r="J1" s="1008"/>
      <c r="K1" s="1008"/>
      <c r="L1" s="1008"/>
      <c r="M1" s="106">
        <f>Données!$G$3</f>
        <v>0</v>
      </c>
      <c r="N1" s="1007" t="s">
        <v>20</v>
      </c>
      <c r="O1" s="1008"/>
      <c r="P1" s="1008"/>
      <c r="Q1" s="1008"/>
      <c r="R1" s="1008"/>
      <c r="S1" s="1009"/>
      <c r="T1" s="11">
        <f>+Données!D17</f>
        <v>0</v>
      </c>
      <c r="W1" s="2"/>
      <c r="X1" s="1007" t="s">
        <v>70</v>
      </c>
      <c r="Y1" s="1008"/>
      <c r="Z1" s="1008"/>
      <c r="AA1" s="1008">
        <f>Données!J1</f>
        <v>0</v>
      </c>
      <c r="AB1" s="1008"/>
      <c r="AC1" s="1008"/>
      <c r="AD1" s="105" t="str">
        <f>Données!$D$3</f>
        <v>F_U18</v>
      </c>
      <c r="AE1" s="1008">
        <f>Données!$N$3</f>
        <v>0</v>
      </c>
      <c r="AF1" s="1008"/>
      <c r="AG1" s="1008"/>
      <c r="AH1" s="1008"/>
      <c r="AI1" s="106">
        <f>Données!$G$3</f>
        <v>0</v>
      </c>
      <c r="AJ1" s="1007" t="s">
        <v>20</v>
      </c>
      <c r="AK1" s="1008"/>
      <c r="AL1" s="1008"/>
      <c r="AM1" s="1008"/>
      <c r="AN1" s="1008"/>
      <c r="AO1" s="1009"/>
      <c r="AP1" s="27">
        <f>+Données!D17</f>
        <v>0</v>
      </c>
      <c r="AQ1" s="8"/>
    </row>
    <row r="2" spans="1:44" ht="21.75" thickBot="1">
      <c r="A2" s="2"/>
      <c r="B2" s="1007" t="s">
        <v>155</v>
      </c>
      <c r="C2" s="1008"/>
      <c r="D2" s="1008"/>
      <c r="E2" s="20">
        <f>Données!$W$17</f>
        <v>0</v>
      </c>
      <c r="F2" s="1008" t="s">
        <v>16</v>
      </c>
      <c r="G2" s="1008"/>
      <c r="H2" s="7">
        <f>Données!$W$18</f>
        <v>0</v>
      </c>
      <c r="I2" s="1008" t="s">
        <v>17</v>
      </c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9"/>
      <c r="W2" s="2"/>
      <c r="X2" s="1007" t="s">
        <v>156</v>
      </c>
      <c r="Y2" s="1008"/>
      <c r="Z2" s="1008"/>
      <c r="AA2" s="20">
        <f>+Données!X17</f>
        <v>0</v>
      </c>
      <c r="AB2" s="1008" t="s">
        <v>16</v>
      </c>
      <c r="AC2" s="1008"/>
      <c r="AD2" s="12">
        <f>+Données!X18</f>
        <v>0</v>
      </c>
      <c r="AE2" s="1008" t="s">
        <v>17</v>
      </c>
      <c r="AF2" s="1008"/>
      <c r="AG2" s="1008"/>
      <c r="AH2" s="1008"/>
      <c r="AI2" s="1008"/>
      <c r="AJ2" s="1008"/>
      <c r="AK2" s="1008"/>
      <c r="AL2" s="1008"/>
      <c r="AM2" s="1008"/>
      <c r="AN2" s="1008"/>
      <c r="AO2" s="1008"/>
      <c r="AP2" s="1009"/>
      <c r="AQ2" s="8"/>
    </row>
    <row r="3" spans="1:44" ht="15.75" thickBot="1">
      <c r="A3" s="30"/>
      <c r="B3" s="40"/>
      <c r="C3" s="41"/>
      <c r="D3" s="41"/>
      <c r="E3" s="41"/>
      <c r="F3" s="192" t="str">
        <f>CONCATENATE(E2,H2)</f>
        <v>00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  <c r="U3" s="41"/>
      <c r="V3" s="41"/>
      <c r="W3" s="30"/>
      <c r="X3" s="40"/>
      <c r="Y3" s="41"/>
      <c r="Z3" s="41"/>
      <c r="AA3" s="107"/>
      <c r="AB3" s="193" t="str">
        <f>CONCATENATE(AA2,AD2)</f>
        <v>00</v>
      </c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2"/>
      <c r="AQ3" s="34"/>
      <c r="AR3" s="34"/>
    </row>
    <row r="4" spans="1:44" ht="15.75" thickBot="1">
      <c r="A4" s="30"/>
      <c r="B4" s="40"/>
      <c r="C4" s="959" t="s">
        <v>81</v>
      </c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0"/>
      <c r="Q4" s="960"/>
      <c r="R4" s="960"/>
      <c r="S4" s="961"/>
      <c r="T4" s="958"/>
      <c r="U4" s="43"/>
      <c r="V4" s="43"/>
      <c r="W4" s="30"/>
      <c r="X4" s="40"/>
      <c r="Y4" s="959" t="s">
        <v>81</v>
      </c>
      <c r="Z4" s="960"/>
      <c r="AA4" s="960"/>
      <c r="AB4" s="960"/>
      <c r="AC4" s="960"/>
      <c r="AD4" s="960"/>
      <c r="AE4" s="960"/>
      <c r="AF4" s="960"/>
      <c r="AG4" s="960"/>
      <c r="AH4" s="960"/>
      <c r="AI4" s="960"/>
      <c r="AJ4" s="960"/>
      <c r="AK4" s="960"/>
      <c r="AL4" s="960"/>
      <c r="AM4" s="960"/>
      <c r="AN4" s="960"/>
      <c r="AO4" s="961"/>
      <c r="AP4" s="958"/>
      <c r="AQ4" s="34"/>
      <c r="AR4" s="34"/>
    </row>
    <row r="5" spans="1:44">
      <c r="A5" s="30"/>
      <c r="B5" s="40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958"/>
      <c r="U5" s="43"/>
      <c r="V5" s="43"/>
      <c r="W5" s="30"/>
      <c r="X5" s="40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958"/>
      <c r="AQ5" s="34"/>
      <c r="AR5" s="34"/>
    </row>
    <row r="6" spans="1:44" ht="15.75" thickBot="1">
      <c r="A6" s="30"/>
      <c r="B6" s="4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1"/>
      <c r="T6" s="42"/>
      <c r="U6" s="41"/>
      <c r="V6" s="41"/>
      <c r="W6" s="30"/>
      <c r="X6" s="40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5"/>
      <c r="AO6" s="41"/>
      <c r="AP6" s="42"/>
      <c r="AQ6" s="34"/>
      <c r="AR6" s="34"/>
    </row>
    <row r="7" spans="1:44" ht="15.75" thickBot="1">
      <c r="A7" s="30"/>
      <c r="B7" s="46" t="s">
        <v>6</v>
      </c>
      <c r="C7" s="47" t="s">
        <v>11</v>
      </c>
      <c r="D7" s="107"/>
      <c r="E7" s="44"/>
      <c r="F7" s="44"/>
      <c r="G7" s="41" t="s">
        <v>5</v>
      </c>
      <c r="H7" s="41"/>
      <c r="I7" s="41" t="s">
        <v>6</v>
      </c>
      <c r="J7" s="47" t="str">
        <f>IF(E2=2,"","C")</f>
        <v>C</v>
      </c>
      <c r="K7" s="107"/>
      <c r="L7" s="44"/>
      <c r="M7" s="44"/>
      <c r="N7" s="41" t="s">
        <v>5</v>
      </c>
      <c r="O7" s="41"/>
      <c r="P7" s="41"/>
      <c r="Q7" s="47" t="s">
        <v>52</v>
      </c>
      <c r="R7" s="44"/>
      <c r="S7" s="44" t="s">
        <v>78</v>
      </c>
      <c r="T7" s="48"/>
      <c r="U7" s="44"/>
      <c r="V7" s="44"/>
      <c r="W7" s="30"/>
      <c r="X7" s="46" t="s">
        <v>6</v>
      </c>
      <c r="Y7" s="47" t="s">
        <v>11</v>
      </c>
      <c r="Z7" s="107"/>
      <c r="AA7" s="44"/>
      <c r="AB7" s="44"/>
      <c r="AC7" s="41" t="s">
        <v>5</v>
      </c>
      <c r="AD7" s="41"/>
      <c r="AE7" s="41" t="s">
        <v>6</v>
      </c>
      <c r="AF7" s="47" t="str">
        <f>IF(AA2=2,"","C")</f>
        <v>C</v>
      </c>
      <c r="AG7" s="107"/>
      <c r="AH7" s="44"/>
      <c r="AI7" s="44"/>
      <c r="AJ7" s="41"/>
      <c r="AK7" s="41"/>
      <c r="AL7" s="41"/>
      <c r="AM7" s="47" t="s">
        <v>52</v>
      </c>
      <c r="AN7" s="44"/>
      <c r="AO7" s="44" t="s">
        <v>78</v>
      </c>
      <c r="AP7" s="48"/>
      <c r="AQ7" s="34"/>
      <c r="AR7" s="34"/>
    </row>
    <row r="8" spans="1:44" ht="15.75" thickBot="1">
      <c r="A8" s="195">
        <v>73</v>
      </c>
      <c r="B8" s="965"/>
      <c r="C8" s="970" t="str">
        <f>IF(ISNA(MATCH($A$8,Données!$AE$5:$AE$84,0)),"",INDEX(Données!$AC$5:$AC$82,MATCH($A$8,Données!$AE$5:$AE$84,0)))</f>
        <v/>
      </c>
      <c r="D8" s="979"/>
      <c r="E8" s="979"/>
      <c r="F8" s="980"/>
      <c r="G8" s="49">
        <v>1</v>
      </c>
      <c r="H8" s="196">
        <v>75</v>
      </c>
      <c r="I8" s="965"/>
      <c r="J8" s="1016" t="str">
        <f>IF(ISNA(MATCH($H$8,Données!$AE$5:$AE$84,0)),"",INDEX(Données!$AC$5:$AC$82,MATCH($H$8,Données!$AE$5:$AE$84,0)))</f>
        <v/>
      </c>
      <c r="K8" s="1017"/>
      <c r="L8" s="1017"/>
      <c r="M8" s="1018"/>
      <c r="N8" s="49">
        <v>1</v>
      </c>
      <c r="O8" s="41"/>
      <c r="P8" s="44"/>
      <c r="Q8" s="973" t="str">
        <f>IF(E2+E3=4,0,IF(E2+E3=3,0,IF(ISNA(MATCH($P$8,Données!$AE$5:$AE$85,0)),"",INDEX(Données!$AC$5:$AC$83,MATCH($P$8,Données!$AE$5:$AE$85,0)))))</f>
        <v/>
      </c>
      <c r="R8" s="974"/>
      <c r="S8" s="975"/>
      <c r="T8" s="50"/>
      <c r="U8" s="44"/>
      <c r="V8" s="44"/>
      <c r="W8" s="141">
        <v>77</v>
      </c>
      <c r="X8" s="965"/>
      <c r="Y8" s="970" t="str">
        <f>IF(ISNA(MATCH($W$8,Données!$AE$5:$AE$84,0)),"",INDEX(Données!$AC$5:$AC$82,MATCH($W$8,Données!$AE$5:$AE$84,0)))</f>
        <v/>
      </c>
      <c r="Z8" s="979"/>
      <c r="AA8" s="979"/>
      <c r="AB8" s="980"/>
      <c r="AC8" s="49">
        <v>1</v>
      </c>
      <c r="AD8" s="196">
        <v>79</v>
      </c>
      <c r="AE8" s="965"/>
      <c r="AF8" s="970" t="str">
        <f>IF(ISNA(MATCH($AD$8,Données!$AE$5:$AE$84,0)),"",INDEX(Données!$AC$5:$AC$82,MATCH($AD$8,Données!$AE$5:$AE$84,0)))</f>
        <v/>
      </c>
      <c r="AG8" s="979"/>
      <c r="AH8" s="979"/>
      <c r="AI8" s="980"/>
      <c r="AJ8" s="49">
        <v>3</v>
      </c>
      <c r="AK8" s="41"/>
      <c r="AL8" s="197">
        <v>81</v>
      </c>
      <c r="AM8" s="973" t="str">
        <f>IF($AA$2+$AA$3=4,0,IF($AA$2+$AA$3=3,0,IF(ISNA(MATCH($AL$8,Données!$AE$5:$AE$85,0)),"",INDEX(Données!$AC$5:$AC$83,MATCH($AL$8,Données!$AE$5:$AE$85,0)))))</f>
        <v/>
      </c>
      <c r="AN8" s="974"/>
      <c r="AO8" s="975"/>
      <c r="AP8" s="50"/>
      <c r="AQ8" s="34"/>
      <c r="AR8" s="34"/>
    </row>
    <row r="9" spans="1:44" ht="15.75" thickBot="1">
      <c r="A9" s="195">
        <v>74</v>
      </c>
      <c r="B9" s="966"/>
      <c r="C9" s="976" t="str">
        <f>IF(ISNA(MATCH($A$9,Données!$AE$5:$AE$84,0)),"",INDEX(Données!$AC$5:$AC$82,MATCH($A$9,Données!$AE$5:$AE$84,0)))</f>
        <v/>
      </c>
      <c r="D9" s="981"/>
      <c r="E9" s="981"/>
      <c r="F9" s="982"/>
      <c r="G9" s="104">
        <v>0</v>
      </c>
      <c r="H9" s="196">
        <v>76</v>
      </c>
      <c r="I9" s="966"/>
      <c r="J9" s="985" t="str">
        <f>IF(ISNA(MATCH($H$9,Données!$AE$5:$AE$84,0)),"0ffice",INDEX(Données!$AC$5:$AC$82,MATCH($H$9,Données!$AE$5:$AE$84,0)))</f>
        <v>0ffice</v>
      </c>
      <c r="K9" s="986"/>
      <c r="L9" s="986"/>
      <c r="M9" s="987"/>
      <c r="N9" s="49">
        <v>0</v>
      </c>
      <c r="O9" s="41"/>
      <c r="P9" s="44"/>
      <c r="R9" s="44"/>
      <c r="S9" s="44"/>
      <c r="T9" s="48"/>
      <c r="U9" s="44"/>
      <c r="V9" s="44"/>
      <c r="W9" s="141">
        <v>78</v>
      </c>
      <c r="X9" s="966"/>
      <c r="Y9" s="976" t="str">
        <f>IF(ISNA(MATCH($W$9,Données!$AE$5:$AE$84,0)),"",INDEX(Données!$AC$5:$AC$82,MATCH($W$9,Données!$AE$5:$AE$84,0)))</f>
        <v/>
      </c>
      <c r="Z9" s="981"/>
      <c r="AA9" s="981"/>
      <c r="AB9" s="982"/>
      <c r="AC9" s="104">
        <v>2</v>
      </c>
      <c r="AD9" s="196">
        <v>80</v>
      </c>
      <c r="AE9" s="966"/>
      <c r="AF9" s="1016" t="str">
        <f>IF(ISNA(MATCH($AD$9,Données!$AE$5:$AE$84,0)),"Office",INDEX(Données!$AC$5:$AC$82,MATCH($AD$9,Données!$AE$5:$AE$84,0)))</f>
        <v>Office</v>
      </c>
      <c r="AG9" s="1017"/>
      <c r="AH9" s="1017"/>
      <c r="AI9" s="1018"/>
      <c r="AJ9" s="49">
        <v>2</v>
      </c>
      <c r="AK9" s="41"/>
      <c r="AL9" s="44"/>
      <c r="AN9" s="44"/>
      <c r="AO9" s="44"/>
      <c r="AP9" s="48"/>
      <c r="AQ9" s="34"/>
      <c r="AR9" s="34"/>
    </row>
    <row r="10" spans="1:44" ht="15.75" thickBot="1">
      <c r="A10" s="30"/>
      <c r="B10" s="40"/>
      <c r="C10" s="83" t="s">
        <v>12</v>
      </c>
      <c r="D10" s="107"/>
      <c r="E10" s="44"/>
      <c r="F10" s="44"/>
      <c r="G10" s="44"/>
      <c r="H10" s="44"/>
      <c r="I10" s="44"/>
      <c r="J10" s="47" t="s">
        <v>51</v>
      </c>
      <c r="K10" s="107"/>
      <c r="L10" s="44"/>
      <c r="M10" s="44"/>
      <c r="N10" s="44"/>
      <c r="O10" s="44"/>
      <c r="P10" s="44"/>
      <c r="Q10" s="44"/>
      <c r="R10" s="44"/>
      <c r="S10" s="44"/>
      <c r="T10" s="48"/>
      <c r="U10" s="44"/>
      <c r="V10" s="44"/>
      <c r="W10" s="30"/>
      <c r="X10" s="40"/>
      <c r="Y10" s="83" t="s">
        <v>12</v>
      </c>
      <c r="Z10" s="107"/>
      <c r="AA10" s="44"/>
      <c r="AB10" s="44"/>
      <c r="AC10" s="44"/>
      <c r="AD10" s="44"/>
      <c r="AE10" s="44"/>
      <c r="AF10" s="47" t="s">
        <v>51</v>
      </c>
      <c r="AG10" s="107"/>
      <c r="AH10" s="44"/>
      <c r="AI10" s="44"/>
      <c r="AJ10" s="44"/>
      <c r="AK10" s="44"/>
      <c r="AL10" s="44"/>
      <c r="AM10" s="44"/>
      <c r="AN10" s="44"/>
      <c r="AO10" s="44"/>
      <c r="AP10" s="48"/>
      <c r="AQ10" s="34"/>
      <c r="AR10" s="34"/>
    </row>
    <row r="11" spans="1:44">
      <c r="A11" s="30"/>
      <c r="B11" s="4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8"/>
      <c r="U11" s="44"/>
      <c r="V11" s="44"/>
      <c r="W11" s="30"/>
      <c r="X11" s="40"/>
      <c r="Y11" s="45"/>
      <c r="Z11" s="45"/>
      <c r="AA11" s="45"/>
      <c r="AB11" s="45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8"/>
      <c r="AQ11" s="34"/>
      <c r="AR11" s="34"/>
    </row>
    <row r="12" spans="1:44">
      <c r="A12" s="30"/>
      <c r="B12" s="4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8"/>
      <c r="U12" s="44"/>
      <c r="V12" s="44"/>
      <c r="W12" s="30"/>
      <c r="X12" s="40"/>
      <c r="Y12" s="45"/>
      <c r="Z12" s="45"/>
      <c r="AA12" s="45"/>
      <c r="AB12" s="45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8"/>
      <c r="AQ12" s="34"/>
      <c r="AR12" s="34"/>
    </row>
    <row r="13" spans="1:44" ht="15.75" thickBot="1">
      <c r="A13" s="30"/>
      <c r="B13" s="46" t="s">
        <v>6</v>
      </c>
      <c r="C13" s="44"/>
      <c r="D13" s="70" t="s">
        <v>77</v>
      </c>
      <c r="E13" s="44"/>
      <c r="F13" s="44"/>
      <c r="G13" s="41" t="s">
        <v>5</v>
      </c>
      <c r="H13" s="41"/>
      <c r="I13" s="44"/>
      <c r="J13" s="44"/>
      <c r="K13" s="44"/>
      <c r="L13" s="44" t="s">
        <v>78</v>
      </c>
      <c r="M13" s="44"/>
      <c r="N13" s="44"/>
      <c r="O13" s="44"/>
      <c r="P13" s="41" t="s">
        <v>6</v>
      </c>
      <c r="Q13" s="44"/>
      <c r="R13" s="70" t="s">
        <v>76</v>
      </c>
      <c r="S13" s="44"/>
      <c r="T13" s="42" t="s">
        <v>5</v>
      </c>
      <c r="U13" s="52"/>
      <c r="V13" s="53"/>
      <c r="W13" s="30"/>
      <c r="X13" s="54" t="s">
        <v>6</v>
      </c>
      <c r="Y13" s="45"/>
      <c r="Z13" s="45" t="s">
        <v>77</v>
      </c>
      <c r="AA13" s="45"/>
      <c r="AB13" s="45"/>
      <c r="AC13" s="41" t="s">
        <v>5</v>
      </c>
      <c r="AD13" s="41"/>
      <c r="AE13" s="44"/>
      <c r="AF13" s="44"/>
      <c r="AG13" s="44"/>
      <c r="AH13" s="44" t="s">
        <v>78</v>
      </c>
      <c r="AI13" s="44"/>
      <c r="AJ13" s="44"/>
      <c r="AK13" s="44"/>
      <c r="AL13" s="41" t="s">
        <v>6</v>
      </c>
      <c r="AM13" s="44"/>
      <c r="AN13" s="44" t="s">
        <v>76</v>
      </c>
      <c r="AO13" s="44"/>
      <c r="AP13" s="42" t="s">
        <v>5</v>
      </c>
      <c r="AQ13" s="53"/>
      <c r="AR13" s="53"/>
    </row>
    <row r="14" spans="1:44" ht="15.75" thickBot="1">
      <c r="A14" s="30"/>
      <c r="B14" s="965"/>
      <c r="C14" s="970" t="str">
        <f>IF($G$8=$G$9,"résultat",IF($G$8&gt;$G$9,$C$9,$C$8))</f>
        <v/>
      </c>
      <c r="D14" s="971"/>
      <c r="E14" s="971"/>
      <c r="F14" s="972"/>
      <c r="G14" s="49">
        <v>1</v>
      </c>
      <c r="H14" s="41"/>
      <c r="I14" s="44"/>
      <c r="J14" s="994" t="str">
        <f>IF(ISTEXT($Q$8),IF(($G$9=$G$8),"résultat",IF(($N$9=$N$8),"résultat",IF(($U$14=2),$C$8,IF(($V$14=2),$C$9,IF(($U$15=2),$J$9,IF(($V$15=2),J8,0)))))))</f>
        <v/>
      </c>
      <c r="K14" s="995"/>
      <c r="L14" s="995"/>
      <c r="M14" s="996"/>
      <c r="N14" s="50"/>
      <c r="O14" s="44"/>
      <c r="P14" s="965"/>
      <c r="Q14" s="967" t="str">
        <f>IF($E$2+$E$3=5,$Q$8,IF($N$8=$N$9,"résultat",IF($N$8&gt;$N$9,$J$8,$J$9)))</f>
        <v/>
      </c>
      <c r="R14" s="968"/>
      <c r="S14" s="969"/>
      <c r="T14" s="49">
        <v>1</v>
      </c>
      <c r="U14" s="56">
        <f>IF(G8&gt;G9,1)+IF(N8&gt;N9,1)</f>
        <v>2</v>
      </c>
      <c r="V14" s="57">
        <f>IF(G9&gt;G8,1)+IF(N9&gt;N8,1)</f>
        <v>0</v>
      </c>
      <c r="W14" s="30"/>
      <c r="X14" s="965"/>
      <c r="Y14" s="1015" t="str">
        <f>IF($AC$8=$AC$9,"résultat",IF($AC$8&gt;$AC$9,$Y$9,$Y$8))</f>
        <v/>
      </c>
      <c r="Z14" s="971"/>
      <c r="AA14" s="971"/>
      <c r="AB14" s="972"/>
      <c r="AC14" s="49">
        <v>1</v>
      </c>
      <c r="AD14" s="41"/>
      <c r="AE14" s="44"/>
      <c r="AF14" s="997" t="str">
        <f>IF(ISTEXT($AM$8),IF(($AC$9=$AC$8),"résultat",IF(($AJ$9=$AJ$8),"résultat",IF(($AQ$14=2),$Y$8,IF(($AR$14=2),$Y$9,IF(($AQ$15=2),$AF$9,IF(($AR$15=2),$AF$8,0)))))))</f>
        <v/>
      </c>
      <c r="AG14" s="995"/>
      <c r="AH14" s="995"/>
      <c r="AI14" s="996"/>
      <c r="AJ14" s="82">
        <v>0</v>
      </c>
      <c r="AK14" s="44"/>
      <c r="AL14" s="965"/>
      <c r="AM14" s="967" t="str">
        <f>IF($AA$2+$AA$3=5,$AM$8,IF(AJ8=AJ9,"résultat",IF($AJ$8&gt;$AJ$9,$AF$8,$AF$9)))</f>
        <v/>
      </c>
      <c r="AN14" s="968"/>
      <c r="AO14" s="969"/>
      <c r="AP14" s="49">
        <v>1</v>
      </c>
      <c r="AQ14" s="56">
        <f>IF(AC8&gt;AC9,1)+IF(AJ8&gt;AJ9,1)</f>
        <v>1</v>
      </c>
      <c r="AR14" s="57">
        <f>IF(AC9&gt;AC8,1)+IF(AJ9&gt;AJ8,1)</f>
        <v>1</v>
      </c>
    </row>
    <row r="15" spans="1:44" ht="15.75" thickBot="1">
      <c r="A15" s="30"/>
      <c r="B15" s="966"/>
      <c r="C15" s="962" t="str">
        <f>IF($N$8=$N$9,"résultat",IF($N$8&lt;$N$9,$J$8,$J$9))</f>
        <v>0ffice</v>
      </c>
      <c r="D15" s="963"/>
      <c r="E15" s="963"/>
      <c r="F15" s="964"/>
      <c r="G15" s="58">
        <v>0</v>
      </c>
      <c r="H15" s="41"/>
      <c r="I15" s="44"/>
      <c r="J15" s="59" t="str">
        <f>IF(ISTEXT(J14)," ",0)</f>
        <v xml:space="preserve"> </v>
      </c>
      <c r="K15" s="44"/>
      <c r="L15" s="44"/>
      <c r="M15" s="44"/>
      <c r="N15" s="44"/>
      <c r="O15" s="44"/>
      <c r="P15" s="966"/>
      <c r="Q15" s="96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963"/>
      <c r="S15" s="964"/>
      <c r="T15" s="104">
        <v>0</v>
      </c>
      <c r="U15" s="60">
        <f>IF(G8&gt;G9,1)+IF(N9&gt;N8,1)</f>
        <v>1</v>
      </c>
      <c r="V15" s="61">
        <f>IF(G9&gt;G8,1)+IF(N8&gt;N9,1)</f>
        <v>1</v>
      </c>
      <c r="W15" s="30"/>
      <c r="X15" s="966"/>
      <c r="Y15" s="962" t="str">
        <f>IF($AJ$8=$AJ$9,"résultat",IF($AJ$8&lt;$AJ$9,$AF$8,$AF$9))</f>
        <v>Office</v>
      </c>
      <c r="Z15" s="963"/>
      <c r="AA15" s="963"/>
      <c r="AB15" s="964"/>
      <c r="AC15" s="49">
        <v>0</v>
      </c>
      <c r="AD15" s="41"/>
      <c r="AE15" s="44"/>
      <c r="AF15" s="44"/>
      <c r="AG15" s="44"/>
      <c r="AH15" s="44"/>
      <c r="AI15" s="44"/>
      <c r="AJ15" s="44"/>
      <c r="AK15" s="44"/>
      <c r="AL15" s="966"/>
      <c r="AM15" s="96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963"/>
      <c r="AO15" s="964"/>
      <c r="AP15" s="104">
        <v>0</v>
      </c>
      <c r="AQ15" s="60">
        <f>IF(AC8&gt;AC9,1)+IF(AJ9&gt;AJ8,1)</f>
        <v>0</v>
      </c>
      <c r="AR15" s="61">
        <f>IF(AC9&gt;AC8,1)+IF(AJ8&gt;AJ9,1)</f>
        <v>2</v>
      </c>
    </row>
    <row r="16" spans="1:44">
      <c r="A16" s="30"/>
      <c r="B16" s="4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62"/>
      <c r="Q16" s="44"/>
      <c r="R16" s="44"/>
      <c r="S16" s="44"/>
      <c r="T16" s="48"/>
      <c r="U16" s="44"/>
      <c r="V16" s="44"/>
      <c r="W16" s="30"/>
      <c r="X16" s="40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8"/>
      <c r="AQ16" s="34"/>
      <c r="AR16" s="34"/>
    </row>
    <row r="17" spans="1:44">
      <c r="A17" s="30"/>
      <c r="B17" s="4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8"/>
      <c r="U17" s="44"/>
      <c r="V17" s="44"/>
      <c r="W17" s="30"/>
      <c r="X17" s="40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8"/>
      <c r="AQ17" s="34"/>
      <c r="AR17" s="34"/>
    </row>
    <row r="18" spans="1:44">
      <c r="A18" s="30"/>
      <c r="B18" s="40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6"/>
      <c r="T18" s="48"/>
      <c r="U18" s="44"/>
      <c r="V18" s="44"/>
      <c r="W18" s="30"/>
      <c r="X18" s="40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8"/>
      <c r="AQ18" s="34"/>
      <c r="AR18" s="34"/>
    </row>
    <row r="19" spans="1:44" ht="15.75" thickBot="1">
      <c r="A19" s="30"/>
      <c r="B19" s="40"/>
      <c r="C19" s="44"/>
      <c r="D19" s="44"/>
      <c r="E19" s="41" t="s">
        <v>6</v>
      </c>
      <c r="F19" s="44"/>
      <c r="G19" s="44"/>
      <c r="H19" s="44"/>
      <c r="I19" s="44"/>
      <c r="J19" s="41" t="s">
        <v>5</v>
      </c>
      <c r="K19" s="41"/>
      <c r="L19" s="41" t="s">
        <v>6</v>
      </c>
      <c r="M19" s="44"/>
      <c r="N19" s="44"/>
      <c r="O19" s="44"/>
      <c r="P19" s="44"/>
      <c r="Q19" s="41" t="s">
        <v>5</v>
      </c>
      <c r="R19" s="44"/>
      <c r="S19" s="44"/>
      <c r="T19" s="48"/>
      <c r="U19" s="63"/>
      <c r="V19" s="44"/>
      <c r="W19" s="30"/>
      <c r="X19" s="40"/>
      <c r="Y19" s="44"/>
      <c r="Z19" s="44"/>
      <c r="AA19" s="41" t="s">
        <v>6</v>
      </c>
      <c r="AB19" s="44"/>
      <c r="AC19" s="44"/>
      <c r="AD19" s="44"/>
      <c r="AE19" s="44"/>
      <c r="AF19" s="41" t="s">
        <v>5</v>
      </c>
      <c r="AG19" s="41"/>
      <c r="AH19" s="41" t="s">
        <v>6</v>
      </c>
      <c r="AI19" s="44"/>
      <c r="AJ19" s="44"/>
      <c r="AK19" s="44"/>
      <c r="AL19" s="44"/>
      <c r="AM19" s="41" t="s">
        <v>5</v>
      </c>
      <c r="AN19" s="44"/>
      <c r="AO19" s="44"/>
      <c r="AP19" s="48"/>
      <c r="AQ19" s="34"/>
      <c r="AR19" s="34"/>
    </row>
    <row r="20" spans="1:44" ht="15.75" thickBot="1">
      <c r="A20" s="30"/>
      <c r="B20" s="40"/>
      <c r="C20" s="44"/>
      <c r="D20" s="44"/>
      <c r="E20" s="965"/>
      <c r="F20" s="976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977"/>
      <c r="H20" s="977"/>
      <c r="I20" s="978"/>
      <c r="J20" s="49">
        <v>0</v>
      </c>
      <c r="K20" s="41"/>
      <c r="L20" s="965" t="s">
        <v>13</v>
      </c>
      <c r="M20" s="991" t="b">
        <f>IF($E$2+$E$3=5,$J$14)</f>
        <v>0</v>
      </c>
      <c r="N20" s="992"/>
      <c r="O20" s="992"/>
      <c r="P20" s="993"/>
      <c r="Q20" s="49">
        <v>0</v>
      </c>
      <c r="R20" s="44"/>
      <c r="S20" s="44"/>
      <c r="T20" s="48"/>
      <c r="U20" s="44"/>
      <c r="V20" s="44"/>
      <c r="W20" s="30"/>
      <c r="X20" s="40"/>
      <c r="Y20" s="44"/>
      <c r="Z20" s="44"/>
      <c r="AA20" s="965"/>
      <c r="AB20" s="976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977"/>
      <c r="AD20" s="977"/>
      <c r="AE20" s="978"/>
      <c r="AF20" s="49">
        <v>0</v>
      </c>
      <c r="AG20" s="41"/>
      <c r="AH20" s="965" t="s">
        <v>13</v>
      </c>
      <c r="AI20" s="991" t="b">
        <f>IF($AA$2+$AA$3=5,$AF$14)</f>
        <v>0</v>
      </c>
      <c r="AJ20" s="992"/>
      <c r="AK20" s="992"/>
      <c r="AL20" s="993"/>
      <c r="AM20" s="49">
        <v>0</v>
      </c>
      <c r="AN20" s="44"/>
      <c r="AO20" s="44"/>
      <c r="AP20" s="48"/>
      <c r="AQ20" s="34"/>
      <c r="AR20" s="34"/>
    </row>
    <row r="21" spans="1:44" ht="15.75" thickBot="1">
      <c r="A21" s="30"/>
      <c r="B21" s="40"/>
      <c r="C21" s="44"/>
      <c r="D21" s="44"/>
      <c r="E21" s="966"/>
      <c r="F21" s="976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981"/>
      <c r="H21" s="981"/>
      <c r="I21" s="982"/>
      <c r="J21" s="49">
        <v>0</v>
      </c>
      <c r="K21" s="41"/>
      <c r="L21" s="966"/>
      <c r="M21" s="976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981"/>
      <c r="O21" s="981"/>
      <c r="P21" s="982"/>
      <c r="Q21" s="49">
        <v>0</v>
      </c>
      <c r="R21" s="44"/>
      <c r="S21" s="63"/>
      <c r="T21" s="48"/>
      <c r="U21" s="44"/>
      <c r="V21" s="36"/>
      <c r="W21" s="30"/>
      <c r="X21" s="40"/>
      <c r="Y21" s="44"/>
      <c r="Z21" s="44"/>
      <c r="AA21" s="966"/>
      <c r="AB21" s="976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981"/>
      <c r="AD21" s="981"/>
      <c r="AE21" s="982"/>
      <c r="AF21" s="49">
        <v>0</v>
      </c>
      <c r="AG21" s="41"/>
      <c r="AH21" s="966"/>
      <c r="AI21" s="976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981"/>
      <c r="AK21" s="981"/>
      <c r="AL21" s="982"/>
      <c r="AM21" s="49">
        <v>0</v>
      </c>
      <c r="AN21" s="44"/>
      <c r="AO21" s="44"/>
      <c r="AP21" s="48"/>
      <c r="AQ21" s="34"/>
      <c r="AR21" s="34"/>
    </row>
    <row r="22" spans="1:44">
      <c r="A22" s="30"/>
      <c r="B22" s="40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8"/>
      <c r="U22" s="44"/>
      <c r="V22" s="44"/>
      <c r="W22" s="30"/>
      <c r="X22" s="40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8"/>
      <c r="AQ22" s="34"/>
      <c r="AR22" s="34"/>
    </row>
    <row r="23" spans="1:44">
      <c r="A23" s="30"/>
      <c r="B23" s="4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8"/>
      <c r="U23" s="44"/>
      <c r="V23" s="44"/>
      <c r="W23" s="30"/>
      <c r="X23" s="40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8"/>
      <c r="AQ23" s="34"/>
      <c r="AR23" s="34"/>
    </row>
    <row r="24" spans="1:44" ht="15.75" thickBot="1">
      <c r="A24" s="30"/>
      <c r="B24" s="40"/>
      <c r="C24" s="44"/>
      <c r="D24" s="44"/>
      <c r="E24" s="44"/>
      <c r="F24" s="44"/>
      <c r="G24" s="44"/>
      <c r="H24" s="44"/>
      <c r="I24" s="41" t="s">
        <v>6</v>
      </c>
      <c r="J24" s="44"/>
      <c r="K24" s="44"/>
      <c r="L24" s="44"/>
      <c r="M24" s="44"/>
      <c r="N24" s="41" t="s">
        <v>5</v>
      </c>
      <c r="O24" s="41"/>
      <c r="P24" s="64"/>
      <c r="Q24" s="44"/>
      <c r="R24" s="44"/>
      <c r="S24" s="44"/>
      <c r="T24" s="48"/>
      <c r="U24" s="44"/>
      <c r="V24" s="44"/>
      <c r="W24" s="30"/>
      <c r="X24" s="40"/>
      <c r="Y24" s="44"/>
      <c r="Z24" s="44"/>
      <c r="AA24" s="44"/>
      <c r="AB24" s="44"/>
      <c r="AC24" s="44"/>
      <c r="AD24" s="44"/>
      <c r="AE24" s="41" t="s">
        <v>6</v>
      </c>
      <c r="AF24" s="44"/>
      <c r="AG24" s="44"/>
      <c r="AH24" s="44"/>
      <c r="AI24" s="44"/>
      <c r="AJ24" s="41" t="s">
        <v>5</v>
      </c>
      <c r="AK24" s="41"/>
      <c r="AL24" s="64"/>
      <c r="AM24" s="44"/>
      <c r="AN24" s="44"/>
      <c r="AO24" s="44"/>
      <c r="AP24" s="48"/>
      <c r="AQ24" s="34"/>
      <c r="AR24" s="34"/>
    </row>
    <row r="25" spans="1:44" ht="15.75" thickBot="1">
      <c r="A25" s="30"/>
      <c r="B25" s="40"/>
      <c r="C25" s="44"/>
      <c r="D25" s="44"/>
      <c r="E25" s="44"/>
      <c r="F25" s="44"/>
      <c r="G25" s="44"/>
      <c r="H25" s="44"/>
      <c r="I25" s="965"/>
      <c r="J25" s="1001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002"/>
      <c r="L25" s="1002"/>
      <c r="M25" s="1003"/>
      <c r="N25" s="49">
        <v>0</v>
      </c>
      <c r="O25" s="41"/>
      <c r="P25" s="44"/>
      <c r="Q25" s="44"/>
      <c r="R25" s="44"/>
      <c r="S25" s="44"/>
      <c r="T25" s="48"/>
      <c r="U25" s="44"/>
      <c r="V25" s="44"/>
      <c r="W25" s="30"/>
      <c r="X25" s="40"/>
      <c r="Y25" s="44"/>
      <c r="Z25" s="44"/>
      <c r="AA25" s="44"/>
      <c r="AB25" s="44"/>
      <c r="AC25" s="44"/>
      <c r="AD25" s="44"/>
      <c r="AE25" s="965"/>
      <c r="AF25" s="1016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986"/>
      <c r="AH25" s="986"/>
      <c r="AI25" s="987"/>
      <c r="AJ25" s="49">
        <v>0</v>
      </c>
      <c r="AK25" s="41"/>
      <c r="AL25" s="44"/>
      <c r="AM25" s="44"/>
      <c r="AN25" s="44"/>
      <c r="AO25" s="44"/>
      <c r="AP25" s="48"/>
      <c r="AQ25" s="34"/>
      <c r="AR25" s="34"/>
    </row>
    <row r="26" spans="1:44" ht="15.75" thickBot="1">
      <c r="A26" s="30"/>
      <c r="B26" s="40"/>
      <c r="C26" s="44"/>
      <c r="D26" s="44"/>
      <c r="E26" s="44"/>
      <c r="F26" s="44"/>
      <c r="G26" s="44"/>
      <c r="H26" s="44"/>
      <c r="I26" s="966"/>
      <c r="J26" s="998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999"/>
      <c r="L26" s="999"/>
      <c r="M26" s="1000"/>
      <c r="N26" s="49">
        <v>0</v>
      </c>
      <c r="O26" s="41"/>
      <c r="P26" s="44"/>
      <c r="Q26" s="44"/>
      <c r="R26" s="44"/>
      <c r="S26" s="44"/>
      <c r="T26" s="48"/>
      <c r="U26" s="44"/>
      <c r="V26" s="44"/>
      <c r="W26" s="30"/>
      <c r="X26" s="40"/>
      <c r="Y26" s="44"/>
      <c r="Z26" s="44"/>
      <c r="AA26" s="44"/>
      <c r="AB26" s="44"/>
      <c r="AC26" s="44"/>
      <c r="AD26" s="44"/>
      <c r="AE26" s="966"/>
      <c r="AF26" s="998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999"/>
      <c r="AH26" s="999"/>
      <c r="AI26" s="1000"/>
      <c r="AJ26" s="49">
        <v>0</v>
      </c>
      <c r="AK26" s="41"/>
      <c r="AL26" s="44"/>
      <c r="AM26" s="44"/>
      <c r="AN26" s="44"/>
      <c r="AO26" s="44"/>
      <c r="AP26" s="48"/>
      <c r="AQ26" s="34"/>
      <c r="AR26" s="34"/>
    </row>
    <row r="27" spans="1:44" ht="15.75" thickBot="1">
      <c r="A27" s="30"/>
      <c r="B27" s="40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8"/>
      <c r="U27" s="44"/>
      <c r="V27" s="44"/>
      <c r="W27" s="30"/>
      <c r="X27" s="40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8"/>
      <c r="AQ27" s="34"/>
      <c r="AR27" s="34"/>
    </row>
    <row r="28" spans="1:44" ht="15.75" thickBot="1">
      <c r="A28" s="30"/>
      <c r="B28" s="40"/>
      <c r="D28" s="44"/>
      <c r="E28" s="44"/>
      <c r="F28" s="44"/>
      <c r="G28" s="44"/>
      <c r="H28" s="44"/>
      <c r="I28" s="44"/>
      <c r="J28" s="955" t="s">
        <v>75</v>
      </c>
      <c r="K28" s="956"/>
      <c r="L28" s="956"/>
      <c r="M28" s="957"/>
      <c r="N28" s="44"/>
      <c r="O28" s="44"/>
      <c r="P28" s="63"/>
      <c r="Q28" s="44"/>
      <c r="R28" s="44"/>
      <c r="S28" s="44"/>
      <c r="T28" s="48"/>
      <c r="W28" s="30"/>
      <c r="X28" s="40"/>
      <c r="Z28" s="44"/>
      <c r="AA28" s="44"/>
      <c r="AB28" s="44"/>
      <c r="AC28" s="44"/>
      <c r="AD28" s="44"/>
      <c r="AE28" s="44"/>
      <c r="AF28" s="955" t="s">
        <v>75</v>
      </c>
      <c r="AG28" s="956"/>
      <c r="AH28" s="956"/>
      <c r="AI28" s="957"/>
      <c r="AJ28" s="44"/>
      <c r="AK28" s="44"/>
      <c r="AL28" s="63"/>
      <c r="AM28" s="44"/>
      <c r="AN28" s="44"/>
      <c r="AO28" s="44"/>
      <c r="AP28" s="48"/>
    </row>
    <row r="29" spans="1:44">
      <c r="A29" s="30"/>
      <c r="B29" s="40"/>
      <c r="D29" s="928" t="s">
        <v>0</v>
      </c>
      <c r="E29" s="929"/>
      <c r="F29" s="930"/>
      <c r="G29" s="44"/>
      <c r="H29" s="1037" t="str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OFFICE</v>
      </c>
      <c r="I29" s="1038"/>
      <c r="J29" s="1038"/>
      <c r="K29" s="1038"/>
      <c r="L29" s="1038"/>
      <c r="M29" s="1038"/>
      <c r="N29" s="1039"/>
      <c r="O29" s="44"/>
      <c r="P29" s="44"/>
      <c r="Q29" s="44"/>
      <c r="R29" s="44"/>
      <c r="S29" s="44"/>
      <c r="T29" s="48"/>
      <c r="W29" s="30"/>
      <c r="X29" s="40"/>
      <c r="Z29" s="928" t="s">
        <v>0</v>
      </c>
      <c r="AA29" s="929"/>
      <c r="AB29" s="930"/>
      <c r="AC29" s="44"/>
      <c r="AD29" s="1037" t="str">
        <f>IF(AB3+AC3=0,"OFFICE",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)</f>
        <v>OFFICE</v>
      </c>
      <c r="AE29" s="1038"/>
      <c r="AF29" s="1038"/>
      <c r="AG29" s="1038"/>
      <c r="AH29" s="1038"/>
      <c r="AI29" s="1038"/>
      <c r="AJ29" s="1039"/>
      <c r="AK29" s="44"/>
      <c r="AL29" s="44"/>
      <c r="AN29" s="44"/>
      <c r="AO29" s="44"/>
      <c r="AP29" s="48"/>
    </row>
    <row r="30" spans="1:44">
      <c r="A30" s="30"/>
      <c r="B30" s="40"/>
      <c r="D30" s="925" t="s">
        <v>1</v>
      </c>
      <c r="E30" s="926"/>
      <c r="F30" s="927"/>
      <c r="G30" s="44"/>
      <c r="H30" s="1040" t="str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OFFICE</v>
      </c>
      <c r="I30" s="1041"/>
      <c r="J30" s="1041"/>
      <c r="K30" s="1041"/>
      <c r="L30" s="1041"/>
      <c r="M30" s="1041"/>
      <c r="N30" s="1042"/>
      <c r="O30" s="44"/>
      <c r="P30" s="65"/>
      <c r="Q30" s="65"/>
      <c r="R30" s="65"/>
      <c r="S30" s="65"/>
      <c r="T30" s="48"/>
      <c r="W30" s="30"/>
      <c r="X30" s="40"/>
      <c r="Z30" s="925" t="s">
        <v>1</v>
      </c>
      <c r="AA30" s="926"/>
      <c r="AB30" s="927"/>
      <c r="AC30" s="44"/>
      <c r="AD30" s="1040" t="str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OFFICE</v>
      </c>
      <c r="AE30" s="1041"/>
      <c r="AF30" s="1041"/>
      <c r="AG30" s="1041"/>
      <c r="AH30" s="1041"/>
      <c r="AI30" s="1041"/>
      <c r="AJ30" s="1042"/>
      <c r="AK30" s="44"/>
      <c r="AL30" s="65"/>
      <c r="AM30" s="65"/>
      <c r="AN30" s="65"/>
      <c r="AO30" s="44"/>
      <c r="AP30" s="48"/>
    </row>
    <row r="31" spans="1:44">
      <c r="A31" s="30"/>
      <c r="B31" s="40"/>
      <c r="D31" s="925" t="s">
        <v>2</v>
      </c>
      <c r="E31" s="926"/>
      <c r="F31" s="927"/>
      <c r="G31" s="44"/>
      <c r="H31" s="1022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1023"/>
      <c r="J31" s="1023"/>
      <c r="K31" s="1023"/>
      <c r="L31" s="1023"/>
      <c r="M31" s="1023"/>
      <c r="N31" s="1024"/>
      <c r="O31" s="44"/>
      <c r="P31" s="44"/>
      <c r="Q31" s="44"/>
      <c r="R31" s="44"/>
      <c r="S31" s="44"/>
      <c r="T31" s="48"/>
      <c r="W31" s="30"/>
      <c r="X31" s="40"/>
      <c r="Z31" s="925" t="s">
        <v>2</v>
      </c>
      <c r="AA31" s="926"/>
      <c r="AB31" s="927"/>
      <c r="AC31" s="44"/>
      <c r="AD31" s="1034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1035"/>
      <c r="AF31" s="1035"/>
      <c r="AG31" s="1035"/>
      <c r="AH31" s="1035"/>
      <c r="AI31" s="1035"/>
      <c r="AJ31" s="1036"/>
      <c r="AK31" s="44"/>
      <c r="AL31" s="44"/>
      <c r="AM31" s="44"/>
      <c r="AN31" s="44"/>
      <c r="AO31" s="44"/>
      <c r="AP31" s="48"/>
    </row>
    <row r="32" spans="1:44">
      <c r="A32" s="30"/>
      <c r="B32" s="40"/>
      <c r="D32" s="925" t="s">
        <v>3</v>
      </c>
      <c r="E32" s="926"/>
      <c r="F32" s="927"/>
      <c r="G32" s="44"/>
      <c r="H32" s="1022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1023"/>
      <c r="J32" s="1023"/>
      <c r="K32" s="1023"/>
      <c r="L32" s="1023"/>
      <c r="M32" s="1023"/>
      <c r="N32" s="1024"/>
      <c r="O32" s="44"/>
      <c r="P32" s="44"/>
      <c r="Q32" s="44"/>
      <c r="R32" s="44"/>
      <c r="S32" s="44"/>
      <c r="T32" s="48"/>
      <c r="W32" s="30"/>
      <c r="X32" s="40"/>
      <c r="Z32" s="925" t="s">
        <v>3</v>
      </c>
      <c r="AA32" s="926"/>
      <c r="AB32" s="927"/>
      <c r="AC32" s="44"/>
      <c r="AD32" s="1022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1023"/>
      <c r="AF32" s="1023"/>
      <c r="AG32" s="1023"/>
      <c r="AH32" s="1023"/>
      <c r="AI32" s="1023"/>
      <c r="AJ32" s="1024"/>
      <c r="AK32" s="44"/>
      <c r="AL32" s="44"/>
      <c r="AM32" s="44"/>
      <c r="AN32" s="44"/>
      <c r="AO32" s="44"/>
      <c r="AP32" s="48"/>
    </row>
    <row r="33" spans="1:44" ht="15.75" thickBot="1">
      <c r="A33" s="30"/>
      <c r="B33" s="40"/>
      <c r="D33" s="931" t="s">
        <v>4</v>
      </c>
      <c r="E33" s="932"/>
      <c r="F33" s="933"/>
      <c r="G33" s="44"/>
      <c r="H33" s="1028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1029"/>
      <c r="J33" s="1029"/>
      <c r="K33" s="1029"/>
      <c r="L33" s="1029"/>
      <c r="M33" s="1029"/>
      <c r="N33" s="1030"/>
      <c r="O33" s="44"/>
      <c r="P33" s="44"/>
      <c r="Q33" s="44"/>
      <c r="R33" s="44"/>
      <c r="S33" s="44"/>
      <c r="T33" s="48"/>
      <c r="W33" s="30"/>
      <c r="X33" s="40"/>
      <c r="Z33" s="931" t="s">
        <v>4</v>
      </c>
      <c r="AA33" s="932"/>
      <c r="AB33" s="933"/>
      <c r="AC33" s="44"/>
      <c r="AD33" s="1028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1029"/>
      <c r="AF33" s="1029"/>
      <c r="AG33" s="1029"/>
      <c r="AH33" s="1029"/>
      <c r="AI33" s="1029"/>
      <c r="AJ33" s="1030"/>
      <c r="AK33" s="44"/>
      <c r="AL33" s="44"/>
      <c r="AM33" s="44"/>
      <c r="AN33" s="44"/>
      <c r="AO33" s="44"/>
      <c r="AP33" s="48"/>
    </row>
    <row r="34" spans="1:44">
      <c r="A34" s="30"/>
      <c r="B34" s="40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44"/>
      <c r="O34" s="44"/>
      <c r="P34" s="44"/>
      <c r="Q34" s="44"/>
      <c r="R34" s="44"/>
      <c r="S34" s="44"/>
      <c r="T34" s="48"/>
      <c r="U34" s="44"/>
      <c r="V34" s="44"/>
      <c r="W34" s="30"/>
      <c r="X34" s="40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44"/>
      <c r="AK34" s="44"/>
      <c r="AL34" s="44"/>
      <c r="AM34" s="44"/>
      <c r="AN34" s="44"/>
      <c r="AO34" s="44"/>
      <c r="AP34" s="48"/>
      <c r="AQ34" s="34"/>
      <c r="AR34" s="34"/>
    </row>
    <row r="35" spans="1:44" ht="15.75" thickBot="1">
      <c r="A35" s="30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68"/>
      <c r="P35" s="68"/>
      <c r="Q35" s="68"/>
      <c r="R35" s="68"/>
      <c r="S35" s="68"/>
      <c r="T35" s="69"/>
      <c r="U35" s="30"/>
      <c r="V35" s="30"/>
      <c r="W35" s="30"/>
      <c r="X35" s="66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9"/>
      <c r="AQ35" s="34"/>
      <c r="AR35" s="34"/>
    </row>
    <row r="36" spans="1:44" ht="15.75" thickBot="1"/>
    <row r="37" spans="1:44" ht="15.75" thickBot="1">
      <c r="M37" s="1004" t="s">
        <v>79</v>
      </c>
      <c r="N37" s="1005"/>
      <c r="O37" s="1006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37:O37"/>
    <mergeCell ref="D32:F32"/>
    <mergeCell ref="H32:N32"/>
    <mergeCell ref="Z32:AB32"/>
    <mergeCell ref="AD32:AJ32"/>
    <mergeCell ref="D33:F33"/>
    <mergeCell ref="H33:N33"/>
    <mergeCell ref="Z33:AB33"/>
    <mergeCell ref="AD33:AJ33"/>
    <mergeCell ref="D30:F30"/>
    <mergeCell ref="H30:N30"/>
    <mergeCell ref="Z30:AB30"/>
    <mergeCell ref="AD30:AJ30"/>
    <mergeCell ref="D31:F31"/>
    <mergeCell ref="H31:N31"/>
    <mergeCell ref="Z31:AB31"/>
    <mergeCell ref="AD31:AJ31"/>
    <mergeCell ref="J28:M28"/>
    <mergeCell ref="AF28:AI28"/>
    <mergeCell ref="D29:F29"/>
    <mergeCell ref="H29:N29"/>
    <mergeCell ref="Z29:AB29"/>
    <mergeCell ref="AD29:AJ29"/>
    <mergeCell ref="I25:I26"/>
    <mergeCell ref="J25:M25"/>
    <mergeCell ref="AE25:AE26"/>
    <mergeCell ref="AF25:AI25"/>
    <mergeCell ref="J26:M26"/>
    <mergeCell ref="AF26:AI26"/>
    <mergeCell ref="AH20:AH21"/>
    <mergeCell ref="AI20:AL20"/>
    <mergeCell ref="F21:I21"/>
    <mergeCell ref="M21:P21"/>
    <mergeCell ref="AB21:AE21"/>
    <mergeCell ref="AI21:AL21"/>
    <mergeCell ref="AB20:AE20"/>
    <mergeCell ref="E20:E21"/>
    <mergeCell ref="F20:I20"/>
    <mergeCell ref="L20:L21"/>
    <mergeCell ref="M20:P20"/>
    <mergeCell ref="AA20:AA21"/>
    <mergeCell ref="AL14:AL15"/>
    <mergeCell ref="AM14:AO14"/>
    <mergeCell ref="C15:F15"/>
    <mergeCell ref="Q15:S15"/>
    <mergeCell ref="Y15:AB15"/>
    <mergeCell ref="AM15:AO15"/>
    <mergeCell ref="X14:X15"/>
    <mergeCell ref="Y9:AB9"/>
    <mergeCell ref="AF9:AI9"/>
    <mergeCell ref="B14:B15"/>
    <mergeCell ref="C14:F14"/>
    <mergeCell ref="J14:M14"/>
    <mergeCell ref="P14:P15"/>
    <mergeCell ref="Q14:S14"/>
    <mergeCell ref="Y14:AB14"/>
    <mergeCell ref="AF14:AI14"/>
    <mergeCell ref="C4:S4"/>
    <mergeCell ref="T4:T5"/>
    <mergeCell ref="Y4:AO4"/>
    <mergeCell ref="AP4:AP5"/>
    <mergeCell ref="B8:B9"/>
    <mergeCell ref="C8:F8"/>
    <mergeCell ref="I8:I9"/>
    <mergeCell ref="J8:M8"/>
    <mergeCell ref="Q8:S8"/>
    <mergeCell ref="X8:X9"/>
    <mergeCell ref="Y8:AB8"/>
    <mergeCell ref="AE8:AE9"/>
    <mergeCell ref="AF8:AI8"/>
    <mergeCell ref="AM8:AO8"/>
    <mergeCell ref="C9:F9"/>
    <mergeCell ref="J9:M9"/>
    <mergeCell ref="AE1:AH1"/>
    <mergeCell ref="AJ1:AO1"/>
    <mergeCell ref="B2:D2"/>
    <mergeCell ref="F2:G2"/>
    <mergeCell ref="I2:K2"/>
    <mergeCell ref="L2:T2"/>
    <mergeCell ref="X2:Z2"/>
    <mergeCell ref="AB2:AC2"/>
    <mergeCell ref="AE2:AG2"/>
    <mergeCell ref="AH2:AP2"/>
    <mergeCell ref="B1:D1"/>
    <mergeCell ref="E1:G1"/>
    <mergeCell ref="I1:L1"/>
    <mergeCell ref="N1:S1"/>
    <mergeCell ref="X1:Z1"/>
    <mergeCell ref="AA1:AC1"/>
  </mergeCells>
  <conditionalFormatting sqref="H32">
    <cfRule type="expression" dxfId="102" priority="79">
      <formula>$H$2=5</formula>
    </cfRule>
    <cfRule type="expression" dxfId="101" priority="80">
      <formula>$H$2=4</formula>
    </cfRule>
    <cfRule type="expression" dxfId="100" priority="81">
      <formula>$H$2=0</formula>
    </cfRule>
  </conditionalFormatting>
  <conditionalFormatting sqref="H29:N29">
    <cfRule type="expression" dxfId="99" priority="77">
      <formula>$H$2=0</formula>
    </cfRule>
    <cfRule type="expression" dxfId="98" priority="78" stopIfTrue="1">
      <formula>(OR(H2="1",H2="2",H2="3"))</formula>
    </cfRule>
  </conditionalFormatting>
  <conditionalFormatting sqref="H30:N30">
    <cfRule type="expression" dxfId="97" priority="76">
      <formula>(OR(H2="2",H2="3"))</formula>
    </cfRule>
  </conditionalFormatting>
  <conditionalFormatting sqref="H31:N31">
    <cfRule type="expression" dxfId="96" priority="75">
      <formula>(H2="3")</formula>
    </cfRule>
  </conditionalFormatting>
  <conditionalFormatting sqref="H32:N33 AD31:AJ33 AF25:AI25 C14:F15">
    <cfRule type="cellIs" dxfId="95" priority="74" operator="equal">
      <formula>0</formula>
    </cfRule>
  </conditionalFormatting>
  <conditionalFormatting sqref="AD32">
    <cfRule type="expression" dxfId="94" priority="70">
      <formula>$H$2=5</formula>
    </cfRule>
    <cfRule type="expression" dxfId="93" priority="71">
      <formula>$H$2=4</formula>
    </cfRule>
    <cfRule type="expression" dxfId="92" priority="72" stopIfTrue="1">
      <formula>$AA$2=0</formula>
    </cfRule>
  </conditionalFormatting>
  <conditionalFormatting sqref="H33 AD33">
    <cfRule type="expression" dxfId="91" priority="67">
      <formula>$AF$2=5</formula>
    </cfRule>
  </conditionalFormatting>
  <conditionalFormatting sqref="AD33">
    <cfRule type="expression" dxfId="90" priority="66" stopIfTrue="1">
      <formula>$AA$2=0</formula>
    </cfRule>
  </conditionalFormatting>
  <conditionalFormatting sqref="AD30">
    <cfRule type="expression" dxfId="89" priority="61" stopIfTrue="1">
      <formula>$AA$2=0</formula>
    </cfRule>
    <cfRule type="expression" dxfId="88" priority="62">
      <formula>$AF$2=5</formula>
    </cfRule>
    <cfRule type="expression" dxfId="87" priority="63">
      <formula>$AF$2=4</formula>
    </cfRule>
    <cfRule type="expression" dxfId="86" priority="64">
      <formula>$AF$2=3</formula>
    </cfRule>
    <cfRule type="expression" dxfId="85" priority="65">
      <formula>$AF$2=2</formula>
    </cfRule>
  </conditionalFormatting>
  <conditionalFormatting sqref="AD31:AJ31">
    <cfRule type="expression" dxfId="84" priority="57" stopIfTrue="1">
      <formula>$AA$2=0</formula>
    </cfRule>
    <cfRule type="expression" dxfId="83" priority="58">
      <formula>$AF$2=5</formula>
    </cfRule>
    <cfRule type="expression" dxfId="82" priority="59">
      <formula>$AF$2=4</formula>
    </cfRule>
    <cfRule type="expression" dxfId="81" priority="60">
      <formula>$AF$2=3</formula>
    </cfRule>
  </conditionalFormatting>
  <conditionalFormatting sqref="AD32:AJ32">
    <cfRule type="expression" dxfId="80" priority="54">
      <formula>$AF$2=5</formula>
    </cfRule>
    <cfRule type="expression" dxfId="79" priority="55">
      <formula>$AA$2=0</formula>
    </cfRule>
    <cfRule type="expression" dxfId="78" priority="56">
      <formula>$AF$2=4</formula>
    </cfRule>
  </conditionalFormatting>
  <conditionalFormatting sqref="AD29:AJ29">
    <cfRule type="expression" dxfId="77" priority="53">
      <formula>$AF$2=1</formula>
    </cfRule>
  </conditionalFormatting>
  <conditionalFormatting sqref="AD29:AJ29">
    <cfRule type="expression" dxfId="76" priority="52" stopIfTrue="1">
      <formula>(OR(AF2="1",AF2="2",AF2="3"))</formula>
    </cfRule>
  </conditionalFormatting>
  <conditionalFormatting sqref="AD30:AJ30">
    <cfRule type="expression" dxfId="75" priority="51">
      <formula>(OR(AF2="2",AF2="3"))</formula>
    </cfRule>
  </conditionalFormatting>
  <conditionalFormatting sqref="AD31:AJ31">
    <cfRule type="expression" dxfId="74" priority="50">
      <formula>(AF2="3")</formula>
    </cfRule>
  </conditionalFormatting>
  <conditionalFormatting sqref="AD29">
    <cfRule type="expression" dxfId="73" priority="45">
      <formula>$AF$2=2</formula>
    </cfRule>
    <cfRule type="expression" dxfId="72" priority="46">
      <formula>$AF$2=5</formula>
    </cfRule>
    <cfRule type="expression" dxfId="71" priority="47">
      <formula>$AF$2=4</formula>
    </cfRule>
    <cfRule type="expression" dxfId="70" priority="48">
      <formula>$AF$2=3</formula>
    </cfRule>
    <cfRule type="expression" dxfId="69" priority="49">
      <formula>$H$2=0</formula>
    </cfRule>
  </conditionalFormatting>
  <conditionalFormatting sqref="AD29:AJ33">
    <cfRule type="expression" dxfId="68" priority="44">
      <formula>$AA$2=0</formula>
    </cfRule>
  </conditionalFormatting>
  <conditionalFormatting sqref="H33 AD33">
    <cfRule type="expression" dxfId="67" priority="43">
      <formula>$AD$2=5</formula>
    </cfRule>
  </conditionalFormatting>
  <conditionalFormatting sqref="AD33">
    <cfRule type="expression" dxfId="66" priority="42">
      <formula>$AD$2=0</formula>
    </cfRule>
  </conditionalFormatting>
  <conditionalFormatting sqref="AD29">
    <cfRule type="expression" dxfId="65" priority="37">
      <formula>$AD$2=2</formula>
    </cfRule>
    <cfRule type="expression" dxfId="64" priority="38">
      <formula>$AD$2=5</formula>
    </cfRule>
    <cfRule type="expression" dxfId="63" priority="39">
      <formula>$AD$2=4</formula>
    </cfRule>
    <cfRule type="expression" dxfId="62" priority="40">
      <formula>$AD$2=3</formula>
    </cfRule>
    <cfRule type="expression" dxfId="61" priority="41">
      <formula>$H$2=0</formula>
    </cfRule>
  </conditionalFormatting>
  <conditionalFormatting sqref="AD30">
    <cfRule type="expression" dxfId="60" priority="32">
      <formula>$AD$2=0</formula>
    </cfRule>
    <cfRule type="expression" dxfId="59" priority="33">
      <formula>$AD$2=5</formula>
    </cfRule>
    <cfRule type="expression" dxfId="58" priority="34">
      <formula>$AD$2=4</formula>
    </cfRule>
    <cfRule type="expression" dxfId="57" priority="35">
      <formula>$AD$2=3</formula>
    </cfRule>
    <cfRule type="expression" dxfId="56" priority="36">
      <formula>$AD$2=2</formula>
    </cfRule>
  </conditionalFormatting>
  <conditionalFormatting sqref="AD31">
    <cfRule type="expression" dxfId="55" priority="28">
      <formula>$AD$2=0</formula>
    </cfRule>
    <cfRule type="expression" dxfId="54" priority="29">
      <formula>$AD$2=5</formula>
    </cfRule>
    <cfRule type="expression" dxfId="53" priority="30">
      <formula>$AD$2=4</formula>
    </cfRule>
    <cfRule type="expression" dxfId="52" priority="31">
      <formula>$AD$2=3</formula>
    </cfRule>
  </conditionalFormatting>
  <conditionalFormatting sqref="AD32:AJ32">
    <cfRule type="cellIs" dxfId="51" priority="24" operator="equal">
      <formula>0</formula>
    </cfRule>
    <cfRule type="expression" dxfId="50" priority="25">
      <formula>$AD$2=5</formula>
    </cfRule>
    <cfRule type="expression" dxfId="49" priority="26">
      <formula>$AD$2=0</formula>
    </cfRule>
    <cfRule type="expression" dxfId="48" priority="27">
      <formula>$AD$2=4</formula>
    </cfRule>
  </conditionalFormatting>
  <conditionalFormatting sqref="H32 AD32">
    <cfRule type="expression" dxfId="47" priority="23">
      <formula>$H$2=0</formula>
    </cfRule>
  </conditionalFormatting>
  <conditionalFormatting sqref="AD29:AJ29">
    <cfRule type="expression" dxfId="46" priority="22">
      <formula>$AD$2=1</formula>
    </cfRule>
  </conditionalFormatting>
  <conditionalFormatting sqref="H29:N29">
    <cfRule type="expression" dxfId="45" priority="20">
      <formula>$H$2=0</formula>
    </cfRule>
    <cfRule type="expression" dxfId="44" priority="21" stopIfTrue="1">
      <formula>(OR(H2="1",H2="2",H2="3"))</formula>
    </cfRule>
  </conditionalFormatting>
  <conditionalFormatting sqref="H30:N30">
    <cfRule type="expression" dxfId="43" priority="19">
      <formula>(OR(H2="2",H2="3"))</formula>
    </cfRule>
  </conditionalFormatting>
  <conditionalFormatting sqref="H31:N31">
    <cfRule type="cellIs" dxfId="42" priority="17" operator="equal">
      <formula>0</formula>
    </cfRule>
    <cfRule type="expression" dxfId="41" priority="18">
      <formula>(H2="3")</formula>
    </cfRule>
  </conditionalFormatting>
  <conditionalFormatting sqref="AD29:AJ29">
    <cfRule type="expression" dxfId="40" priority="15">
      <formula>$H$2=0</formula>
    </cfRule>
    <cfRule type="expression" dxfId="39" priority="16" stopIfTrue="1">
      <formula>(OR(AD2="1",AD2="2",AD2="3"))</formula>
    </cfRule>
  </conditionalFormatting>
  <conditionalFormatting sqref="AD30:AJ30">
    <cfRule type="expression" dxfId="38" priority="14">
      <formula>(OR(AD2="2",AD2="3"))</formula>
    </cfRule>
  </conditionalFormatting>
  <conditionalFormatting sqref="AD31">
    <cfRule type="expression" dxfId="37" priority="13">
      <formula>(AD2="3")</formula>
    </cfRule>
  </conditionalFormatting>
  <conditionalFormatting sqref="C8:F9 AF8:AF9 AG8:AI8">
    <cfRule type="expression" dxfId="36" priority="6">
      <formula>(OR($E$2=3,$E$2=4,$E$2=5))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BF67"/>
  <sheetViews>
    <sheetView zoomScale="80" zoomScaleNormal="80" workbookViewId="0">
      <selection activeCell="B6" sqref="B6:D6"/>
    </sheetView>
  </sheetViews>
  <sheetFormatPr baseColWidth="10" defaultRowHeight="15"/>
  <cols>
    <col min="1" max="1" width="11.42578125" style="153"/>
    <col min="2" max="2" width="10.28515625" style="36" customWidth="1"/>
    <col min="3" max="3" width="7.140625" style="36" customWidth="1"/>
    <col min="4" max="4" width="9.28515625" style="36" customWidth="1"/>
    <col min="5" max="5" width="7" style="36" customWidth="1"/>
    <col min="6" max="6" width="10.42578125" style="36" customWidth="1"/>
    <col min="7" max="7" width="10.28515625" style="36" customWidth="1"/>
    <col min="8" max="8" width="8.42578125" style="36" customWidth="1"/>
    <col min="9" max="9" width="11" style="36" customWidth="1"/>
    <col min="10" max="10" width="6.7109375" style="153" customWidth="1"/>
    <col min="11" max="11" width="5.42578125" style="36" customWidth="1"/>
    <col min="12" max="12" width="7.7109375" style="36" customWidth="1"/>
    <col min="13" max="13" width="10.42578125" style="36" customWidth="1"/>
    <col min="14" max="14" width="7.85546875" style="36" customWidth="1"/>
    <col min="15" max="15" width="11.5703125" style="36" customWidth="1"/>
    <col min="16" max="16" width="4.7109375" style="36" customWidth="1"/>
    <col min="17" max="17" width="7.28515625" style="36" customWidth="1"/>
    <col min="18" max="18" width="7.42578125" style="36" customWidth="1"/>
    <col min="19" max="19" width="14.7109375" style="36" customWidth="1"/>
    <col min="20" max="20" width="9.5703125" style="36" customWidth="1"/>
    <col min="21" max="21" width="15" style="36" customWidth="1"/>
    <col min="22" max="22" width="5.7109375" style="36" customWidth="1"/>
    <col min="23" max="23" width="6.140625" style="36" customWidth="1"/>
    <col min="24" max="24" width="6.42578125" style="36" customWidth="1"/>
    <col min="25" max="25" width="8.7109375" style="36" customWidth="1"/>
    <col min="26" max="26" width="7.5703125" style="36" customWidth="1"/>
    <col min="27" max="27" width="11.42578125" style="36"/>
    <col min="28" max="28" width="6.42578125" style="36" customWidth="1"/>
    <col min="29" max="29" width="11.42578125" style="36"/>
    <col min="30" max="30" width="7.140625" style="36" customWidth="1"/>
    <col min="31" max="31" width="4" style="36" customWidth="1"/>
    <col min="32" max="32" width="6.28515625" style="36" customWidth="1"/>
    <col min="33" max="33" width="8.28515625" style="36" customWidth="1"/>
    <col min="34" max="34" width="4" style="36" customWidth="1"/>
    <col min="35" max="35" width="7.5703125" style="36" customWidth="1"/>
    <col min="36" max="36" width="7.42578125" style="36" customWidth="1"/>
    <col min="37" max="37" width="6.5703125" style="36" customWidth="1"/>
    <col min="38" max="38" width="6.7109375" style="36" customWidth="1"/>
    <col min="39" max="39" width="7.85546875" style="36" customWidth="1"/>
    <col min="40" max="40" width="5" style="36" customWidth="1"/>
    <col min="41" max="41" width="9" style="36" customWidth="1"/>
    <col min="42" max="42" width="7.28515625" style="36" customWidth="1"/>
    <col min="43" max="43" width="5.7109375" style="36" customWidth="1"/>
    <col min="44" max="44" width="6.5703125" style="36" customWidth="1"/>
    <col min="45" max="45" width="8.85546875" style="36" customWidth="1"/>
    <col min="46" max="46" width="6.42578125" style="36" customWidth="1"/>
    <col min="47" max="47" width="8.5703125" style="36" customWidth="1"/>
    <col min="48" max="48" width="7" style="36" customWidth="1"/>
    <col min="49" max="49" width="6.140625" style="36" customWidth="1"/>
    <col min="50" max="50" width="8.42578125" style="36" customWidth="1"/>
    <col min="51" max="51" width="6.85546875" style="36" customWidth="1"/>
    <col min="52" max="52" width="8.5703125" style="36" customWidth="1"/>
    <col min="53" max="53" width="8.7109375" style="36" customWidth="1"/>
    <col min="54" max="54" width="6.5703125" style="36" customWidth="1"/>
    <col min="55" max="55" width="8.42578125" style="36" customWidth="1"/>
    <col min="56" max="56" width="6.7109375" style="36" customWidth="1"/>
    <col min="57" max="57" width="7" style="36" customWidth="1"/>
    <col min="58" max="16384" width="11.42578125" style="36"/>
  </cols>
  <sheetData>
    <row r="1" spans="1:58" ht="31.5" customHeight="1" thickBot="1">
      <c r="F1" s="154"/>
      <c r="X1" s="155"/>
      <c r="Y1" s="155"/>
      <c r="Z1" s="1052" t="s">
        <v>54</v>
      </c>
      <c r="AA1" s="1043"/>
      <c r="AB1" s="1043"/>
      <c r="AC1" s="1043"/>
      <c r="AD1" s="1043"/>
      <c r="AE1" s="1044"/>
      <c r="AF1" s="1052" t="s">
        <v>55</v>
      </c>
      <c r="AG1" s="1043"/>
      <c r="AH1" s="1043">
        <f>[1]Renseignements!$E$6</f>
        <v>0</v>
      </c>
      <c r="AI1" s="1044"/>
      <c r="AJ1" s="1052" t="s">
        <v>56</v>
      </c>
      <c r="AK1" s="1043"/>
      <c r="AL1" s="1043"/>
      <c r="AM1" s="1043" t="str">
        <f>[1]Renseignements!$K$6</f>
        <v>Quadrettes</v>
      </c>
      <c r="AN1" s="1043"/>
      <c r="AO1" s="1044"/>
      <c r="AP1" s="1052" t="s">
        <v>57</v>
      </c>
      <c r="AQ1" s="1043"/>
      <c r="AR1" s="1043"/>
      <c r="AS1" s="1043"/>
      <c r="AT1" s="1043"/>
      <c r="AU1" s="1043" t="str">
        <f>[1]Renseignements!$E$9</f>
        <v xml:space="preserve"> Div.</v>
      </c>
      <c r="AV1" s="1044"/>
    </row>
    <row r="2" spans="1:58" ht="42.75" customHeight="1" thickBot="1">
      <c r="B2" s="156"/>
      <c r="C2" s="156"/>
      <c r="D2" s="1062" t="s">
        <v>157</v>
      </c>
      <c r="E2" s="1063"/>
      <c r="F2" s="1063"/>
      <c r="G2" s="1064"/>
      <c r="H2" s="1"/>
      <c r="I2" s="1"/>
      <c r="J2" s="157"/>
      <c r="K2" s="1"/>
      <c r="L2" s="158"/>
      <c r="M2" s="159"/>
      <c r="N2" s="159"/>
      <c r="O2" s="159"/>
      <c r="P2" s="159"/>
      <c r="Q2" s="159"/>
      <c r="S2" s="96">
        <f>+Données!J10</f>
        <v>0</v>
      </c>
      <c r="T2" s="135" t="s">
        <v>147</v>
      </c>
      <c r="U2" s="95">
        <f>+Données!D17</f>
        <v>0</v>
      </c>
      <c r="X2" s="160"/>
      <c r="Y2" s="160"/>
      <c r="Z2" s="1045" t="s">
        <v>7</v>
      </c>
      <c r="AA2" s="1046"/>
      <c r="AB2" s="1046"/>
      <c r="AC2" s="1046"/>
      <c r="AD2" s="1046"/>
      <c r="AE2" s="1046"/>
      <c r="AF2" s="1046"/>
      <c r="AG2" s="1046"/>
      <c r="AH2" s="1046"/>
      <c r="AI2" s="161"/>
      <c r="AJ2" s="160"/>
      <c r="AK2" s="160"/>
      <c r="AL2" s="160"/>
      <c r="AM2" s="160"/>
      <c r="AN2" s="160"/>
      <c r="AO2" s="160"/>
      <c r="AP2" s="161"/>
      <c r="AQ2" s="161"/>
      <c r="AR2" s="162"/>
      <c r="AS2" s="162"/>
      <c r="AT2" s="162"/>
      <c r="AU2" s="162"/>
      <c r="AV2" s="163"/>
    </row>
    <row r="3" spans="1:58" ht="38.25" customHeight="1" thickBot="1">
      <c r="B3" s="1073"/>
      <c r="C3" s="1073"/>
      <c r="D3" s="1073"/>
      <c r="E3" s="164"/>
      <c r="F3" s="1"/>
      <c r="G3" s="1"/>
      <c r="H3" s="1"/>
      <c r="I3" s="1"/>
      <c r="J3" s="157"/>
      <c r="K3" s="1"/>
      <c r="L3" s="1"/>
      <c r="M3" s="1"/>
      <c r="N3" s="1"/>
      <c r="O3" s="1"/>
      <c r="P3" s="165"/>
      <c r="Q3" s="166"/>
      <c r="S3" s="97"/>
      <c r="T3" s="136" t="s">
        <v>148</v>
      </c>
      <c r="U3" s="98">
        <f>+Données!D18</f>
        <v>0</v>
      </c>
      <c r="X3" s="165"/>
      <c r="Y3" s="167"/>
      <c r="Z3" s="1047"/>
      <c r="AA3" s="1048"/>
      <c r="AB3" s="1048"/>
      <c r="AC3" s="1048"/>
      <c r="AD3" s="1048"/>
      <c r="AE3" s="1048"/>
      <c r="AF3" s="1048"/>
      <c r="AG3" s="1048"/>
      <c r="AH3" s="1048"/>
      <c r="AI3" s="1049" t="s">
        <v>53</v>
      </c>
      <c r="AJ3" s="1050"/>
      <c r="AK3" s="1050"/>
      <c r="AL3" s="1050"/>
      <c r="AM3" s="1050"/>
      <c r="AN3" s="1050"/>
      <c r="AO3" s="1050"/>
      <c r="AP3" s="1050"/>
      <c r="AQ3" s="1050"/>
      <c r="AR3" s="1050"/>
      <c r="AS3" s="1051"/>
      <c r="AT3" s="99">
        <f>Données!$L$13</f>
        <v>0</v>
      </c>
      <c r="AU3" s="102"/>
      <c r="AV3" s="168"/>
      <c r="AX3" s="1"/>
      <c r="AY3" s="1"/>
      <c r="AZ3" s="1"/>
      <c r="BA3" s="1"/>
      <c r="BB3" s="1"/>
      <c r="BC3" s="1"/>
      <c r="BD3" s="1"/>
      <c r="BE3" s="1"/>
      <c r="BF3" s="1"/>
    </row>
    <row r="4" spans="1:58" s="1" customFormat="1" ht="23.25" customHeight="1" thickBot="1">
      <c r="A4" s="157"/>
      <c r="B4" s="36"/>
      <c r="C4" s="36"/>
      <c r="D4" s="36"/>
      <c r="E4" s="36"/>
      <c r="F4" s="169">
        <f>COUNTIF(B6:I52,"OFFICE")</f>
        <v>8</v>
      </c>
      <c r="G4" s="36"/>
      <c r="H4" s="36"/>
      <c r="I4" s="36"/>
      <c r="J4" s="153"/>
      <c r="K4" s="36"/>
      <c r="L4" s="170"/>
      <c r="M4" s="36"/>
      <c r="N4" s="36"/>
      <c r="O4" s="36"/>
      <c r="P4" s="36"/>
      <c r="Q4" s="36"/>
      <c r="R4" s="36"/>
      <c r="V4" s="36"/>
      <c r="W4" s="36"/>
      <c r="AK4" s="1168" t="s">
        <v>227</v>
      </c>
      <c r="AL4" s="1169"/>
      <c r="AM4" s="1169"/>
      <c r="AN4" s="1169"/>
      <c r="AO4" s="1169"/>
      <c r="AP4" s="1169"/>
      <c r="AQ4" s="1169"/>
      <c r="AR4" s="1169"/>
      <c r="AS4" s="1169"/>
      <c r="AT4" s="1170"/>
    </row>
    <row r="5" spans="1:58" ht="20.100000000000001" customHeight="1" thickBot="1">
      <c r="C5" s="171" t="s">
        <v>11</v>
      </c>
      <c r="E5" s="153"/>
      <c r="H5" s="171" t="s">
        <v>12</v>
      </c>
      <c r="L5" s="1"/>
      <c r="M5" s="1"/>
      <c r="N5" s="1"/>
      <c r="O5" s="1"/>
      <c r="P5" s="1"/>
      <c r="Q5" s="1"/>
      <c r="R5" s="172"/>
      <c r="S5" s="1"/>
      <c r="T5" s="1"/>
      <c r="U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8" ht="20.100000000000001" customHeight="1" thickBot="1">
      <c r="A6" s="173" t="s">
        <v>175</v>
      </c>
      <c r="B6" s="1068" t="b">
        <f>+'Poule 1 et 2'!$H$29</f>
        <v>0</v>
      </c>
      <c r="C6" s="1069"/>
      <c r="D6" s="1069"/>
      <c r="E6" s="174">
        <v>1</v>
      </c>
      <c r="F6" s="153"/>
      <c r="G6" s="1056" t="b">
        <f>IF(AND($U$3&gt;47,$U$2&gt;64),'Poule 15 et 16'!$AD$30)</f>
        <v>0</v>
      </c>
      <c r="H6" s="1057"/>
      <c r="I6" s="1058"/>
      <c r="J6" s="174">
        <v>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8" s="177" customFormat="1" ht="20.100000000000001" customHeight="1" thickBot="1">
      <c r="A7" s="175"/>
      <c r="B7" s="1070" t="s">
        <v>216</v>
      </c>
      <c r="C7" s="1071"/>
      <c r="D7" s="1071"/>
      <c r="E7" s="176">
        <v>0</v>
      </c>
      <c r="F7" s="153"/>
      <c r="G7" s="1059" t="b">
        <f>IF(AND($U$3&gt;47,$U$2&gt;64),'Poule 17 et 18'!$H$30)</f>
        <v>0</v>
      </c>
      <c r="H7" s="1060"/>
      <c r="I7" s="1061"/>
      <c r="J7" s="176">
        <v>0</v>
      </c>
      <c r="M7" s="1119" t="s">
        <v>10</v>
      </c>
      <c r="N7" s="1120"/>
      <c r="O7" s="1121"/>
      <c r="S7" s="1119" t="s">
        <v>10</v>
      </c>
      <c r="T7" s="1120"/>
      <c r="U7" s="1121"/>
      <c r="Y7" s="1122" t="s">
        <v>8</v>
      </c>
      <c r="Z7" s="1123"/>
      <c r="AA7" s="1124"/>
      <c r="AE7" s="1125" t="s">
        <v>9</v>
      </c>
      <c r="AF7" s="1126"/>
      <c r="AG7" s="1127"/>
      <c r="AK7" s="1128" t="s">
        <v>220</v>
      </c>
      <c r="AL7" s="1129"/>
      <c r="AM7" s="1130"/>
      <c r="AQ7" s="1105" t="s">
        <v>221</v>
      </c>
      <c r="AR7" s="1106"/>
      <c r="AS7" s="1107"/>
      <c r="BC7" s="36"/>
    </row>
    <row r="8" spans="1:58" ht="20.100000000000001" customHeight="1" thickBot="1">
      <c r="A8" s="173"/>
      <c r="B8" s="129"/>
      <c r="C8" s="137" t="s">
        <v>58</v>
      </c>
      <c r="D8" s="129"/>
      <c r="E8" s="157"/>
      <c r="F8" s="153"/>
      <c r="G8" s="129"/>
      <c r="H8" s="138" t="s">
        <v>51</v>
      </c>
      <c r="I8" s="129"/>
      <c r="J8" s="157"/>
      <c r="L8" s="140" t="s">
        <v>6</v>
      </c>
      <c r="N8" s="171" t="s">
        <v>11</v>
      </c>
      <c r="P8" s="140" t="s">
        <v>5</v>
      </c>
      <c r="Q8" s="140"/>
      <c r="R8" s="140" t="s">
        <v>6</v>
      </c>
      <c r="T8" s="171" t="s">
        <v>12</v>
      </c>
      <c r="V8" s="140" t="s">
        <v>5</v>
      </c>
      <c r="W8" s="140"/>
      <c r="X8" s="140" t="s">
        <v>6</v>
      </c>
      <c r="Z8" s="171" t="s">
        <v>11</v>
      </c>
      <c r="AB8" s="140" t="s">
        <v>5</v>
      </c>
      <c r="AD8" s="140" t="s">
        <v>6</v>
      </c>
      <c r="AF8" s="171" t="s">
        <v>11</v>
      </c>
      <c r="AH8" s="140" t="s">
        <v>5</v>
      </c>
      <c r="AJ8" s="140" t="s">
        <v>6</v>
      </c>
      <c r="AL8" s="171" t="s">
        <v>11</v>
      </c>
      <c r="AN8" s="140" t="s">
        <v>5</v>
      </c>
    </row>
    <row r="9" spans="1:58" ht="20.100000000000001" customHeight="1" thickBot="1">
      <c r="A9" s="173" t="s">
        <v>177</v>
      </c>
      <c r="B9" s="970" t="b">
        <f>+'Poule 1 et 2'!AD29</f>
        <v>0</v>
      </c>
      <c r="C9" s="979"/>
      <c r="D9" s="980"/>
      <c r="E9" s="174">
        <v>1</v>
      </c>
      <c r="F9" s="153"/>
      <c r="G9" s="1056" t="b">
        <f>IF(AND($U$3&gt;47,$U$2&gt;64),'Poule 17 et 18'!$H$29)</f>
        <v>0</v>
      </c>
      <c r="H9" s="1057"/>
      <c r="I9" s="1058"/>
      <c r="J9" s="174">
        <v>1</v>
      </c>
      <c r="L9" s="965"/>
      <c r="M9" s="1108" t="b">
        <f>IF(E6=E7,"Gagnant 1/32 A",IF(E6&gt;E7,B6,IF(E6&lt;E7,B7)))</f>
        <v>0</v>
      </c>
      <c r="N9" s="1109"/>
      <c r="O9" s="1110"/>
      <c r="P9" s="58">
        <v>2</v>
      </c>
      <c r="Q9" s="178"/>
      <c r="R9" s="965"/>
      <c r="S9" s="1108" t="b">
        <f>IF(E30=E31,"Gagnant 1/32 Q",IF(E30&gt;E31,B30,IF(E30&lt;E31,B31)))</f>
        <v>0</v>
      </c>
      <c r="T9" s="1109"/>
      <c r="U9" s="1110"/>
      <c r="V9" s="58">
        <v>1</v>
      </c>
      <c r="W9" s="178"/>
      <c r="X9" s="965"/>
      <c r="Y9" s="1111" t="b">
        <f>IF(P9=P10,"Gagnant 1/16 A",IF(P9&gt;P10,M9,IF(P9&lt;P10,M10)))</f>
        <v>0</v>
      </c>
      <c r="Z9" s="1112"/>
      <c r="AA9" s="1113"/>
      <c r="AB9" s="49">
        <v>1</v>
      </c>
      <c r="AC9" s="185" t="b">
        <f>IF(AB9=AB10,"&amp;",IF(AB9&gt;AB10,Y9,Y10))</f>
        <v>0</v>
      </c>
      <c r="AD9" s="965"/>
      <c r="AE9" s="1101" t="b">
        <f>IF(AB9=AB10,"Gagnant 1/8 A",IF(AB9&gt;AB10,Y9,IF(AB9&lt;AB10,Y10)))</f>
        <v>0</v>
      </c>
      <c r="AF9" s="1114"/>
      <c r="AG9" s="1115"/>
      <c r="AH9" s="58">
        <v>1</v>
      </c>
      <c r="AI9" s="146" t="b">
        <f>IF(AH9=AH10,"&amp;",IF(AH9&gt;AH10,AE9,AE10))</f>
        <v>0</v>
      </c>
      <c r="AJ9" s="965"/>
      <c r="AK9" s="1116" t="b">
        <f>IF(AH9=AH10,"Gagnant 1/4 A",IF(AH9&gt;AH10,AE9,IF(AH9&lt;AH10,AE10)))</f>
        <v>0</v>
      </c>
      <c r="AL9" s="1117"/>
      <c r="AM9" s="1118"/>
      <c r="AN9" s="49">
        <v>1</v>
      </c>
      <c r="AO9" s="149" t="b">
        <f>IF(AN9=AN10,"&amp;",IF(AN9&gt;AN10,AK9,AK10))</f>
        <v>0</v>
      </c>
      <c r="AV9" s="1092" t="s">
        <v>222</v>
      </c>
      <c r="AW9" s="1093"/>
      <c r="AX9" s="1093"/>
      <c r="AY9" s="1093"/>
      <c r="AZ9" s="1093"/>
      <c r="BA9" s="1093"/>
      <c r="BB9" s="1094"/>
    </row>
    <row r="10" spans="1:58" ht="20.100000000000001" customHeight="1" thickBot="1">
      <c r="A10" s="173"/>
      <c r="B10" s="1070" t="s">
        <v>218</v>
      </c>
      <c r="C10" s="1071"/>
      <c r="D10" s="1072"/>
      <c r="E10" s="176"/>
      <c r="F10" s="173" t="s">
        <v>196</v>
      </c>
      <c r="G10" s="1053" t="b">
        <f>'Poule 7 et 8'!$AD$31</f>
        <v>0</v>
      </c>
      <c r="H10" s="1054"/>
      <c r="I10" s="1055"/>
      <c r="J10" s="176"/>
      <c r="L10" s="966"/>
      <c r="M10" s="1095" t="b">
        <f>IF(J6=J7,"Gagnant 1/32 B",IF(J6&gt;J7,G6,IF(J6&lt;J7,G7)))</f>
        <v>0</v>
      </c>
      <c r="N10" s="1096"/>
      <c r="O10" s="1097"/>
      <c r="P10" s="58">
        <v>3</v>
      </c>
      <c r="Q10" s="178"/>
      <c r="R10" s="966"/>
      <c r="S10" s="1095" t="b">
        <f>IF(J30=J31,"Gagnant 1/32 R",IF(J30&gt;J31,G30,IF(J30&lt;J31,G31)))</f>
        <v>0</v>
      </c>
      <c r="T10" s="1096"/>
      <c r="U10" s="1097"/>
      <c r="V10" s="100">
        <v>2</v>
      </c>
      <c r="W10" s="178"/>
      <c r="X10" s="966"/>
      <c r="Y10" s="1098" t="b">
        <f>IF(V9=V10,"Gagnant 1/16 B",IF(V9&gt;V10,S9,IF(V9&lt;V10,S10)))</f>
        <v>0</v>
      </c>
      <c r="Z10" s="1099"/>
      <c r="AA10" s="1100"/>
      <c r="AB10" s="151">
        <v>2</v>
      </c>
      <c r="AC10" s="185" t="b">
        <f>IF(AB9=AB10,"&amp;",IF(AB9&lt;AB10,Y9,Y10))</f>
        <v>0</v>
      </c>
      <c r="AD10" s="966"/>
      <c r="AE10" s="1101" t="b">
        <f>IF(AB12=AB13,"Gagnant 1/8 B",IF(AB12&gt;AB13,Y12,IF(AB12&lt;AB13,Y13)))</f>
        <v>0</v>
      </c>
      <c r="AF10" s="992"/>
      <c r="AG10" s="993"/>
      <c r="AH10" s="100">
        <v>0</v>
      </c>
      <c r="AI10" s="147" t="b">
        <f>IF(AH9=AH10,"&amp;",IF(AH9&lt;AH10,AE9,AE10))</f>
        <v>0</v>
      </c>
      <c r="AJ10" s="966"/>
      <c r="AK10" s="1102" t="str">
        <f>IF(AH15=AH16,"Gagnant 1/4 B",IF(AH15&gt;AH16,AE15,IF(AH15&lt;AH16,AE16)))</f>
        <v>OFFICE</v>
      </c>
      <c r="AL10" s="1103"/>
      <c r="AM10" s="1104"/>
      <c r="AN10" s="151">
        <v>0</v>
      </c>
      <c r="AO10" s="149" t="str">
        <f>IF(AN9=AN10,"&amp;",IF(AN9&lt;AN10,AK9,AK10))</f>
        <v>OFFICE</v>
      </c>
    </row>
    <row r="11" spans="1:58" ht="20.100000000000001" customHeight="1" thickBot="1">
      <c r="A11" s="173"/>
      <c r="B11" s="129"/>
      <c r="C11" s="133" t="s">
        <v>52</v>
      </c>
      <c r="D11" s="129"/>
      <c r="E11" s="157"/>
      <c r="F11" s="173"/>
      <c r="G11" s="129"/>
      <c r="H11" s="133" t="s">
        <v>59</v>
      </c>
      <c r="I11" s="129"/>
      <c r="J11" s="157"/>
      <c r="M11" s="30"/>
      <c r="N11" s="133" t="s">
        <v>58</v>
      </c>
      <c r="O11" s="30"/>
      <c r="P11" s="101"/>
      <c r="Q11" s="179"/>
      <c r="S11" s="30"/>
      <c r="T11" s="133" t="s">
        <v>51</v>
      </c>
      <c r="U11" s="30"/>
      <c r="V11" s="101"/>
      <c r="W11" s="179"/>
      <c r="Y11" s="139"/>
      <c r="Z11" s="133" t="s">
        <v>12</v>
      </c>
      <c r="AA11" s="30"/>
      <c r="AC11" s="148"/>
      <c r="AE11" s="30"/>
      <c r="AF11" s="30"/>
      <c r="AG11" s="30"/>
      <c r="AI11" s="148"/>
      <c r="AK11" s="30"/>
      <c r="AL11" s="30"/>
      <c r="AM11" s="30"/>
      <c r="AO11" s="150"/>
      <c r="AP11" s="140" t="s">
        <v>6</v>
      </c>
      <c r="AT11" s="140" t="s">
        <v>5</v>
      </c>
    </row>
    <row r="12" spans="1:58" ht="20.100000000000001" customHeight="1" thickBot="1">
      <c r="A12" s="173" t="s">
        <v>176</v>
      </c>
      <c r="B12" s="970" t="b">
        <f>+'Poule 3 et 4'!H29</f>
        <v>0</v>
      </c>
      <c r="C12" s="979"/>
      <c r="D12" s="980"/>
      <c r="E12" s="174">
        <v>1</v>
      </c>
      <c r="F12" s="173" t="s">
        <v>197</v>
      </c>
      <c r="G12" s="970" t="str">
        <f>'Poule 13 et 14'!$AD$30</f>
        <v>OFFICE</v>
      </c>
      <c r="H12" s="979"/>
      <c r="I12" s="980"/>
      <c r="J12" s="174">
        <v>1</v>
      </c>
      <c r="L12" s="965"/>
      <c r="M12" s="1108" t="b">
        <f>IF(E9=E10,"Gagnant 1/32 C",IF(E9&gt;E10,B9,IF(E9&lt;E10,B10)))</f>
        <v>0</v>
      </c>
      <c r="N12" s="1109"/>
      <c r="O12" s="1110"/>
      <c r="P12" s="58">
        <v>1</v>
      </c>
      <c r="Q12" s="178"/>
      <c r="R12" s="965"/>
      <c r="S12" s="1108" t="b">
        <f>IF(E33=E34,"Gagnant 1/32 Q",IF(E33&gt;E34,B33,IF(E33&lt;E34,B34)))</f>
        <v>0</v>
      </c>
      <c r="T12" s="1109"/>
      <c r="U12" s="1110"/>
      <c r="V12" s="58">
        <v>2</v>
      </c>
      <c r="W12" s="178"/>
      <c r="X12" s="965"/>
      <c r="Y12" s="1111" t="b">
        <f>IF(P12=P13,"Gagnant 1/16 A",IF(P12&gt;P13,M12,IF(P12&lt;P13,M13)))</f>
        <v>0</v>
      </c>
      <c r="Z12" s="1112"/>
      <c r="AA12" s="1113"/>
      <c r="AB12" s="49">
        <v>1</v>
      </c>
      <c r="AC12" s="185" t="b">
        <f>IF(AB12=AB13,"&amp;",IF(AB12&gt;AB13,Y12,Y13))</f>
        <v>0</v>
      </c>
      <c r="AE12" s="30"/>
      <c r="AF12" s="30"/>
      <c r="AG12" s="30"/>
      <c r="AI12" s="148"/>
      <c r="AK12" s="30"/>
      <c r="AL12" s="30"/>
      <c r="AM12" s="30"/>
      <c r="AO12" s="150"/>
      <c r="AP12" s="965"/>
      <c r="AQ12" s="1131" t="b">
        <f>AO9</f>
        <v>0</v>
      </c>
      <c r="AR12" s="1132"/>
      <c r="AS12" s="1133"/>
      <c r="AT12" s="49">
        <v>1</v>
      </c>
      <c r="AU12" s="148" t="str">
        <f>IF(AT12=AT13,"&amp;",IF(AT12&gt;AT13,AQ12,AQ13))</f>
        <v>OFFICE</v>
      </c>
    </row>
    <row r="13" spans="1:58" ht="20.100000000000001" customHeight="1" thickBot="1">
      <c r="A13" s="173"/>
      <c r="B13" s="1065">
        <f>IF(AND(U3&gt;47,U3&lt;57),"OFFICE 5",IF(AND(U3&gt;57,U2&gt;78),'Poule 19 et 20'!$H$31,IF(AND(U3=50,U2=69),'Poule 17 et 18'!AD30,0)))</f>
        <v>0</v>
      </c>
      <c r="C13" s="1066"/>
      <c r="D13" s="1067"/>
      <c r="E13" s="176"/>
      <c r="F13" s="173" t="s">
        <v>198</v>
      </c>
      <c r="G13" s="1053" t="b">
        <f>'Poule 9 et 10'!$H$31</f>
        <v>0</v>
      </c>
      <c r="H13" s="1054"/>
      <c r="I13" s="1055"/>
      <c r="J13" s="176"/>
      <c r="L13" s="966"/>
      <c r="M13" s="1095" t="b">
        <f>IF(J9=J10,"Gagnant 1/32 D",IF(J9&gt;J10,G9,IF(J9&lt;J10,G10)))</f>
        <v>0</v>
      </c>
      <c r="N13" s="1096"/>
      <c r="O13" s="1097"/>
      <c r="P13" s="58">
        <v>2</v>
      </c>
      <c r="Q13" s="178"/>
      <c r="R13" s="966"/>
      <c r="S13" s="1095" t="b">
        <f>IF(J33=J34,"Gagnant 1/32 R",IF(J33&gt;J34,G33,IF(J33&lt;J34,G34)))</f>
        <v>0</v>
      </c>
      <c r="T13" s="1096"/>
      <c r="U13" s="1097"/>
      <c r="V13" s="100">
        <v>1</v>
      </c>
      <c r="W13" s="178"/>
      <c r="X13" s="966"/>
      <c r="Y13" s="1098" t="b">
        <f>IF(V12=V13,"Gagnant 1/16 B",IF(V12&gt;V13,S12,IF(V12&lt;V13,S13)))</f>
        <v>0</v>
      </c>
      <c r="Z13" s="1099"/>
      <c r="AA13" s="1100"/>
      <c r="AB13" s="151">
        <v>2</v>
      </c>
      <c r="AC13" s="186" t="b">
        <f>IF(AB12=AB13,"&amp;",IF(AB12&lt;AB13,Y12,Y13))</f>
        <v>0</v>
      </c>
      <c r="AE13" s="30"/>
      <c r="AF13" s="30"/>
      <c r="AG13" s="30"/>
      <c r="AI13" s="148"/>
      <c r="AK13" s="30"/>
      <c r="AL13" s="30"/>
      <c r="AM13" s="30"/>
      <c r="AO13" s="150"/>
      <c r="AP13" s="966"/>
      <c r="AQ13" s="1131" t="str">
        <f>+AO15</f>
        <v>OFFICE</v>
      </c>
      <c r="AR13" s="1134"/>
      <c r="AS13" s="1135"/>
      <c r="AT13" s="151">
        <v>2</v>
      </c>
      <c r="AU13" s="150" t="b">
        <f>IF(AT12=AT13,"&amp;",IF(AT12&lt;AT13,AQ12,AQ13))</f>
        <v>0</v>
      </c>
    </row>
    <row r="14" spans="1:58" ht="20.100000000000001" customHeight="1" thickBot="1">
      <c r="A14" s="173"/>
      <c r="B14" s="130"/>
      <c r="C14" s="133" t="s">
        <v>60</v>
      </c>
      <c r="D14" s="130"/>
      <c r="E14" s="157"/>
      <c r="F14" s="173"/>
      <c r="G14" s="130"/>
      <c r="H14" s="133" t="s">
        <v>61</v>
      </c>
      <c r="I14" s="130"/>
      <c r="J14" s="157"/>
      <c r="M14" s="30"/>
      <c r="N14" s="133" t="s">
        <v>52</v>
      </c>
      <c r="O14" s="30"/>
      <c r="P14" s="101"/>
      <c r="Q14" s="179"/>
      <c r="S14" s="30"/>
      <c r="T14" s="133" t="s">
        <v>59</v>
      </c>
      <c r="U14" s="30"/>
      <c r="V14" s="101"/>
      <c r="W14" s="179"/>
      <c r="Y14" s="30"/>
      <c r="Z14" s="133" t="s">
        <v>58</v>
      </c>
      <c r="AA14" s="30"/>
      <c r="AC14" s="141"/>
      <c r="AE14" s="30"/>
      <c r="AF14" s="133" t="s">
        <v>12</v>
      </c>
      <c r="AG14" s="30"/>
      <c r="AI14" s="148"/>
      <c r="AJ14" s="140"/>
      <c r="AK14" s="30"/>
      <c r="AL14" s="133" t="s">
        <v>12</v>
      </c>
      <c r="AM14" s="30"/>
      <c r="AN14" s="140"/>
      <c r="AO14" s="150"/>
      <c r="AU14" s="144"/>
    </row>
    <row r="15" spans="1:58" ht="20.100000000000001" customHeight="1" thickBot="1">
      <c r="A15" s="173" t="s">
        <v>178</v>
      </c>
      <c r="B15" s="970" t="b">
        <f>'Poule 3 et 4'!$AD$29</f>
        <v>0</v>
      </c>
      <c r="C15" s="979"/>
      <c r="D15" s="980"/>
      <c r="E15" s="174">
        <v>1</v>
      </c>
      <c r="F15" s="173" t="s">
        <v>199</v>
      </c>
      <c r="G15" s="970" t="str">
        <f>'Poule 13 et 14'!$H$30</f>
        <v>OFFICE</v>
      </c>
      <c r="H15" s="979"/>
      <c r="I15" s="980"/>
      <c r="J15" s="174">
        <v>1</v>
      </c>
      <c r="L15" s="965"/>
      <c r="M15" s="1108" t="b">
        <f>IF(E12=E13,"Gagnant 1/32 E",IF(E12&gt;E13,B12,IF(E12&lt;E13,B13)))</f>
        <v>0</v>
      </c>
      <c r="N15" s="1109"/>
      <c r="O15" s="1110"/>
      <c r="P15" s="58">
        <v>1</v>
      </c>
      <c r="Q15" s="178"/>
      <c r="R15" s="965"/>
      <c r="S15" s="1108" t="str">
        <f>IF(E36=E37,"Gagnant 1/32 Q",IF(E36&gt;E37,B36,IF(E36&lt;E37,B37)))</f>
        <v>OFFICE</v>
      </c>
      <c r="T15" s="1109"/>
      <c r="U15" s="1110"/>
      <c r="V15" s="58">
        <v>2</v>
      </c>
      <c r="W15" s="178"/>
      <c r="X15" s="965"/>
      <c r="Y15" s="1111" t="str">
        <f>IF(P15=P16,"Gagnant 1/16 A",IF(P15&gt;P16,M15,IF(P15&lt;P16,M16)))</f>
        <v>OFFICE</v>
      </c>
      <c r="Z15" s="1112"/>
      <c r="AA15" s="1113"/>
      <c r="AB15" s="49">
        <v>1</v>
      </c>
      <c r="AC15" s="186" t="str">
        <f>IF(AB15=AB16,"&amp;",IF(AB15&gt;AB16,Y15,Y16))</f>
        <v>OFFICE</v>
      </c>
      <c r="AD15" s="965"/>
      <c r="AE15" s="1101" t="str">
        <f>IF(AB15=AB16,"Gagnant 1/8 C",IF(AB15&gt;AB16,Y15,IF(AB15&lt;AB16,Y16)))</f>
        <v>OFFICE</v>
      </c>
      <c r="AF15" s="992"/>
      <c r="AG15" s="993"/>
      <c r="AH15" s="49">
        <v>1</v>
      </c>
      <c r="AI15" s="147" t="str">
        <f>IF(AH15=AH16,"&amp;",IF(AH15&gt;AH16,AE15,AE16))</f>
        <v>OFFICE</v>
      </c>
      <c r="AJ15" s="965"/>
      <c r="AK15" s="1102" t="str">
        <f>IF(AH21=AH22,"Gagnant 1/4 C",IF(AH21&gt;AH22,AE21,IF(AH21&lt;AH22,AE22)))</f>
        <v>OFFICE</v>
      </c>
      <c r="AL15" s="1103"/>
      <c r="AM15" s="1104"/>
      <c r="AN15" s="49">
        <v>1</v>
      </c>
      <c r="AO15" s="149" t="str">
        <f>IF(AN15=AN16,"&amp;",IF(AN15&gt;AN16,AK15,AK16))</f>
        <v>OFFICE</v>
      </c>
      <c r="AU15" s="144"/>
    </row>
    <row r="16" spans="1:58" ht="20.100000000000001" customHeight="1" thickBot="1">
      <c r="A16" s="173"/>
      <c r="B16" s="1086">
        <f>IF(AND(U3&gt;47,U3&lt;57),"OFFICE 7",IF(AND(U3&gt;57,U2&gt;77),'Poule 17 et 18'!H31,0))</f>
        <v>0</v>
      </c>
      <c r="C16" s="1087"/>
      <c r="D16" s="1088"/>
      <c r="E16" s="176"/>
      <c r="F16" s="173" t="s">
        <v>200</v>
      </c>
      <c r="G16" s="1053" t="b">
        <f>'Poule 9 et 10'!$AD$31</f>
        <v>0</v>
      </c>
      <c r="H16" s="1054"/>
      <c r="I16" s="1055"/>
      <c r="J16" s="176"/>
      <c r="L16" s="966"/>
      <c r="M16" s="1095" t="str">
        <f>IF(J12=J13,"Gagnant 1/32 F",IF(J12&gt;J13,G12,IF(J12&lt;J13,G13)))</f>
        <v>OFFICE</v>
      </c>
      <c r="N16" s="1096"/>
      <c r="O16" s="1097"/>
      <c r="P16" s="100">
        <v>2</v>
      </c>
      <c r="Q16" s="178"/>
      <c r="R16" s="966"/>
      <c r="S16" s="1095" t="b">
        <f>IF(J36=J37,"Gagnant 1/32 R",IF(J36&gt;J37,G36,IF(J36&lt;J37,G37)))</f>
        <v>0</v>
      </c>
      <c r="T16" s="1096"/>
      <c r="U16" s="1097"/>
      <c r="V16" s="100">
        <v>1</v>
      </c>
      <c r="W16" s="178"/>
      <c r="X16" s="966"/>
      <c r="Y16" s="1098" t="str">
        <f>IF(V15=V16,"Gagnant 1/16 B",IF(V15&gt;V16,S15,IF(V15&lt;V16,S16)))</f>
        <v>OFFICE</v>
      </c>
      <c r="Z16" s="1099"/>
      <c r="AA16" s="1100"/>
      <c r="AB16" s="151">
        <v>2</v>
      </c>
      <c r="AC16" s="186" t="str">
        <f>IF(AB15=AB16,"&amp;",IF(AB15&lt;AB16,Y15,Y16))</f>
        <v>OFFICE</v>
      </c>
      <c r="AD16" s="966"/>
      <c r="AE16" s="1136" t="str">
        <f>IF(AB18=AB19,"Gagnant 1/8 D",IF(AB18&gt;AB19,Y18,IF(AB18&lt;AB19,Y19)))</f>
        <v>OFFICE</v>
      </c>
      <c r="AF16" s="1137"/>
      <c r="AG16" s="1138"/>
      <c r="AH16" s="151">
        <v>2</v>
      </c>
      <c r="AI16" s="147" t="str">
        <f>IF(AH15=AH16,"&amp;",IF(AH15&lt;AH16,AE15,AE16))</f>
        <v>OFFICE</v>
      </c>
      <c r="AJ16" s="966"/>
      <c r="AK16" s="1102" t="b">
        <f>IF(AH27=AH28,"Gagnant 1/4 D",IF(AH27&gt;AH28,AE27,IF(AH27&lt;AH28,AE28)))</f>
        <v>0</v>
      </c>
      <c r="AL16" s="1103"/>
      <c r="AM16" s="1104"/>
      <c r="AN16" s="151">
        <v>0</v>
      </c>
      <c r="AO16" s="149" t="b">
        <f>IF(AN15=AN16,"&amp;",IF(AN15&lt;AN16,AK15,AK16))</f>
        <v>0</v>
      </c>
      <c r="AU16" s="144"/>
      <c r="AV16" s="188">
        <v>1</v>
      </c>
      <c r="AW16" s="30"/>
      <c r="AX16" s="1139" t="str">
        <f>IF(OR(AND($AT$3&gt;1,$AT$3&lt;9),AND($AT$3&gt;1,$AT$3&lt;9)),AU12,IF(OR(AND($AT$3&gt;0,$AT$3&lt;0)),AU12,"0"))</f>
        <v>0</v>
      </c>
      <c r="AY16" s="1140"/>
      <c r="AZ16" s="1140"/>
      <c r="BA16" s="1140"/>
      <c r="BB16" s="1141"/>
    </row>
    <row r="17" spans="1:54" ht="20.100000000000001" customHeight="1" thickBot="1">
      <c r="A17" s="173"/>
      <c r="B17" s="129"/>
      <c r="C17" s="133" t="s">
        <v>160</v>
      </c>
      <c r="D17" s="129"/>
      <c r="E17" s="157"/>
      <c r="F17" s="173"/>
      <c r="G17" s="129"/>
      <c r="H17" s="133" t="s">
        <v>161</v>
      </c>
      <c r="I17" s="129"/>
      <c r="J17" s="157"/>
      <c r="M17" s="142"/>
      <c r="N17" s="133" t="s">
        <v>60</v>
      </c>
      <c r="O17" s="142"/>
      <c r="P17" s="101"/>
      <c r="Q17" s="179"/>
      <c r="S17" s="142"/>
      <c r="T17" s="133" t="s">
        <v>61</v>
      </c>
      <c r="U17" s="142"/>
      <c r="V17" s="101"/>
      <c r="W17" s="179"/>
      <c r="Y17" s="30"/>
      <c r="Z17" s="133" t="s">
        <v>51</v>
      </c>
      <c r="AA17" s="30"/>
      <c r="AC17" s="141"/>
      <c r="AE17" s="30"/>
      <c r="AF17" s="30"/>
      <c r="AG17" s="30"/>
      <c r="AI17" s="148"/>
      <c r="AU17" s="144"/>
      <c r="AV17" s="189">
        <v>2</v>
      </c>
      <c r="AW17" s="30"/>
      <c r="AX17" s="1142" t="str">
        <f>IF(OR(AND($AT$3&gt;1,$AT$3&lt;9),AND($AT$3&gt;0,$AT$3&lt;0)),AU13,"0")</f>
        <v>0</v>
      </c>
      <c r="AY17" s="1143"/>
      <c r="AZ17" s="1143"/>
      <c r="BA17" s="1143"/>
      <c r="BB17" s="1144"/>
    </row>
    <row r="18" spans="1:54" ht="20.100000000000001" customHeight="1" thickBot="1">
      <c r="A18" s="173" t="s">
        <v>179</v>
      </c>
      <c r="B18" s="970" t="b">
        <f>'Poule 5 et 6'!$H$29</f>
        <v>0</v>
      </c>
      <c r="C18" s="979"/>
      <c r="D18" s="980"/>
      <c r="E18" s="174">
        <v>1</v>
      </c>
      <c r="F18" s="173" t="s">
        <v>201</v>
      </c>
      <c r="G18" s="970" t="str">
        <f>'Poule 11 et 12'!$AD$30</f>
        <v>OFFICE</v>
      </c>
      <c r="H18" s="979"/>
      <c r="I18" s="980"/>
      <c r="J18" s="174">
        <v>1</v>
      </c>
      <c r="L18" s="965"/>
      <c r="M18" s="1108" t="b">
        <f>IF(E15=E16,"Gagnant 1/32 G",IF(E15&gt;E16,B15,IF(E15&lt;E16,B16)))</f>
        <v>0</v>
      </c>
      <c r="N18" s="1109"/>
      <c r="O18" s="1110"/>
      <c r="P18" s="58">
        <v>1</v>
      </c>
      <c r="Q18" s="178"/>
      <c r="R18" s="965"/>
      <c r="S18" s="1108" t="str">
        <f>IF(E39=E40,"Gagnant 1/32 Q",IF(E39&gt;E40,B39,IF(E39&lt;E40,B40)))</f>
        <v>OFFICE</v>
      </c>
      <c r="T18" s="1109"/>
      <c r="U18" s="1110"/>
      <c r="V18" s="58">
        <v>2</v>
      </c>
      <c r="W18" s="178"/>
      <c r="X18" s="965"/>
      <c r="Y18" s="1111" t="str">
        <f>IF(P18=P19,"Gagnant 1/16 A",IF(P18&gt;P19,M18,IF(P18&lt;P19,M19)))</f>
        <v>OFFICE</v>
      </c>
      <c r="Z18" s="1112"/>
      <c r="AA18" s="1113"/>
      <c r="AB18" s="49">
        <v>1</v>
      </c>
      <c r="AC18" s="186" t="str">
        <f>IF(AB18=AB19,"&amp;",IF(AB18&gt;AB19,Y18,Y19))</f>
        <v>OFFICE</v>
      </c>
      <c r="AE18" s="30"/>
      <c r="AF18" s="30"/>
      <c r="AG18" s="30"/>
      <c r="AI18" s="148"/>
      <c r="AK18" s="1145" t="s">
        <v>223</v>
      </c>
      <c r="AL18" s="1146"/>
      <c r="AM18" s="1146"/>
      <c r="AN18" s="1146"/>
      <c r="AO18" s="1146"/>
      <c r="AP18" s="1146"/>
      <c r="AQ18" s="1146"/>
      <c r="AR18" s="1146"/>
      <c r="AS18" s="1146"/>
      <c r="AT18" s="1147"/>
      <c r="AU18" s="144"/>
      <c r="AV18" s="189">
        <v>3</v>
      </c>
      <c r="AW18" s="30"/>
      <c r="AX18" s="1142">
        <f>IF(OR(AND($AT$3&gt;2,$AT$3&lt;4)),AU27,IF(OR(AND($AT$3&gt;3,$AT$3&lt;7)),AO10,IF(OR(AND(AT3&gt;6,AT3&lt;9)),AO10,0)))</f>
        <v>0</v>
      </c>
      <c r="AY18" s="1143"/>
      <c r="AZ18" s="1143"/>
      <c r="BA18" s="1143"/>
      <c r="BB18" s="1144"/>
    </row>
    <row r="19" spans="1:54" ht="20.100000000000001" customHeight="1" thickBot="1">
      <c r="A19" s="173"/>
      <c r="B19" s="1074" t="b">
        <f>IF(AND(U3&gt;47,U3&lt;55),"OFFICE 9",IF(AND(U3&gt;55,U2&gt;76),'Poule 19 et 20'!$AD$30,IF(AND(U3=56,U2=76),'Poule 17 et 18'!$H$31,IF(AND(U3=56,U2=75),'Poule 17 et 18'!H31,IF(AND(U3=0,U2=0),'Poule 15 et 16'!H31,0)))))</f>
        <v>0</v>
      </c>
      <c r="C19" s="1075"/>
      <c r="D19" s="1076"/>
      <c r="E19" s="176"/>
      <c r="F19" s="173" t="s">
        <v>187</v>
      </c>
      <c r="G19" s="1053" t="b">
        <f>'Poule 11 et 12'!$H$31</f>
        <v>0</v>
      </c>
      <c r="H19" s="1054"/>
      <c r="I19" s="1055"/>
      <c r="J19" s="176"/>
      <c r="L19" s="966"/>
      <c r="M19" s="1095" t="str">
        <f>IF(J15=J16,"Gagnant 1/32 H",IF(J15&gt;J16,G15,IF(J15&lt;J16,G16)))</f>
        <v>OFFICE</v>
      </c>
      <c r="N19" s="1096"/>
      <c r="O19" s="1097"/>
      <c r="P19" s="100">
        <v>2</v>
      </c>
      <c r="Q19" s="178"/>
      <c r="R19" s="966"/>
      <c r="S19" s="1095" t="b">
        <f>IF(J39=J40,"Gagnant 1/32 R",IF(J39&gt;J40,G39,IF(J39&lt;J40,G40)))</f>
        <v>0</v>
      </c>
      <c r="T19" s="1096"/>
      <c r="U19" s="1097"/>
      <c r="V19" s="100">
        <v>1</v>
      </c>
      <c r="W19" s="178"/>
      <c r="X19" s="966"/>
      <c r="Y19" s="1098" t="str">
        <f>IF(V18=V19,"Gagnant 1/16 B",IF(V18&gt;V19,S18,IF(V18&lt;V19,S19)))</f>
        <v>OFFICE</v>
      </c>
      <c r="Z19" s="1099"/>
      <c r="AA19" s="1100"/>
      <c r="AB19" s="151">
        <v>2</v>
      </c>
      <c r="AC19" s="186" t="str">
        <f>IF(AB18=AB19,"&amp;",IF(AB18&lt;AB19,Y18,Y19))</f>
        <v>OFFICE</v>
      </c>
      <c r="AE19" s="30"/>
      <c r="AF19" s="30"/>
      <c r="AG19" s="30"/>
      <c r="AI19" s="148"/>
      <c r="AK19" s="1148" t="s">
        <v>224</v>
      </c>
      <c r="AL19" s="1149"/>
      <c r="AM19" s="1150"/>
      <c r="AQ19" s="1151" t="s">
        <v>225</v>
      </c>
      <c r="AR19" s="1152"/>
      <c r="AS19" s="1153"/>
      <c r="AU19" s="144"/>
      <c r="AV19" s="189">
        <v>4</v>
      </c>
      <c r="AW19" s="30"/>
      <c r="AX19" s="1142" t="str">
        <f>IF(OR(AND($AT$3&gt;0,$AT$3&lt;0),AND($AT$3&gt;4,$AT$3&lt;6)),AO16,IF(OR(AND($AT$3&gt;6,$AT$3&lt;9)),AO16,IF(OR(AND($AT$3&gt;5,$AT$3&lt;7),AO16,AND($AT$3&gt;3,$AT$3&lt;5)),AO16,"0")))</f>
        <v>0</v>
      </c>
      <c r="AY19" s="1143"/>
      <c r="AZ19" s="1143"/>
      <c r="BA19" s="1143"/>
      <c r="BB19" s="1144"/>
    </row>
    <row r="20" spans="1:54" ht="20.100000000000001" customHeight="1" thickBot="1">
      <c r="A20" s="173"/>
      <c r="B20" s="129"/>
      <c r="C20" s="133" t="s">
        <v>62</v>
      </c>
      <c r="D20" s="129"/>
      <c r="E20" s="157"/>
      <c r="F20" s="173"/>
      <c r="G20" s="129"/>
      <c r="H20" s="133" t="s">
        <v>63</v>
      </c>
      <c r="I20" s="129"/>
      <c r="J20" s="157"/>
      <c r="M20" s="30"/>
      <c r="N20" s="133" t="s">
        <v>160</v>
      </c>
      <c r="O20" s="30"/>
      <c r="P20" s="101"/>
      <c r="Q20" s="179"/>
      <c r="S20" s="30"/>
      <c r="T20" s="133" t="s">
        <v>161</v>
      </c>
      <c r="U20" s="30"/>
      <c r="V20" s="101"/>
      <c r="W20" s="179"/>
      <c r="Y20" s="30"/>
      <c r="Z20" s="133" t="s">
        <v>52</v>
      </c>
      <c r="AA20" s="30"/>
      <c r="AC20" s="141"/>
      <c r="AD20" s="140" t="s">
        <v>6</v>
      </c>
      <c r="AE20" s="30"/>
      <c r="AF20" s="133" t="s">
        <v>58</v>
      </c>
      <c r="AG20" s="30"/>
      <c r="AH20" s="140" t="s">
        <v>5</v>
      </c>
      <c r="AI20" s="148"/>
      <c r="AJ20" s="140" t="s">
        <v>6</v>
      </c>
      <c r="AL20" s="171" t="s">
        <v>11</v>
      </c>
      <c r="AN20" s="140" t="s">
        <v>5</v>
      </c>
      <c r="AP20" s="140" t="s">
        <v>6</v>
      </c>
      <c r="AT20" s="140" t="s">
        <v>5</v>
      </c>
      <c r="AU20" s="144"/>
      <c r="AV20" s="189">
        <v>5</v>
      </c>
      <c r="AW20" s="30"/>
      <c r="AX20" s="1142">
        <f>IF(OR(AND($AT$3&gt;5,$AT$3&lt;7),AND($AT$3&gt;0,$AT$3&lt;0)),AO21,IF(OR(AND($AT$3&gt;0,$AT$3&lt;0)),AU22,IF(OR(AND(AT3&gt;6,AT3&lt;8)),AO21,IF(OR(AND(AT3&gt;7,AT3&lt;9)),AO21,IF(OR(AND($AT$3&gt;4,$AT$3&lt;6)),AU21,0)))))</f>
        <v>0</v>
      </c>
      <c r="AY20" s="1143"/>
      <c r="AZ20" s="1143"/>
      <c r="BA20" s="1143"/>
      <c r="BB20" s="1144"/>
    </row>
    <row r="21" spans="1:54" ht="20.100000000000001" customHeight="1" thickBot="1">
      <c r="A21" s="173" t="s">
        <v>180</v>
      </c>
      <c r="B21" s="970" t="b">
        <f>'Poule 5 et 6'!$AD$29</f>
        <v>0</v>
      </c>
      <c r="C21" s="979"/>
      <c r="D21" s="980"/>
      <c r="E21" s="174">
        <v>1</v>
      </c>
      <c r="F21" s="173" t="s">
        <v>202</v>
      </c>
      <c r="G21" s="970" t="str">
        <f>+'Poule 11 et 12'!H30</f>
        <v>OFFICE</v>
      </c>
      <c r="H21" s="979"/>
      <c r="I21" s="980"/>
      <c r="J21" s="174">
        <v>1</v>
      </c>
      <c r="K21" s="101"/>
      <c r="L21" s="965"/>
      <c r="M21" s="1108" t="b">
        <f>IF(E18=E19,"Gagnant 1/32 I",IF(E18&gt;E19,B18,IF(E18&lt;E19,B19)))</f>
        <v>0</v>
      </c>
      <c r="N21" s="1109"/>
      <c r="O21" s="1110"/>
      <c r="P21" s="180">
        <v>1</v>
      </c>
      <c r="Q21" s="178"/>
      <c r="R21" s="965"/>
      <c r="S21" s="1108" t="str">
        <f>IF(E42=E43,"Gagnant 1/32 Q",IF(E42&gt;E43,B42,IF(E42&lt;E43,B43)))</f>
        <v>OFFICE</v>
      </c>
      <c r="T21" s="1109"/>
      <c r="U21" s="1110"/>
      <c r="V21" s="58">
        <v>2</v>
      </c>
      <c r="W21" s="178"/>
      <c r="X21" s="965"/>
      <c r="Y21" s="1111" t="str">
        <f>IF(P21=P22,"Gagnant 1/16 A",IF(P21&gt;P22,M21,IF(P21&lt;P22,M22)))</f>
        <v>OFFICE</v>
      </c>
      <c r="Z21" s="1112"/>
      <c r="AA21" s="1113"/>
      <c r="AB21" s="49">
        <v>1</v>
      </c>
      <c r="AC21" s="186" t="str">
        <f>IF(AB21=AB22,"&amp;",IF(AB21&gt;AB22,Y21,Y22))</f>
        <v>OFFICE</v>
      </c>
      <c r="AD21" s="965"/>
      <c r="AE21" s="991" t="str">
        <f>IF(AB21=AB22,"Gagnant 1/8 E",IF(AB21&gt;AB22,Y21,IF(AB21&lt;AB22,Y22)))</f>
        <v>OFFICE</v>
      </c>
      <c r="AF21" s="1114"/>
      <c r="AG21" s="1115"/>
      <c r="AH21" s="49">
        <v>1</v>
      </c>
      <c r="AI21" s="147" t="str">
        <f>IF(AH21=AH22,"&amp;",IF(AH21&gt;AH22,AE21,AE22))</f>
        <v>OFFICE</v>
      </c>
      <c r="AJ21" s="965"/>
      <c r="AK21" s="1101" t="str">
        <f>IF(OR(AT3=4,AT3=3,AT3=2,AT3=0),"OFFICE",IF(AH9=AH10,"Perdant 1/4 A",IF(AH9&lt;AH10,AE9,AE10)))</f>
        <v>OFFICE</v>
      </c>
      <c r="AL21" s="992"/>
      <c r="AM21" s="993"/>
      <c r="AN21" s="49">
        <v>1</v>
      </c>
      <c r="AO21" s="148" t="str">
        <f>IF(AN21=AN22,"&amp;",IF(AN21&gt;AN22,AK21,AK22))</f>
        <v>OFFICE</v>
      </c>
      <c r="AP21" s="965"/>
      <c r="AQ21" s="1157" t="str">
        <f>IF(OR(AT3=8,AT3=6,AT3=4,AT3=3,AT3=2,AT3=1),"OFFICE",IF(AND(U3&gt;9,AT3=5,AN21=AN22),"Perdant 1ère Partie Repêchage A",IF(AND(U3&gt;9,AT3=5,AN21&lt;AN22),AO22,IF(AND(U3&gt;9,AT3=5,AN22&lt;AN21),AO21,IF(AND(U3&gt;9,AT3=7,AN21=AN22),"Gagnant 1ère Partie Repêchage A",IF(AND(U3&gt;9,AT3=7,AN21&gt;AN22),AK22,IF(AND(U3&gt;9,AT3=7,AN22&gt;AN21),AK21,"")))))))</f>
        <v/>
      </c>
      <c r="AR21" s="1158"/>
      <c r="AS21" s="1159"/>
      <c r="AT21" s="49">
        <v>1</v>
      </c>
      <c r="AU21" s="148" t="str">
        <f>IF(AT21=AT22,"&amp;",IF(AT21&gt;AT22,AQ21,AQ22))</f>
        <v/>
      </c>
      <c r="AV21" s="189">
        <v>6</v>
      </c>
      <c r="AW21" s="30"/>
      <c r="AX21" s="1142" t="str">
        <f>IF(OR(AND($AT$3&gt;4,$AT$3&lt;5),AND($AT$3&gt;0,$AT$3&lt;0)),AU22,IF(OR(AND($AT$3&gt;5,$AT$3&lt;8)),AO27,IF(OR(AND($AT$3&gt;7,$AT$3&lt;9)),AO27,"0")))</f>
        <v>0</v>
      </c>
      <c r="AY21" s="1143"/>
      <c r="AZ21" s="1143"/>
      <c r="BA21" s="1143"/>
      <c r="BB21" s="1144"/>
    </row>
    <row r="22" spans="1:54" ht="20.100000000000001" customHeight="1" thickBot="1">
      <c r="A22" s="173"/>
      <c r="B22" s="1077">
        <f>IF(AND(U3&gt;47,U3&lt;53),"OFFICE 11",IF(AND(U3&gt;53,U2&gt;72),'Poule 19 et 20'!$H$30,IF(AND(U3=54,U2=72),'Poule 17 et 18'!H31,0)))</f>
        <v>0</v>
      </c>
      <c r="C22" s="1078"/>
      <c r="D22" s="1079"/>
      <c r="E22" s="176"/>
      <c r="F22" s="173" t="s">
        <v>203</v>
      </c>
      <c r="G22" s="1053" t="b">
        <f>'Poule 11 et 12'!$AD$31</f>
        <v>0</v>
      </c>
      <c r="H22" s="1054"/>
      <c r="I22" s="1055"/>
      <c r="J22" s="176"/>
      <c r="K22" s="101"/>
      <c r="L22" s="966"/>
      <c r="M22" s="1095" t="str">
        <f>IF(J18=J19,"Gagnant 1/32 J",IF(J18&gt;J19,G18,IF(J18&lt;J19,G19)))</f>
        <v>OFFICE</v>
      </c>
      <c r="N22" s="1096"/>
      <c r="O22" s="1097"/>
      <c r="P22" s="181">
        <v>2</v>
      </c>
      <c r="Q22" s="178"/>
      <c r="R22" s="966"/>
      <c r="S22" s="1095" t="b">
        <f>IF(J42=J43,"Gagnant 1/32 R",IF(J42&gt;J43,G42,IF(J42&lt;J43,G43)))</f>
        <v>0</v>
      </c>
      <c r="T22" s="1096"/>
      <c r="U22" s="1097"/>
      <c r="V22" s="100">
        <v>1</v>
      </c>
      <c r="W22" s="178"/>
      <c r="X22" s="966"/>
      <c r="Y22" s="1098" t="str">
        <f>IF(V21=V22,"Gagnant 1/16 B",IF(V21&gt;V22,S21,IF(V21&lt;V22,S22)))</f>
        <v>OFFICE</v>
      </c>
      <c r="Z22" s="1099"/>
      <c r="AA22" s="1100"/>
      <c r="AB22" s="151">
        <v>2</v>
      </c>
      <c r="AC22" s="186" t="str">
        <f>IF(AB21=AB22,"&amp;",IF(AB21&lt;AB22,Y21,Y22))</f>
        <v>OFFICE</v>
      </c>
      <c r="AD22" s="966"/>
      <c r="AE22" s="1101" t="str">
        <f>IF(AB24=AB25,"Gagnant 1/8 F",IF(AB24&gt;AB25,Y24,IF(AB24&lt;AB25,Y25)))</f>
        <v>OFFICE</v>
      </c>
      <c r="AF22" s="992"/>
      <c r="AG22" s="993"/>
      <c r="AH22" s="151">
        <v>5</v>
      </c>
      <c r="AI22" s="147" t="str">
        <f>IF(AH21=AH22,"&amp;",IF(AH21&lt;AH22,AE21,AE22))</f>
        <v>OFFICE</v>
      </c>
      <c r="AJ22" s="966"/>
      <c r="AK22" s="1101" t="str">
        <f>IF(OR(AT3=4,AT3=3,AT3=2,AT3=0),"OFFICE",IF(AH15=AH16,"Perdant 1/4 B",IF(AH15&lt;AH16,AE15,AE16)))</f>
        <v>OFFICE</v>
      </c>
      <c r="AL22" s="992"/>
      <c r="AM22" s="993"/>
      <c r="AN22" s="151">
        <v>0</v>
      </c>
      <c r="AO22" s="148" t="str">
        <f>IF(AN21=AN22,"&amp;",IF(AN21&lt;AN22,AK21,AK22))</f>
        <v>OFFICE</v>
      </c>
      <c r="AP22" s="966"/>
      <c r="AQ22" s="1154" t="str">
        <f>IF(OR(AT3=8,AT3=6,AT3=4,AT3=3,AT3=2,AT3=1),"OFFICE",IF(AND(U3&gt;9,AT3=5,AN27=AN28),"Perdant 1ère Partie Repêchage B",IF(AND(U3&gt;9,AT3=5,AN27&lt;AN28),AO28,IF(AND(U3&gt;9,AT3=5,AN28&lt;AN27),AO27,IF(AND(U3&gt;9,AT3=5,AN27=AN28),"Gagnant 1ère Partie Repêchage B",IF(AND(U3&gt;9,AT3=7,AN27&gt;AN28),AK28,IF(AND(U3&gt;9,AT3=7,AN28&gt;AN27),AK27,"")))))))</f>
        <v/>
      </c>
      <c r="AR22" s="1155"/>
      <c r="AS22" s="1156"/>
      <c r="AT22" s="151">
        <v>0</v>
      </c>
      <c r="AU22" s="148" t="str">
        <f>IF(AT21=AT22,"&amp;",IF(AT21&lt;AT22,AQ21,AQ22))</f>
        <v/>
      </c>
      <c r="AV22" s="189">
        <v>7</v>
      </c>
      <c r="AW22" s="30"/>
      <c r="AX22" s="1142" t="str">
        <f>IF(OR(AND($AT$3&gt;4,$AT$3&lt;5),AND($AT$3&gt;0,$AT$3&lt;0)),0,IF(OR(AND($AT$3&gt;7,$AT$3&lt;9)),AO22,IF(OR(AND($AT$3&gt;6,$AT$3&lt;8)),AU21,"0")))</f>
        <v>0</v>
      </c>
      <c r="AY22" s="1143"/>
      <c r="AZ22" s="1143"/>
      <c r="BA22" s="1143"/>
      <c r="BB22" s="1144"/>
    </row>
    <row r="23" spans="1:54" ht="20.100000000000001" customHeight="1" thickBot="1">
      <c r="A23" s="173"/>
      <c r="B23" s="129"/>
      <c r="C23" s="133" t="s">
        <v>64</v>
      </c>
      <c r="D23" s="129"/>
      <c r="E23" s="157"/>
      <c r="F23" s="173"/>
      <c r="G23" s="129"/>
      <c r="H23" s="133" t="s">
        <v>65</v>
      </c>
      <c r="I23" s="129"/>
      <c r="J23" s="157"/>
      <c r="M23" s="30"/>
      <c r="N23" s="133" t="s">
        <v>62</v>
      </c>
      <c r="O23" s="30"/>
      <c r="P23" s="145"/>
      <c r="Q23" s="179"/>
      <c r="S23" s="30"/>
      <c r="T23" s="133" t="s">
        <v>63</v>
      </c>
      <c r="U23" s="30"/>
      <c r="V23" s="101"/>
      <c r="W23" s="179"/>
      <c r="Y23" s="30"/>
      <c r="Z23" s="133" t="s">
        <v>59</v>
      </c>
      <c r="AA23" s="30"/>
      <c r="AC23" s="141"/>
      <c r="AE23" s="30"/>
      <c r="AF23" s="30"/>
      <c r="AG23" s="30"/>
      <c r="AI23" s="148"/>
      <c r="AK23" s="30"/>
      <c r="AL23" s="30"/>
      <c r="AM23" s="30"/>
      <c r="AO23" s="148"/>
      <c r="AU23" s="144"/>
      <c r="AV23" s="190">
        <v>8</v>
      </c>
      <c r="AW23" s="30"/>
      <c r="AX23" s="1160" t="str">
        <f>IF(OR(AND($AT$3&gt;4,$AT$3&lt;5),AND($AT$3&gt;0,$AT$3&lt;0)),0,IF(OR(AND($AT$3&gt;7,$AT$3&lt;9)),AO28,IF(OR(AND($AT$3&gt;0,$AT$3&lt;0)),0,"0")))</f>
        <v>0</v>
      </c>
      <c r="AY23" s="1161"/>
      <c r="AZ23" s="1161"/>
      <c r="BA23" s="1161"/>
      <c r="BB23" s="1162"/>
    </row>
    <row r="24" spans="1:54" ht="20.100000000000001" customHeight="1" thickBot="1">
      <c r="A24" s="173" t="s">
        <v>181</v>
      </c>
      <c r="B24" s="970" t="b">
        <f>'Poule 7 et 8'!$H$29</f>
        <v>0</v>
      </c>
      <c r="C24" s="979"/>
      <c r="D24" s="980"/>
      <c r="E24" s="174">
        <v>1</v>
      </c>
      <c r="F24" s="173" t="s">
        <v>204</v>
      </c>
      <c r="G24" s="970" t="b">
        <f>'Poule 9 et 10'!$AD$30</f>
        <v>0</v>
      </c>
      <c r="H24" s="979"/>
      <c r="I24" s="980"/>
      <c r="J24" s="174">
        <v>1</v>
      </c>
      <c r="L24" s="965"/>
      <c r="M24" s="1108" t="b">
        <f>IF(E21=E22,"Gagnant 1/32 K",IF(E21&gt;E22,B21,IF(E21&lt;E22,B22)))</f>
        <v>0</v>
      </c>
      <c r="N24" s="1109"/>
      <c r="O24" s="1110"/>
      <c r="P24" s="58">
        <v>1</v>
      </c>
      <c r="Q24" s="178"/>
      <c r="R24" s="965"/>
      <c r="S24" s="1108" t="str">
        <f>IF(E45=E46,"Gagnant 1/32 Q",IF(E45&gt;E46,B45,IF(E45&lt;E46,B46)))</f>
        <v>OFFICE</v>
      </c>
      <c r="T24" s="1109"/>
      <c r="U24" s="1110"/>
      <c r="V24" s="58">
        <v>2</v>
      </c>
      <c r="W24" s="178"/>
      <c r="X24" s="965"/>
      <c r="Y24" s="1111" t="str">
        <f>IF(P24=P25,"Gagnant 1/16 A",IF(P24&gt;P25,M24,IF(P24&lt;P25,M25)))</f>
        <v>OFFICE</v>
      </c>
      <c r="Z24" s="1112"/>
      <c r="AA24" s="1113"/>
      <c r="AB24" s="49">
        <v>2</v>
      </c>
      <c r="AC24" s="186" t="str">
        <f>IF(AB24=AB25,"&amp;",IF(AB24&gt;AB25,Y24,Y25))</f>
        <v>OFFICE</v>
      </c>
      <c r="AE24" s="30"/>
      <c r="AF24" s="30"/>
      <c r="AG24" s="30"/>
      <c r="AI24" s="148"/>
      <c r="AJ24" s="1163"/>
      <c r="AK24" s="1164"/>
      <c r="AL24" s="1164"/>
      <c r="AM24" s="1164"/>
      <c r="AN24" s="143"/>
      <c r="AO24" s="148"/>
      <c r="AP24" s="1165" t="s">
        <v>226</v>
      </c>
      <c r="AQ24" s="1166"/>
      <c r="AR24" s="1166"/>
      <c r="AS24" s="1166"/>
      <c r="AT24" s="1167"/>
      <c r="AU24" s="144"/>
      <c r="AV24" s="1"/>
    </row>
    <row r="25" spans="1:54" ht="20.100000000000001" customHeight="1" thickBot="1">
      <c r="A25" s="173"/>
      <c r="B25" s="1080">
        <f>IF(AND(U3&gt;47,U3&lt;51),"OFFICE 13",IF(AND(U3&gt;51,U2&gt;69),'Poule 17 et 18'!AD30,0))</f>
        <v>0</v>
      </c>
      <c r="C25" s="1081"/>
      <c r="D25" s="1082"/>
      <c r="E25" s="176"/>
      <c r="F25" s="173" t="s">
        <v>205</v>
      </c>
      <c r="G25" s="1053" t="b">
        <f>'Poule 13 et 14'!$H$31</f>
        <v>0</v>
      </c>
      <c r="H25" s="1054"/>
      <c r="I25" s="1055"/>
      <c r="J25" s="176"/>
      <c r="L25" s="966"/>
      <c r="M25" s="1095" t="str">
        <f>IF(J21=J22,"Gagnant 1/32 L",IF(J21&gt;J22,G21,IF(J21&lt;J22,G22)))</f>
        <v>OFFICE</v>
      </c>
      <c r="N25" s="1096"/>
      <c r="O25" s="1097"/>
      <c r="P25" s="100">
        <v>2</v>
      </c>
      <c r="Q25" s="178"/>
      <c r="R25" s="966"/>
      <c r="S25" s="1095" t="b">
        <f>IF(J45=J46,"Gagnant 1/32 R",IF(J45&gt;J46,G45,IF(J45&lt;J46,G46)))</f>
        <v>0</v>
      </c>
      <c r="T25" s="1096"/>
      <c r="U25" s="1097"/>
      <c r="V25" s="100">
        <v>1</v>
      </c>
      <c r="W25" s="178"/>
      <c r="X25" s="966"/>
      <c r="Y25" s="1098" t="str">
        <f>IF(V24=V25,"Gagnant 1/16 B",IF(V24&gt;V25,S24,IF(V24&lt;V25,S25)))</f>
        <v>OFFICE</v>
      </c>
      <c r="Z25" s="1099"/>
      <c r="AA25" s="1100"/>
      <c r="AB25" s="151">
        <v>1</v>
      </c>
      <c r="AC25" s="186" t="str">
        <f>IF(AB24=AB25,"&amp;",IF(AB24&lt;AB25,Y24,Y25))</f>
        <v>OFFICE</v>
      </c>
      <c r="AE25" s="30"/>
      <c r="AF25" s="30"/>
      <c r="AG25" s="30"/>
      <c r="AI25" s="148"/>
      <c r="AJ25" s="1163"/>
      <c r="AK25" s="1164"/>
      <c r="AL25" s="1164"/>
      <c r="AM25" s="1164"/>
      <c r="AN25" s="152"/>
      <c r="AO25" s="148"/>
      <c r="AU25" s="144"/>
    </row>
    <row r="26" spans="1:54" ht="20.100000000000001" customHeight="1" thickBot="1">
      <c r="A26" s="173"/>
      <c r="B26" s="129"/>
      <c r="C26" s="133" t="s">
        <v>162</v>
      </c>
      <c r="D26" s="129"/>
      <c r="E26" s="157"/>
      <c r="F26" s="173"/>
      <c r="G26" s="129"/>
      <c r="H26" s="133" t="s">
        <v>66</v>
      </c>
      <c r="I26" s="129"/>
      <c r="J26" s="157"/>
      <c r="M26" s="30"/>
      <c r="N26" s="133" t="s">
        <v>64</v>
      </c>
      <c r="O26" s="30"/>
      <c r="P26" s="101"/>
      <c r="Q26" s="179"/>
      <c r="S26" s="30"/>
      <c r="T26" s="133" t="s">
        <v>65</v>
      </c>
      <c r="U26" s="30"/>
      <c r="V26" s="101"/>
      <c r="W26" s="179"/>
      <c r="Y26" s="30"/>
      <c r="Z26" s="133" t="s">
        <v>60</v>
      </c>
      <c r="AA26" s="30"/>
      <c r="AC26" s="141"/>
      <c r="AE26" s="30"/>
      <c r="AF26" s="133" t="s">
        <v>51</v>
      </c>
      <c r="AG26" s="30"/>
      <c r="AI26" s="148"/>
      <c r="AK26" s="30"/>
      <c r="AL26" s="133" t="s">
        <v>12</v>
      </c>
      <c r="AM26" s="30"/>
      <c r="AO26" s="148"/>
      <c r="AP26" s="140" t="s">
        <v>6</v>
      </c>
      <c r="AT26" s="140"/>
      <c r="AU26" s="144"/>
    </row>
    <row r="27" spans="1:54" ht="20.100000000000001" customHeight="1" thickBot="1">
      <c r="A27" s="173" t="s">
        <v>182</v>
      </c>
      <c r="B27" s="970" t="b">
        <f>'Poule 7 et 8'!$AD$29</f>
        <v>0</v>
      </c>
      <c r="C27" s="979"/>
      <c r="D27" s="980"/>
      <c r="E27" s="174">
        <v>1</v>
      </c>
      <c r="F27" s="173" t="s">
        <v>206</v>
      </c>
      <c r="G27" s="970" t="b">
        <f>'Poule 9 et 10'!$H$30</f>
        <v>0</v>
      </c>
      <c r="H27" s="979"/>
      <c r="I27" s="980"/>
      <c r="J27" s="174">
        <v>1</v>
      </c>
      <c r="L27" s="965"/>
      <c r="M27" s="1108" t="b">
        <f>IF(E24=E25,"Gagnant 1/32 M",IF(E24&gt;E25,B24,IF(E24&lt;E25,B25)))</f>
        <v>0</v>
      </c>
      <c r="N27" s="1109"/>
      <c r="O27" s="1110"/>
      <c r="P27" s="58">
        <v>1</v>
      </c>
      <c r="Q27" s="178"/>
      <c r="R27" s="965"/>
      <c r="S27" s="1108" t="b">
        <f>IF(E48=E49,"Gagnant 1/32 Q",IF(E48&gt;E49,B48,IF(E48&lt;E49,B49)))</f>
        <v>0</v>
      </c>
      <c r="T27" s="1109"/>
      <c r="U27" s="1110"/>
      <c r="V27" s="58">
        <v>2</v>
      </c>
      <c r="W27" s="178"/>
      <c r="X27" s="965"/>
      <c r="Y27" s="1111" t="b">
        <f>IF(P27=P28,"Gagnant 1/16 A",IF(P27&gt;P28,M27,IF(P27&lt;P28,M28)))</f>
        <v>0</v>
      </c>
      <c r="Z27" s="1112"/>
      <c r="AA27" s="1113"/>
      <c r="AB27" s="49">
        <v>2</v>
      </c>
      <c r="AC27" s="186" t="b">
        <f>IF(AB27=AB28,"&amp;",IF(AB27&gt;AB28,Y27,Y28))</f>
        <v>0</v>
      </c>
      <c r="AD27" s="965"/>
      <c r="AE27" s="1101" t="b">
        <f>IF(AB27=AB28,"Gagnant 1/8 G",IF(AB27&gt;AB28,Y27,IF(AB27&lt;AB28,Y28)))</f>
        <v>0</v>
      </c>
      <c r="AF27" s="992"/>
      <c r="AG27" s="993"/>
      <c r="AH27" s="49">
        <v>1</v>
      </c>
      <c r="AI27" s="147" t="b">
        <f>IF(AH27=AH28,"&amp;",IF(AH27&gt;AH28,AE27,AE28))</f>
        <v>0</v>
      </c>
      <c r="AJ27" s="965"/>
      <c r="AK27" s="1176" t="str">
        <f>IF(OR(AT3=4,AT3=3,AT3=2,AT3=0),"OFFICE",IF(AH21=AH22,"Perdant 1/4 C",IF(AH21&lt;AH22,AE21,AE22)))</f>
        <v>OFFICE</v>
      </c>
      <c r="AL27" s="1177"/>
      <c r="AM27" s="1178"/>
      <c r="AN27" s="49">
        <v>1</v>
      </c>
      <c r="AO27" s="148" t="str">
        <f>IF(AN27=AN28,"&amp;",IF(AN27&gt;AN28,AK27,AK28))</f>
        <v>OFFICE</v>
      </c>
      <c r="AP27" s="965"/>
      <c r="AQ27" s="1171" t="str">
        <f>IF(AND(U3&gt;4,AT3=3,AT3=3,AN9=AN10),"Perdant 1/2 Finale A",IF(AND(U3&gt;4,AT3=3,AN9&gt;AN10),AK10,IF(AND(U3&gt;4,AT3=3,AN9&lt;AN10),AK9,"OFFICE")))</f>
        <v>OFFICE</v>
      </c>
      <c r="AR27" s="1172"/>
      <c r="AS27" s="1173"/>
      <c r="AT27" s="49">
        <v>1</v>
      </c>
      <c r="AU27" s="148" t="str">
        <f>IF(AT27=AT28,"&amp;",IF(AT27&gt;AT28,AQ27,AQ28))</f>
        <v>OFFICE</v>
      </c>
    </row>
    <row r="28" spans="1:54" ht="20.100000000000001" customHeight="1" thickBot="1">
      <c r="A28" s="173"/>
      <c r="B28" s="1083">
        <f>IF(AND(U3&gt;47,U3&lt;49),"OFFICE 15",IF(AND(U3=50,U2=67),'Poule 15 et 16'!$H$31,IF(AND(U3=50,U2=68),'Poule 15 et 16'!$H$31,IF(AND(U3=50,U2=69),'Poule 17 et 18'!AD30,IF(AND(U3&gt;51,U2&gt;69),'Poule 15 et 16'!H31,0)))))</f>
        <v>0</v>
      </c>
      <c r="C28" s="1084"/>
      <c r="D28" s="1085"/>
      <c r="E28" s="176"/>
      <c r="F28" s="173" t="s">
        <v>207</v>
      </c>
      <c r="G28" s="1053" t="b">
        <f>'Poule 13 et 14'!$AD$31</f>
        <v>0</v>
      </c>
      <c r="H28" s="1054"/>
      <c r="I28" s="1055"/>
      <c r="J28" s="176"/>
      <c r="L28" s="966"/>
      <c r="M28" s="1095" t="b">
        <f>IF(J24=J25,"Gagnant 1/32 N",IF(J24&gt;J25,G24,IF(J24&lt;J25,G25)))</f>
        <v>0</v>
      </c>
      <c r="N28" s="1096"/>
      <c r="O28" s="1097"/>
      <c r="P28" s="100">
        <v>2</v>
      </c>
      <c r="Q28" s="178"/>
      <c r="R28" s="966"/>
      <c r="S28" s="1095" t="b">
        <f>IF(J48=J49,"Gagnant 1/32 R",IF(J48&gt;J49,G48,IF(J48&lt;J49,G49)))</f>
        <v>0</v>
      </c>
      <c r="T28" s="1096"/>
      <c r="U28" s="1097"/>
      <c r="V28" s="100">
        <v>1</v>
      </c>
      <c r="W28" s="178"/>
      <c r="X28" s="966"/>
      <c r="Y28" s="1098" t="b">
        <f>IF(V27=V28,"Gagnant 1/16 B",IF(V27&gt;V28,S27,IF(V27&lt;V28,S28)))</f>
        <v>0</v>
      </c>
      <c r="Z28" s="1099"/>
      <c r="AA28" s="1100"/>
      <c r="AB28" s="151">
        <v>1</v>
      </c>
      <c r="AC28" s="186" t="b">
        <f>IF(AB27=AB28,"&amp;",IF(AB27&lt;AB28,Y27,Y28))</f>
        <v>0</v>
      </c>
      <c r="AD28" s="966"/>
      <c r="AE28" s="1101" t="b">
        <f>IF(AB30=AB31,"Gagnant 1/8 H",IF(AB30&gt;AB31,Y30,IF(AB30&lt;AB31,Y31)))</f>
        <v>0</v>
      </c>
      <c r="AF28" s="992"/>
      <c r="AG28" s="993"/>
      <c r="AH28" s="151">
        <v>0</v>
      </c>
      <c r="AI28" s="147" t="b">
        <f>IF(AH27=AH28,"&amp;",IF(AH27&lt;AH28,AE27,AE28))</f>
        <v>0</v>
      </c>
      <c r="AJ28" s="966"/>
      <c r="AK28" s="1101" t="str">
        <f>IF(OR(AT3=4,AT3=3,AT3=2,AT3=0),"OFFICE",IF(AH27=AH28,"Perdant 1/4 D ",IF(AH27&lt;AH28,AE27,AE28)))</f>
        <v>OFFICE</v>
      </c>
      <c r="AL28" s="1114"/>
      <c r="AM28" s="1115"/>
      <c r="AN28" s="151">
        <v>0</v>
      </c>
      <c r="AO28" s="148" t="str">
        <f>IF(AN27=AN28,"&amp;",IF(AN27&lt;AN28,AK27,AK28))</f>
        <v>OFFICE</v>
      </c>
      <c r="AP28" s="966"/>
      <c r="AQ28" s="1171" t="str">
        <f>IF(AND(U3&gt;4,AT3=3,AN15=AN16),"Perdant 1/2 Finale B",IF(AND(U3&gt;4,AT3=3,AN15&gt;AN16),AK16,IF(AND(U3&gt;4,AT3=3,AN15&lt;AN16),AK15,"OFFICE")))</f>
        <v>OFFICE</v>
      </c>
      <c r="AR28" s="1174"/>
      <c r="AS28" s="1175"/>
      <c r="AT28" s="49">
        <v>0</v>
      </c>
      <c r="AU28" s="148" t="str">
        <f>IF(AT27=AT28,"&amp;",IF(AT27&lt;AT28,AQ27,AQ28))</f>
        <v>OFFICE</v>
      </c>
    </row>
    <row r="29" spans="1:54" ht="20.100000000000001" customHeight="1" thickBot="1">
      <c r="A29" s="173"/>
      <c r="B29" s="129"/>
      <c r="C29" s="184" t="s">
        <v>163</v>
      </c>
      <c r="D29" s="129"/>
      <c r="E29" s="157"/>
      <c r="F29" s="173"/>
      <c r="G29" s="129"/>
      <c r="H29" s="134" t="s">
        <v>67</v>
      </c>
      <c r="I29" s="129"/>
      <c r="J29" s="157"/>
      <c r="M29" s="30"/>
      <c r="N29" s="133" t="s">
        <v>162</v>
      </c>
      <c r="O29" s="30"/>
      <c r="P29" s="101"/>
      <c r="Q29" s="179"/>
      <c r="S29" s="30"/>
      <c r="T29" s="133" t="s">
        <v>66</v>
      </c>
      <c r="U29" s="30"/>
      <c r="V29" s="101"/>
      <c r="W29" s="179"/>
      <c r="Y29" s="30"/>
      <c r="Z29" s="133" t="s">
        <v>61</v>
      </c>
      <c r="AA29" s="30"/>
      <c r="AC29" s="187"/>
    </row>
    <row r="30" spans="1:54" ht="20.100000000000001" customHeight="1" thickBot="1">
      <c r="A30" s="173" t="s">
        <v>183</v>
      </c>
      <c r="B30" s="970" t="b">
        <f>'Poule 9 et 10'!$H$29</f>
        <v>0</v>
      </c>
      <c r="C30" s="979"/>
      <c r="D30" s="980"/>
      <c r="E30" s="174">
        <v>1</v>
      </c>
      <c r="F30" s="173" t="s">
        <v>208</v>
      </c>
      <c r="G30" s="970" t="b">
        <f>'Poule 7 et 8'!$AD$30</f>
        <v>0</v>
      </c>
      <c r="H30" s="979"/>
      <c r="I30" s="980"/>
      <c r="J30" s="174">
        <v>1</v>
      </c>
      <c r="L30" s="965"/>
      <c r="M30" s="1108" t="b">
        <f>IF(E27=E28,"Gagnant 1/32 O",IF(E27&gt;E28,B27,IF(E27&lt;E28,B28)))</f>
        <v>0</v>
      </c>
      <c r="N30" s="1109"/>
      <c r="O30" s="1110"/>
      <c r="P30" s="58">
        <v>1</v>
      </c>
      <c r="Q30" s="178"/>
      <c r="R30" s="965"/>
      <c r="S30" s="1108" t="b">
        <f>IF(E51=E52,"Gagnant 1/32 Q",IF(E51&gt;E52,B51,IF(E51&lt;E52,B52)))</f>
        <v>0</v>
      </c>
      <c r="T30" s="1109"/>
      <c r="U30" s="1110"/>
      <c r="V30" s="58">
        <v>2</v>
      </c>
      <c r="W30" s="178"/>
      <c r="X30" s="965"/>
      <c r="Y30" s="1111" t="b">
        <f>IF(P30=P31,"Gagnant 1/16 A",IF(P30&gt;P31,M30,IF(P30&lt;P31,M31)))</f>
        <v>0</v>
      </c>
      <c r="Z30" s="1112"/>
      <c r="AA30" s="1113"/>
      <c r="AB30" s="49">
        <v>0</v>
      </c>
      <c r="AC30" s="186" t="b">
        <f>IF(AB30=AB31,"&amp;",IF(AB30&gt;AB31,Y30,Y31))</f>
        <v>0</v>
      </c>
    </row>
    <row r="31" spans="1:54" ht="20.100000000000001" customHeight="1" thickBot="1">
      <c r="A31" s="173" t="s">
        <v>185</v>
      </c>
      <c r="B31" s="1053" t="b">
        <f>'Poule 1 et 2'!$H$31</f>
        <v>0</v>
      </c>
      <c r="C31" s="1054"/>
      <c r="D31" s="1055"/>
      <c r="E31" s="176"/>
      <c r="F31" s="173"/>
      <c r="G31" s="1089">
        <f>IF(AND(U3&gt;47,U3&lt;49),"OFFICE 16",IF(AND(U3=50,U2=67),'Poule 15 et 16'!$AD$31,IF(AND(U3=50,U2=68),'Poule 15 et 16'!$AD$31,IF(AND(U3=50,U2=69),'Poule 17 et 18'!AD29,IF(AND(U3&gt;51,U2&gt;69),'Poule 15 et 16'!AD31,0)))))</f>
        <v>0</v>
      </c>
      <c r="H31" s="1090"/>
      <c r="I31" s="1091"/>
      <c r="J31" s="176"/>
      <c r="L31" s="966"/>
      <c r="M31" s="1095" t="b">
        <f>IF(J27=J28,"Gagnant 1/32 P",IF(J27&gt;J28,G27,IF(J27&lt;J28,G28)))</f>
        <v>0</v>
      </c>
      <c r="N31" s="1096"/>
      <c r="O31" s="1097"/>
      <c r="P31" s="100">
        <v>2</v>
      </c>
      <c r="Q31" s="178"/>
      <c r="R31" s="966"/>
      <c r="S31" s="1095" t="b">
        <f>IF(J51=J52,"Gagnant 1/32 R",IF(J51&gt;J52,G51,IF(J51&lt;J52,G52)))</f>
        <v>0</v>
      </c>
      <c r="T31" s="1096"/>
      <c r="U31" s="1097"/>
      <c r="V31" s="100">
        <v>1</v>
      </c>
      <c r="W31" s="178"/>
      <c r="X31" s="966"/>
      <c r="Y31" s="1098" t="b">
        <f>IF(V30=V31,"Gagnant 1/16 B",IF(V30&gt;V31,S30,IF(V30&lt;V31,S31)))</f>
        <v>0</v>
      </c>
      <c r="Z31" s="1099"/>
      <c r="AA31" s="1100"/>
      <c r="AB31" s="151">
        <v>1</v>
      </c>
      <c r="AC31" s="186" t="b">
        <f>IF(AB30=AB31,"&amp;",IF(AB30&lt;AB31,Y30,Y31))</f>
        <v>0</v>
      </c>
    </row>
    <row r="32" spans="1:54" ht="20.100000000000001" customHeight="1" thickBot="1">
      <c r="A32" s="173"/>
      <c r="B32" s="129"/>
      <c r="C32" s="134" t="s">
        <v>68</v>
      </c>
      <c r="D32" s="129"/>
      <c r="E32" s="157"/>
      <c r="F32" s="173"/>
      <c r="G32" s="129"/>
      <c r="H32" s="134" t="s">
        <v>69</v>
      </c>
      <c r="I32" s="129"/>
      <c r="J32" s="157"/>
    </row>
    <row r="33" spans="1:54" ht="20.100000000000001" customHeight="1">
      <c r="A33" s="173" t="s">
        <v>184</v>
      </c>
      <c r="B33" s="970" t="b">
        <f>'Poule 9 et 10'!$AD$29</f>
        <v>0</v>
      </c>
      <c r="C33" s="979"/>
      <c r="D33" s="980"/>
      <c r="E33" s="174">
        <v>1</v>
      </c>
      <c r="F33" s="173" t="s">
        <v>209</v>
      </c>
      <c r="G33" s="970" t="b">
        <f>'Poule 7 et 8'!$H$30</f>
        <v>0</v>
      </c>
      <c r="H33" s="979"/>
      <c r="I33" s="980"/>
      <c r="J33" s="174">
        <v>1</v>
      </c>
      <c r="L33" s="1"/>
      <c r="M33" s="1"/>
      <c r="N33" s="1"/>
      <c r="O33" s="1"/>
      <c r="P33" s="1"/>
      <c r="R33" s="1"/>
      <c r="V33" s="1"/>
      <c r="W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20.100000000000001" customHeight="1" thickBot="1">
      <c r="A34" s="173" t="s">
        <v>186</v>
      </c>
      <c r="B34" s="1053" t="b">
        <f>'Poule 1 et 2'!$AD$31</f>
        <v>0</v>
      </c>
      <c r="C34" s="1054"/>
      <c r="D34" s="1055"/>
      <c r="E34" s="176"/>
      <c r="F34" s="173"/>
      <c r="G34" s="1080">
        <f>IF(AND(U3&gt;47,U3&lt;51),"OFFICE 14",IF(AND(U3&gt;49,U2&gt;68),'Poule 17 et 18'!AD29,0))</f>
        <v>0</v>
      </c>
      <c r="H34" s="1081"/>
      <c r="I34" s="1082"/>
      <c r="J34" s="176"/>
      <c r="M34" s="1"/>
      <c r="N34" s="1"/>
      <c r="O34" s="1"/>
      <c r="P34" s="1"/>
      <c r="R34" s="182"/>
      <c r="V34" s="182"/>
      <c r="W34" s="182"/>
    </row>
    <row r="35" spans="1:54" ht="20.100000000000001" customHeight="1" thickBot="1">
      <c r="A35" s="173"/>
      <c r="B35" s="129"/>
      <c r="C35" s="133" t="s">
        <v>158</v>
      </c>
      <c r="D35" s="129"/>
      <c r="E35" s="157"/>
      <c r="F35" s="173"/>
      <c r="G35" s="129"/>
      <c r="H35" s="133" t="s">
        <v>159</v>
      </c>
      <c r="I35" s="129"/>
      <c r="J35" s="157"/>
      <c r="M35" s="1"/>
      <c r="N35" s="1"/>
      <c r="O35" s="1"/>
      <c r="P35" s="1"/>
      <c r="R35" s="182"/>
      <c r="V35" s="182"/>
      <c r="W35" s="182"/>
    </row>
    <row r="36" spans="1:54" ht="20.100000000000001" customHeight="1">
      <c r="A36" s="173" t="s">
        <v>188</v>
      </c>
      <c r="B36" s="970" t="str">
        <f>'Poule 11 et 12'!$H$29</f>
        <v>OFFICE</v>
      </c>
      <c r="C36" s="979"/>
      <c r="D36" s="980"/>
      <c r="E36" s="174">
        <v>1</v>
      </c>
      <c r="F36" s="173" t="s">
        <v>210</v>
      </c>
      <c r="G36" s="970" t="b">
        <f>'Poule 5 et 6'!$AD$30</f>
        <v>0</v>
      </c>
      <c r="H36" s="979"/>
      <c r="I36" s="980"/>
      <c r="J36" s="174">
        <v>1</v>
      </c>
      <c r="M36" s="1"/>
      <c r="N36" s="1"/>
      <c r="O36" s="1"/>
      <c r="P36" s="1"/>
    </row>
    <row r="37" spans="1:54" ht="20.100000000000001" customHeight="1" thickBot="1">
      <c r="A37" s="173" t="s">
        <v>189</v>
      </c>
      <c r="B37" s="1053" t="b">
        <f>'Poule 3 et 4'!$H$31</f>
        <v>0</v>
      </c>
      <c r="C37" s="1054"/>
      <c r="D37" s="1055"/>
      <c r="E37" s="176"/>
      <c r="F37" s="173"/>
      <c r="G37" s="1077">
        <f>IF(AND(U3&gt;47,U3&lt;53),"OFFICE 12",IF(AND(U3&gt;53,U2&gt;72),'Poule 19 et 20'!$H$29,IF(AND(U3=54,U2=72),'Poule 17 et 18'!AD31,0)))</f>
        <v>0</v>
      </c>
      <c r="H37" s="1078"/>
      <c r="I37" s="1079"/>
      <c r="J37" s="176"/>
      <c r="M37" s="1"/>
      <c r="N37" s="1"/>
      <c r="O37" s="1"/>
      <c r="P37" s="1"/>
    </row>
    <row r="38" spans="1:54" ht="20.100000000000001" customHeight="1" thickBot="1">
      <c r="A38" s="173"/>
      <c r="B38" s="130"/>
      <c r="C38" s="133" t="s">
        <v>164</v>
      </c>
      <c r="D38" s="130"/>
      <c r="E38" s="157"/>
      <c r="F38" s="173"/>
      <c r="G38" s="130"/>
      <c r="H38" s="133" t="s">
        <v>165</v>
      </c>
      <c r="I38" s="130"/>
      <c r="J38" s="157"/>
      <c r="M38" s="1"/>
      <c r="N38" s="1"/>
      <c r="O38" s="1"/>
      <c r="P38" s="1"/>
    </row>
    <row r="39" spans="1:54" ht="20.100000000000001" customHeight="1">
      <c r="A39" s="173" t="s">
        <v>190</v>
      </c>
      <c r="B39" s="970" t="str">
        <f>'Poule 11 et 12'!$AD$29</f>
        <v>OFFICE</v>
      </c>
      <c r="C39" s="979"/>
      <c r="D39" s="980"/>
      <c r="E39" s="174">
        <v>1</v>
      </c>
      <c r="F39" s="173" t="s">
        <v>211</v>
      </c>
      <c r="G39" s="970" t="b">
        <f>'Poule 5 et 6'!$H$30</f>
        <v>0</v>
      </c>
      <c r="H39" s="979"/>
      <c r="I39" s="980"/>
      <c r="J39" s="174">
        <v>1</v>
      </c>
      <c r="M39" s="1"/>
      <c r="N39" s="1"/>
      <c r="O39" s="1"/>
      <c r="P39" s="1"/>
      <c r="AH39" s="182"/>
      <c r="AI39" s="182"/>
    </row>
    <row r="40" spans="1:54" ht="20.100000000000001" customHeight="1" thickBot="1">
      <c r="A40" s="173" t="s">
        <v>191</v>
      </c>
      <c r="B40" s="1053" t="b">
        <f>'Poule 3 et 4'!$AD$31</f>
        <v>0</v>
      </c>
      <c r="C40" s="1054"/>
      <c r="D40" s="1055"/>
      <c r="E40" s="176"/>
      <c r="F40" s="173"/>
      <c r="G40" s="1074">
        <f>IF(AND(U3&gt;47,U3&lt;55),"OFFICE 10",IF(AND(U3&gt;55,U2&gt;76),'Poule 19 et 20'!$AD$29,IF(AND(U3=56,U2=76),'Poule 17 et 18'!$AD$31,IF(AND(U3=56,U2=75),'Poule 17 et 18'!AD31,0))))</f>
        <v>0</v>
      </c>
      <c r="H40" s="1075"/>
      <c r="I40" s="1076"/>
      <c r="J40" s="176"/>
      <c r="M40" s="1"/>
      <c r="N40" s="1"/>
      <c r="O40" s="183"/>
      <c r="P40" s="1"/>
      <c r="AH40" s="182"/>
      <c r="AI40" s="182"/>
    </row>
    <row r="41" spans="1:54" ht="20.100000000000001" customHeight="1" thickBot="1">
      <c r="A41" s="173"/>
      <c r="B41" s="129"/>
      <c r="C41" s="133" t="s">
        <v>166</v>
      </c>
      <c r="D41" s="129"/>
      <c r="E41" s="157"/>
      <c r="F41" s="173"/>
      <c r="G41" s="129"/>
      <c r="H41" s="133" t="s">
        <v>167</v>
      </c>
      <c r="I41" s="129"/>
      <c r="J41" s="157"/>
      <c r="M41" s="1"/>
      <c r="N41" s="1"/>
      <c r="O41" s="1"/>
      <c r="P41" s="1"/>
      <c r="AH41" s="182"/>
      <c r="AI41" s="182"/>
    </row>
    <row r="42" spans="1:54" ht="20.100000000000001" customHeight="1">
      <c r="A42" s="173" t="s">
        <v>192</v>
      </c>
      <c r="B42" s="970" t="str">
        <f>'Poule 13 et 14'!$H$29</f>
        <v>OFFICE</v>
      </c>
      <c r="C42" s="979"/>
      <c r="D42" s="980"/>
      <c r="E42" s="174">
        <v>1</v>
      </c>
      <c r="F42" s="173" t="s">
        <v>212</v>
      </c>
      <c r="G42" s="970" t="b">
        <f>'Poule 3 et 4'!$AD$30</f>
        <v>0</v>
      </c>
      <c r="H42" s="979"/>
      <c r="I42" s="980"/>
      <c r="J42" s="174">
        <v>1</v>
      </c>
      <c r="M42" s="1"/>
      <c r="N42" s="1"/>
      <c r="O42" s="1"/>
      <c r="P42" s="1"/>
      <c r="AH42" s="182"/>
      <c r="AI42" s="182"/>
    </row>
    <row r="43" spans="1:54" ht="20.100000000000001" customHeight="1" thickBot="1">
      <c r="A43" s="173" t="s">
        <v>193</v>
      </c>
      <c r="B43" s="1053" t="b">
        <f>'Poule 5 et 6'!$H$31</f>
        <v>0</v>
      </c>
      <c r="C43" s="1054"/>
      <c r="D43" s="1055"/>
      <c r="E43" s="176"/>
      <c r="F43" s="173"/>
      <c r="G43" s="1086">
        <f>IF(AND(U3&gt;47,U3&lt;57),"OFFICE 8",IF(AND(U3&gt;57,U2&gt;=77),'Poule 17 et 18'!AD31,0))</f>
        <v>0</v>
      </c>
      <c r="H43" s="1087"/>
      <c r="I43" s="1088"/>
      <c r="J43" s="176"/>
      <c r="M43" s="1"/>
      <c r="N43" s="1"/>
      <c r="O43" s="183"/>
      <c r="P43" s="1"/>
      <c r="AJ43" s="182"/>
    </row>
    <row r="44" spans="1:54" ht="20.100000000000001" customHeight="1" thickBot="1">
      <c r="A44" s="173"/>
      <c r="B44" s="129"/>
      <c r="C44" s="133" t="s">
        <v>168</v>
      </c>
      <c r="D44" s="129"/>
      <c r="E44" s="157"/>
      <c r="F44" s="173"/>
      <c r="G44" s="129"/>
      <c r="H44" s="133" t="s">
        <v>169</v>
      </c>
      <c r="I44" s="129"/>
      <c r="J44" s="157"/>
      <c r="M44" s="1"/>
      <c r="N44" s="1"/>
      <c r="P44" s="1"/>
      <c r="AJ44" s="182"/>
    </row>
    <row r="45" spans="1:54" ht="20.100000000000001" customHeight="1">
      <c r="A45" s="173" t="s">
        <v>194</v>
      </c>
      <c r="B45" s="970" t="str">
        <f>'Poule 13 et 14'!$AD$29</f>
        <v>OFFICE</v>
      </c>
      <c r="C45" s="979"/>
      <c r="D45" s="980"/>
      <c r="E45" s="174">
        <v>1</v>
      </c>
      <c r="F45" s="173" t="s">
        <v>213</v>
      </c>
      <c r="G45" s="970" t="b">
        <f>'Poule 3 et 4'!$H$30</f>
        <v>0</v>
      </c>
      <c r="H45" s="979"/>
      <c r="I45" s="980"/>
      <c r="J45" s="174">
        <v>1</v>
      </c>
      <c r="M45" s="1"/>
      <c r="N45" s="1"/>
      <c r="P45" s="1"/>
      <c r="AJ45" s="182"/>
    </row>
    <row r="46" spans="1:54" ht="20.100000000000001" customHeight="1" thickBot="1">
      <c r="A46" s="173"/>
      <c r="B46" s="1053" t="b">
        <f>IF(OR($U$3&gt;47,$U$3&lt;61),IF(AND(U2&gt;64,U2&lt;81),'Poule 5 et 6'!$AD$31))</f>
        <v>0</v>
      </c>
      <c r="C46" s="1054"/>
      <c r="D46" s="1055"/>
      <c r="E46" s="176"/>
      <c r="F46" s="173"/>
      <c r="G46" s="1065">
        <f>IF(AND(U3&gt;47,U3&lt;57),"OFFICE 6",IF(AND(U3&gt;57,U2&gt;78),'Poule 19 et 20'!$AD$31,0))</f>
        <v>0</v>
      </c>
      <c r="H46" s="1066"/>
      <c r="I46" s="1067"/>
      <c r="J46" s="176"/>
      <c r="M46" s="1"/>
      <c r="N46" s="1"/>
      <c r="AJ46" s="182"/>
    </row>
    <row r="47" spans="1:54" ht="20.100000000000001" customHeight="1" thickBot="1">
      <c r="A47" s="173"/>
      <c r="B47" s="129"/>
      <c r="C47" s="133" t="s">
        <v>170</v>
      </c>
      <c r="D47" s="129"/>
      <c r="E47" s="157"/>
      <c r="F47" s="173"/>
      <c r="G47" s="129"/>
      <c r="H47" s="133" t="s">
        <v>171</v>
      </c>
      <c r="I47" s="129"/>
      <c r="J47" s="157"/>
      <c r="M47" s="1"/>
      <c r="N47" s="1"/>
    </row>
    <row r="48" spans="1:54" ht="20.100000000000001" customHeight="1">
      <c r="A48" s="173"/>
      <c r="B48" s="1056" t="b">
        <f>IF(AND($U$3&gt;47,$U$2&gt;64),'Poule 15 et 16'!$H$29)</f>
        <v>0</v>
      </c>
      <c r="C48" s="1057"/>
      <c r="D48" s="1058"/>
      <c r="E48" s="174">
        <v>1</v>
      </c>
      <c r="F48" s="173" t="s">
        <v>214</v>
      </c>
      <c r="G48" s="970" t="b">
        <f>'Poule 1 et 2'!$AD$30</f>
        <v>0</v>
      </c>
      <c r="H48" s="979"/>
      <c r="I48" s="980"/>
      <c r="J48" s="174">
        <v>1</v>
      </c>
      <c r="M48" s="1"/>
      <c r="N48" s="1"/>
    </row>
    <row r="49" spans="1:14" ht="20.100000000000001" customHeight="1" thickBot="1">
      <c r="A49" s="173" t="s">
        <v>195</v>
      </c>
      <c r="B49" s="1053" t="b">
        <f>'Poule 7 et 8'!$H$31</f>
        <v>0</v>
      </c>
      <c r="C49" s="1054"/>
      <c r="D49" s="1055"/>
      <c r="E49" s="176"/>
      <c r="F49" s="173"/>
      <c r="G49" s="1070" t="s">
        <v>219</v>
      </c>
      <c r="H49" s="1071"/>
      <c r="I49" s="1072"/>
      <c r="J49" s="176"/>
      <c r="M49" s="1"/>
      <c r="N49" s="1"/>
    </row>
    <row r="50" spans="1:14" ht="20.100000000000001" customHeight="1" thickBot="1">
      <c r="A50" s="173"/>
      <c r="B50" s="129"/>
      <c r="C50" s="138" t="s">
        <v>172</v>
      </c>
      <c r="D50" s="129"/>
      <c r="E50" s="157"/>
      <c r="F50" s="173"/>
      <c r="G50" s="129"/>
      <c r="H50" s="133" t="s">
        <v>173</v>
      </c>
      <c r="I50" s="129"/>
      <c r="J50" s="157"/>
      <c r="M50" s="1"/>
      <c r="N50" s="1"/>
    </row>
    <row r="51" spans="1:14" ht="20.100000000000001" customHeight="1">
      <c r="B51" s="1056" t="b">
        <f>IF(AND($U$3&gt;47,$U$2&gt;64),'Poule 15 et 16'!$H$30)</f>
        <v>0</v>
      </c>
      <c r="C51" s="1057"/>
      <c r="D51" s="1058"/>
      <c r="E51" s="174">
        <v>1</v>
      </c>
      <c r="F51" s="173" t="s">
        <v>215</v>
      </c>
      <c r="G51" s="970" t="b">
        <f>'Poule 1 et 2'!$H30</f>
        <v>0</v>
      </c>
      <c r="H51" s="979"/>
      <c r="I51" s="980"/>
      <c r="J51" s="174">
        <v>1</v>
      </c>
      <c r="M51" s="1"/>
      <c r="N51" s="1"/>
    </row>
    <row r="52" spans="1:14" ht="20.100000000000001" customHeight="1" thickBot="1">
      <c r="B52" s="1059" t="b">
        <f>IF(AND($U$3&gt;47,$U$2&gt;64),'Poule 15 et 16'!$AD$29)</f>
        <v>0</v>
      </c>
      <c r="C52" s="1060"/>
      <c r="D52" s="1061"/>
      <c r="E52" s="176"/>
      <c r="F52" s="173"/>
      <c r="G52" s="1070" t="s">
        <v>217</v>
      </c>
      <c r="H52" s="1071"/>
      <c r="I52" s="1072"/>
      <c r="J52" s="176"/>
      <c r="N52" s="1"/>
    </row>
    <row r="53" spans="1:14" ht="20.100000000000001" customHeight="1">
      <c r="E53" s="157"/>
      <c r="F53" s="153"/>
      <c r="J53" s="157"/>
      <c r="N53" s="1"/>
    </row>
    <row r="54" spans="1:14">
      <c r="E54" s="153"/>
    </row>
    <row r="55" spans="1:14">
      <c r="E55" s="153"/>
      <c r="F55" s="1"/>
    </row>
    <row r="56" spans="1:14">
      <c r="D56" s="153"/>
      <c r="E56" s="153"/>
      <c r="F56" s="1"/>
    </row>
    <row r="57" spans="1:14">
      <c r="F57" s="1"/>
    </row>
    <row r="58" spans="1:14">
      <c r="F58" s="1"/>
    </row>
    <row r="59" spans="1:14">
      <c r="F59" s="1"/>
    </row>
    <row r="65" spans="36:45"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</row>
    <row r="67" spans="36:45" ht="62.25" customHeight="1"/>
  </sheetData>
  <sheetProtection password="CFC3" sheet="1" objects="1" scenarios="1" formatCells="0" formatColumns="0" formatRows="0" insertColumns="0" insertRows="0" insertHyperlinks="0" deleteColumns="0" deleteRows="0" sort="0"/>
  <mergeCells count="203">
    <mergeCell ref="Y30:AA30"/>
    <mergeCell ref="M31:O31"/>
    <mergeCell ref="S31:U31"/>
    <mergeCell ref="Y31:AA31"/>
    <mergeCell ref="AK4:AT4"/>
    <mergeCell ref="L30:L31"/>
    <mergeCell ref="M30:O30"/>
    <mergeCell ref="R30:R31"/>
    <mergeCell ref="S30:U30"/>
    <mergeCell ref="X30:X31"/>
    <mergeCell ref="AP27:AP28"/>
    <mergeCell ref="AQ27:AS27"/>
    <mergeCell ref="M28:O28"/>
    <mergeCell ref="S28:U28"/>
    <mergeCell ref="Y28:AA28"/>
    <mergeCell ref="AE28:AG28"/>
    <mergeCell ref="AK28:AM28"/>
    <mergeCell ref="AQ28:AS28"/>
    <mergeCell ref="Y27:AA27"/>
    <mergeCell ref="AD27:AD28"/>
    <mergeCell ref="AE27:AG27"/>
    <mergeCell ref="AJ27:AJ28"/>
    <mergeCell ref="AK27:AM27"/>
    <mergeCell ref="L27:L28"/>
    <mergeCell ref="M27:O27"/>
    <mergeCell ref="R27:R28"/>
    <mergeCell ref="S27:U27"/>
    <mergeCell ref="X27:X28"/>
    <mergeCell ref="AX23:BB23"/>
    <mergeCell ref="L24:L25"/>
    <mergeCell ref="M24:O24"/>
    <mergeCell ref="R24:R25"/>
    <mergeCell ref="S24:U24"/>
    <mergeCell ref="X24:X25"/>
    <mergeCell ref="Y24:AA24"/>
    <mergeCell ref="AJ24:AJ25"/>
    <mergeCell ref="AK24:AM24"/>
    <mergeCell ref="AP24:AT24"/>
    <mergeCell ref="M25:O25"/>
    <mergeCell ref="S25:U25"/>
    <mergeCell ref="Y25:AA25"/>
    <mergeCell ref="AK25:AM25"/>
    <mergeCell ref="Y22:AA22"/>
    <mergeCell ref="AE22:AG22"/>
    <mergeCell ref="AK22:AM22"/>
    <mergeCell ref="AQ22:AS22"/>
    <mergeCell ref="AX22:BB22"/>
    <mergeCell ref="AX20:BB20"/>
    <mergeCell ref="L21:L22"/>
    <mergeCell ref="M21:O21"/>
    <mergeCell ref="R21:R22"/>
    <mergeCell ref="S21:U21"/>
    <mergeCell ref="X21:X22"/>
    <mergeCell ref="Y21:AA21"/>
    <mergeCell ref="AD21:AD22"/>
    <mergeCell ref="AE21:AG21"/>
    <mergeCell ref="AJ21:AJ22"/>
    <mergeCell ref="AK21:AM21"/>
    <mergeCell ref="AP21:AP22"/>
    <mergeCell ref="AQ21:AS21"/>
    <mergeCell ref="AX21:BB21"/>
    <mergeCell ref="M22:O22"/>
    <mergeCell ref="S22:U22"/>
    <mergeCell ref="AX16:BB16"/>
    <mergeCell ref="AX17:BB17"/>
    <mergeCell ref="L18:L19"/>
    <mergeCell ref="M18:O18"/>
    <mergeCell ref="R18:R19"/>
    <mergeCell ref="S18:U18"/>
    <mergeCell ref="X18:X19"/>
    <mergeCell ref="Y18:AA18"/>
    <mergeCell ref="AK18:AT18"/>
    <mergeCell ref="AX18:BB18"/>
    <mergeCell ref="M19:O19"/>
    <mergeCell ref="S19:U19"/>
    <mergeCell ref="Y19:AA19"/>
    <mergeCell ref="AK19:AM19"/>
    <mergeCell ref="AQ19:AS19"/>
    <mergeCell ref="AX19:BB19"/>
    <mergeCell ref="Y15:AA15"/>
    <mergeCell ref="AD15:AD16"/>
    <mergeCell ref="AE15:AG15"/>
    <mergeCell ref="AJ15:AJ16"/>
    <mergeCell ref="AK15:AM15"/>
    <mergeCell ref="Y16:AA16"/>
    <mergeCell ref="AE16:AG16"/>
    <mergeCell ref="AK16:AM16"/>
    <mergeCell ref="L15:L16"/>
    <mergeCell ref="M15:O15"/>
    <mergeCell ref="R15:R16"/>
    <mergeCell ref="S15:U15"/>
    <mergeCell ref="X15:X16"/>
    <mergeCell ref="M16:O16"/>
    <mergeCell ref="S16:U16"/>
    <mergeCell ref="Y12:AA12"/>
    <mergeCell ref="AP12:AP13"/>
    <mergeCell ref="AQ12:AS12"/>
    <mergeCell ref="M13:O13"/>
    <mergeCell ref="S13:U13"/>
    <mergeCell ref="Y13:AA13"/>
    <mergeCell ref="AQ13:AS13"/>
    <mergeCell ref="L12:L13"/>
    <mergeCell ref="M12:O12"/>
    <mergeCell ref="R12:R13"/>
    <mergeCell ref="S12:U12"/>
    <mergeCell ref="X12:X13"/>
    <mergeCell ref="AV9:BB9"/>
    <mergeCell ref="M10:O10"/>
    <mergeCell ref="S10:U10"/>
    <mergeCell ref="Y10:AA10"/>
    <mergeCell ref="AE10:AG10"/>
    <mergeCell ref="AK10:AM10"/>
    <mergeCell ref="AQ7:AS7"/>
    <mergeCell ref="L9:L10"/>
    <mergeCell ref="M9:O9"/>
    <mergeCell ref="R9:R10"/>
    <mergeCell ref="S9:U9"/>
    <mergeCell ref="X9:X10"/>
    <mergeCell ref="Y9:AA9"/>
    <mergeCell ref="AD9:AD10"/>
    <mergeCell ref="AE9:AG9"/>
    <mergeCell ref="AJ9:AJ10"/>
    <mergeCell ref="AK9:AM9"/>
    <mergeCell ref="M7:O7"/>
    <mergeCell ref="S7:U7"/>
    <mergeCell ref="Y7:AA7"/>
    <mergeCell ref="AE7:AG7"/>
    <mergeCell ref="AK7:AM7"/>
    <mergeCell ref="G39:I39"/>
    <mergeCell ref="B16:D16"/>
    <mergeCell ref="G40:I40"/>
    <mergeCell ref="G51:I51"/>
    <mergeCell ref="G52:I52"/>
    <mergeCell ref="B51:D51"/>
    <mergeCell ref="B52:D52"/>
    <mergeCell ref="G42:I42"/>
    <mergeCell ref="G43:I43"/>
    <mergeCell ref="G45:I45"/>
    <mergeCell ref="G46:I46"/>
    <mergeCell ref="G48:I48"/>
    <mergeCell ref="G49:I49"/>
    <mergeCell ref="B42:D42"/>
    <mergeCell ref="B43:D43"/>
    <mergeCell ref="B45:D45"/>
    <mergeCell ref="G31:I31"/>
    <mergeCell ref="B33:D33"/>
    <mergeCell ref="B34:D34"/>
    <mergeCell ref="B36:D36"/>
    <mergeCell ref="B37:D37"/>
    <mergeCell ref="G33:I33"/>
    <mergeCell ref="G34:I34"/>
    <mergeCell ref="G36:I36"/>
    <mergeCell ref="G37:I37"/>
    <mergeCell ref="G24:I24"/>
    <mergeCell ref="G25:I25"/>
    <mergeCell ref="G27:I27"/>
    <mergeCell ref="G28:I28"/>
    <mergeCell ref="G30:I30"/>
    <mergeCell ref="B25:D25"/>
    <mergeCell ref="B27:D27"/>
    <mergeCell ref="B28:D28"/>
    <mergeCell ref="B49:D49"/>
    <mergeCell ref="B30:D30"/>
    <mergeCell ref="B31:D31"/>
    <mergeCell ref="B39:D39"/>
    <mergeCell ref="B40:D40"/>
    <mergeCell ref="B46:D46"/>
    <mergeCell ref="B48:D48"/>
    <mergeCell ref="B21:D21"/>
    <mergeCell ref="B18:D18"/>
    <mergeCell ref="B19:D19"/>
    <mergeCell ref="B22:D22"/>
    <mergeCell ref="B24:D24"/>
    <mergeCell ref="D2:G2"/>
    <mergeCell ref="B12:D12"/>
    <mergeCell ref="B13:D13"/>
    <mergeCell ref="B15:D15"/>
    <mergeCell ref="B6:D6"/>
    <mergeCell ref="B7:D7"/>
    <mergeCell ref="B9:D9"/>
    <mergeCell ref="B10:D10"/>
    <mergeCell ref="B3:D3"/>
    <mergeCell ref="G21:I21"/>
    <mergeCell ref="G22:I22"/>
    <mergeCell ref="G6:I6"/>
    <mergeCell ref="G7:I7"/>
    <mergeCell ref="G9:I9"/>
    <mergeCell ref="G10:I10"/>
    <mergeCell ref="G12:I12"/>
    <mergeCell ref="G13:I13"/>
    <mergeCell ref="G15:I15"/>
    <mergeCell ref="G16:I16"/>
    <mergeCell ref="G18:I18"/>
    <mergeCell ref="G19:I19"/>
    <mergeCell ref="AU1:AV1"/>
    <mergeCell ref="Z2:AH3"/>
    <mergeCell ref="AI3:AS3"/>
    <mergeCell ref="Z1:AE1"/>
    <mergeCell ref="AF1:AG1"/>
    <mergeCell ref="AH1:AI1"/>
    <mergeCell ref="AJ1:AL1"/>
    <mergeCell ref="AM1:AO1"/>
    <mergeCell ref="AP1:AT1"/>
  </mergeCells>
  <conditionalFormatting sqref="B13:D13">
    <cfRule type="containsText" dxfId="35" priority="39" operator="containsText" text="OFFICE 5">
      <formula>NOT(ISERROR(SEARCH("OFFICE 5",B13)))</formula>
    </cfRule>
  </conditionalFormatting>
  <conditionalFormatting sqref="G46:I46">
    <cfRule type="containsText" dxfId="34" priority="38" operator="containsText" text="OFFICE 6">
      <formula>NOT(ISERROR(SEARCH("OFFICE 6",G46)))</formula>
    </cfRule>
  </conditionalFormatting>
  <conditionalFormatting sqref="B16:D16">
    <cfRule type="containsText" dxfId="33" priority="37" operator="containsText" text="OFFICE 7">
      <formula>NOT(ISERROR(SEARCH("OFFICE 7",B16)))</formula>
    </cfRule>
  </conditionalFormatting>
  <conditionalFormatting sqref="G43:I43">
    <cfRule type="containsText" dxfId="32" priority="36" operator="containsText" text="OFFICE 8">
      <formula>NOT(ISERROR(SEARCH("OFFICE 8",G43)))</formula>
    </cfRule>
  </conditionalFormatting>
  <conditionalFormatting sqref="B19:D19">
    <cfRule type="containsText" dxfId="31" priority="35" operator="containsText" text="OFFICE 9">
      <formula>NOT(ISERROR(SEARCH("OFFICE 9",B19)))</formula>
    </cfRule>
  </conditionalFormatting>
  <conditionalFormatting sqref="G40:I40">
    <cfRule type="containsText" dxfId="30" priority="34" operator="containsText" text="OFFICE 10">
      <formula>NOT(ISERROR(SEARCH("OFFICE 10",G40)))</formula>
    </cfRule>
  </conditionalFormatting>
  <conditionalFormatting sqref="G31:I31">
    <cfRule type="containsText" dxfId="29" priority="26" operator="containsText" text="OFFICE 16">
      <formula>NOT(ISERROR(SEARCH("OFFICE 16",G31)))</formula>
    </cfRule>
    <cfRule type="containsText" dxfId="28" priority="33" operator="containsText" text="OFFICE 16">
      <formula>NOT(ISERROR(SEARCH("OFFICE 16",G31)))</formula>
    </cfRule>
  </conditionalFormatting>
  <conditionalFormatting sqref="G37:I37">
    <cfRule type="containsText" dxfId="27" priority="32" operator="containsText" text="OFFICE 12">
      <formula>NOT(ISERROR(SEARCH("OFFICE 12",G37)))</formula>
    </cfRule>
  </conditionalFormatting>
  <conditionalFormatting sqref="B22:D22">
    <cfRule type="containsText" dxfId="26" priority="25" operator="containsText" text="OFFICE 11">
      <formula>NOT(ISERROR(SEARCH("OFFICE 11",B22)))</formula>
    </cfRule>
    <cfRule type="containsText" dxfId="25" priority="31" operator="containsText" text="OFFICE 11">
      <formula>NOT(ISERROR(SEARCH("OFFICE 11",B22)))</formula>
    </cfRule>
  </conditionalFormatting>
  <conditionalFormatting sqref="B25:D25">
    <cfRule type="containsText" dxfId="24" priority="24" operator="containsText" text="OFFICE 13">
      <formula>NOT(ISERROR(SEARCH("OFFICE 13",B25)))</formula>
    </cfRule>
    <cfRule type="containsText" dxfId="23" priority="30" operator="containsText" text="OFFICE 13">
      <formula>NOT(ISERROR(SEARCH("OFFICE 13",B25)))</formula>
    </cfRule>
  </conditionalFormatting>
  <conditionalFormatting sqref="B28:D28">
    <cfRule type="containsText" dxfId="22" priority="23" operator="containsText" text="OFFICE 15">
      <formula>NOT(ISERROR(SEARCH("OFFICE 15",B28)))</formula>
    </cfRule>
    <cfRule type="containsText" dxfId="21" priority="28" operator="containsText" text="OFFICE 15">
      <formula>NOT(ISERROR(SEARCH("OFFICE 15",B28)))</formula>
    </cfRule>
  </conditionalFormatting>
  <conditionalFormatting sqref="G34:I34">
    <cfRule type="containsText" dxfId="20" priority="27" operator="containsText" text="OFFICE 14">
      <formula>NOT(ISERROR(SEARCH("OFFICE 14",G34)))</formula>
    </cfRule>
  </conditionalFormatting>
  <conditionalFormatting sqref="AX16:BB16">
    <cfRule type="expression" dxfId="19" priority="1">
      <formula>(OR(AT3=8,AT3=7,AT3=6,AT3=5,AT3=4,AT3=3,AT3=2))</formula>
    </cfRule>
  </conditionalFormatting>
  <conditionalFormatting sqref="AX17:BB17">
    <cfRule type="expression" dxfId="18" priority="21">
      <formula>(OR($AT$3=9,$AT$3=8,$AT$3=7,$AT$3=6,$AT$3=5,$AT$3=4,$AT$3=3,$AT$3=2))</formula>
    </cfRule>
  </conditionalFormatting>
  <conditionalFormatting sqref="AX19">
    <cfRule type="expression" dxfId="17" priority="20">
      <formula>(OR(AT3=9,$AT$3=8,$AT$3=7,$AT$3=6,$AT$3=5,$AT$3=4))</formula>
    </cfRule>
  </conditionalFormatting>
  <conditionalFormatting sqref="AX20">
    <cfRule type="expression" dxfId="16" priority="19">
      <formula>(OR(AT3=9,$AT$3=8,$AT$3=7,$AT$3=6,$AT$3=5))</formula>
    </cfRule>
  </conditionalFormatting>
  <conditionalFormatting sqref="AX21">
    <cfRule type="expression" dxfId="15" priority="18">
      <formula>(OR(AT3=9,$AT$3=8,$AT$3=7,$AT$3=6))</formula>
    </cfRule>
  </conditionalFormatting>
  <conditionalFormatting sqref="AX22">
    <cfRule type="expression" dxfId="14" priority="17">
      <formula>(OR(AT3=9,$AT$3=8,$AT$3=7))</formula>
    </cfRule>
  </conditionalFormatting>
  <conditionalFormatting sqref="AX23">
    <cfRule type="expression" dxfId="13" priority="16">
      <formula>(OR(AT3=9,AT3=8))</formula>
    </cfRule>
  </conditionalFormatting>
  <conditionalFormatting sqref="AE9:AG28 AK9:AM16 AK21:AM28 Y9:Y31 AQ21:AS22 N11:O31 M9:M31 S9:U31 Z10:AA31 AQ12:AQ13 AR13:AS13">
    <cfRule type="containsText" dxfId="12" priority="15" operator="containsText" text="OFFICE">
      <formula>NOT(ISERROR(SEARCH("OFFICE",M9)))</formula>
    </cfRule>
  </conditionalFormatting>
  <conditionalFormatting sqref="AX18:BB18">
    <cfRule type="expression" dxfId="11" priority="14">
      <formula>-(OR($AT$3=9,$AT$3=8,$AT$3=7,$AT$3=6,$AT$3=5,$AT$3=4,$AT$3=3))</formula>
    </cfRule>
  </conditionalFormatting>
  <conditionalFormatting sqref="AQ27:AS28">
    <cfRule type="containsText" dxfId="10" priority="13" operator="containsText" text="OFFICE">
      <formula>NOT(ISERROR(SEARCH("OFFICE",AQ27)))</formula>
    </cfRule>
  </conditionalFormatting>
  <conditionalFormatting sqref="Y9:AA31">
    <cfRule type="containsText" dxfId="9" priority="12" operator="containsText" text="FAUX">
      <formula>NOT(ISERROR(SEARCH("FAUX",Y9)))</formula>
    </cfRule>
  </conditionalFormatting>
  <conditionalFormatting sqref="AV16">
    <cfRule type="expression" dxfId="8" priority="10">
      <formula>(OR($AT$3=9,$AT$3=8,$AT$3=7,$AT$3=6,$AT$3=5,$AT$3=4,$AT$3=3,$AT$3=2,$AT$3=1))</formula>
    </cfRule>
  </conditionalFormatting>
  <conditionalFormatting sqref="AV17">
    <cfRule type="expression" dxfId="7" priority="9">
      <formula>(OR($AT$3=9,$AT$3=8,$AT$3=7,$AT$3=6,$AT$3=5,$AT$3=4,$AT$3=3,$AT$3=2))</formula>
    </cfRule>
  </conditionalFormatting>
  <conditionalFormatting sqref="AV18">
    <cfRule type="expression" dxfId="6" priority="8">
      <formula>(OR($AT$3=9,$AT$3=8,$AT$3=7,$AT$3=6,$AT$3=5,$AT$3=4,AT3=3))</formula>
    </cfRule>
  </conditionalFormatting>
  <conditionalFormatting sqref="AV19">
    <cfRule type="expression" dxfId="5" priority="7">
      <formula>(OR(AT3=9,$AT$3=8,$AT$3=7,$AT$3=6,$AT$3=5,$AT$3=4))</formula>
    </cfRule>
  </conditionalFormatting>
  <conditionalFormatting sqref="AV20">
    <cfRule type="expression" dxfId="4" priority="6">
      <formula>(OR(AT3=9,$AT$3=8,$AT$3=7,$AT$3=6,$AT$3=5))</formula>
    </cfRule>
  </conditionalFormatting>
  <conditionalFormatting sqref="AV21">
    <cfRule type="expression" dxfId="3" priority="5">
      <formula>(OR(AT3=9,$AT$3=8,$AT$3=7,$AT$3=6))</formula>
    </cfRule>
  </conditionalFormatting>
  <conditionalFormatting sqref="AV22">
    <cfRule type="expression" dxfId="2" priority="4">
      <formula>(OR(AT3=9,$AT$3=8,$AT$3=7))</formula>
    </cfRule>
  </conditionalFormatting>
  <conditionalFormatting sqref="AV23">
    <cfRule type="expression" dxfId="1" priority="3">
      <formula>(OR(AT3=9,AT3=8))</formula>
    </cfRule>
  </conditionalFormatting>
  <conditionalFormatting sqref="AQ12:AQ13 AR13:AS13">
    <cfRule type="containsText" dxfId="0" priority="2" operator="containsText" text="OFFICE">
      <formula>NOT(ISERROR(SEARCH("OFFICE",AQ12)))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E67"/>
  <sheetViews>
    <sheetView zoomScaleNormal="100" zoomScaleSheetLayoutView="90" workbookViewId="0">
      <selection activeCell="AC23" sqref="AC23"/>
    </sheetView>
  </sheetViews>
  <sheetFormatPr baseColWidth="10" defaultRowHeight="15.75"/>
  <cols>
    <col min="1" max="1" width="5.7109375" style="387" customWidth="1"/>
    <col min="2" max="2" width="6" style="387" customWidth="1"/>
    <col min="3" max="28" width="5.7109375" style="387" customWidth="1"/>
    <col min="29" max="29" width="11.42578125" style="387"/>
    <col min="30" max="57" width="4.7109375" customWidth="1"/>
    <col min="58" max="16384" width="11.42578125" style="387"/>
  </cols>
  <sheetData>
    <row r="1" spans="1:28" ht="18.95" customHeight="1">
      <c r="A1" s="245">
        <v>805</v>
      </c>
      <c r="B1" s="245">
        <v>795</v>
      </c>
      <c r="C1" s="245">
        <v>785</v>
      </c>
      <c r="D1" s="245">
        <v>775</v>
      </c>
      <c r="E1" s="245">
        <v>765</v>
      </c>
      <c r="F1" s="245">
        <v>755</v>
      </c>
      <c r="G1" s="245">
        <v>745</v>
      </c>
      <c r="H1" s="245">
        <v>735</v>
      </c>
      <c r="I1" s="245">
        <v>725</v>
      </c>
      <c r="J1" s="245">
        <v>715</v>
      </c>
      <c r="K1" s="245">
        <v>705</v>
      </c>
      <c r="L1" s="245">
        <v>695</v>
      </c>
      <c r="M1" s="245">
        <v>685</v>
      </c>
      <c r="N1" s="245">
        <v>675</v>
      </c>
      <c r="O1" s="245">
        <v>665</v>
      </c>
      <c r="P1" s="245">
        <v>655</v>
      </c>
      <c r="Q1" s="245">
        <v>645</v>
      </c>
      <c r="R1" s="245">
        <v>635</v>
      </c>
      <c r="S1" s="245">
        <v>625</v>
      </c>
      <c r="T1" s="245">
        <v>615</v>
      </c>
      <c r="U1" s="389">
        <v>605</v>
      </c>
      <c r="V1" s="389">
        <v>595</v>
      </c>
      <c r="W1" s="389">
        <v>585</v>
      </c>
      <c r="X1" s="389">
        <v>575</v>
      </c>
      <c r="Y1" s="389">
        <v>565</v>
      </c>
      <c r="Z1" s="389">
        <v>555</v>
      </c>
      <c r="AA1" s="389">
        <v>545</v>
      </c>
      <c r="AB1" s="389">
        <v>535</v>
      </c>
    </row>
    <row r="2" spans="1:28" ht="18.95" customHeight="1">
      <c r="A2" s="1203" t="s">
        <v>297</v>
      </c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  <c r="V2" s="1204"/>
      <c r="W2" s="1204"/>
      <c r="X2" s="1204"/>
      <c r="Y2" s="1204"/>
      <c r="Z2" s="1204"/>
      <c r="AA2" s="1204"/>
      <c r="AB2" s="1205"/>
    </row>
    <row r="3" spans="1:28" ht="18.95" customHeight="1">
      <c r="A3" s="1206" t="s">
        <v>326</v>
      </c>
      <c r="B3" s="1206"/>
      <c r="C3" s="1206"/>
      <c r="D3" s="1184" t="s">
        <v>261</v>
      </c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1184"/>
      <c r="R3" s="1184"/>
      <c r="S3" s="1184"/>
      <c r="T3" s="1184"/>
      <c r="U3" s="1184"/>
      <c r="V3" s="1184"/>
      <c r="W3" s="1184"/>
      <c r="X3" s="1184"/>
      <c r="Y3" s="1184"/>
      <c r="Z3" s="1184"/>
      <c r="AA3" s="1184"/>
      <c r="AB3" s="1184"/>
    </row>
    <row r="4" spans="1:28" ht="18.95" customHeight="1">
      <c r="A4" s="1203" t="s">
        <v>298</v>
      </c>
      <c r="B4" s="1204"/>
      <c r="C4" s="1204"/>
      <c r="D4" s="1204"/>
      <c r="E4" s="1204"/>
      <c r="F4" s="1204"/>
      <c r="G4" s="1204"/>
      <c r="H4" s="1204"/>
      <c r="I4" s="1204"/>
      <c r="J4" s="1204"/>
      <c r="K4" s="1204"/>
      <c r="L4" s="1204"/>
      <c r="M4" s="1204"/>
      <c r="N4" s="1204"/>
      <c r="O4" s="1204"/>
      <c r="P4" s="1204"/>
      <c r="Q4" s="1204"/>
      <c r="R4" s="1204"/>
      <c r="S4" s="1204"/>
      <c r="T4" s="1204"/>
      <c r="U4" s="1204"/>
      <c r="V4" s="1204"/>
      <c r="W4" s="1204"/>
      <c r="X4" s="1204"/>
      <c r="Y4" s="1204"/>
      <c r="Z4" s="1204"/>
      <c r="AA4" s="1204"/>
      <c r="AB4" s="1205"/>
    </row>
    <row r="5" spans="1:28" ht="18.95" customHeight="1">
      <c r="A5" s="1206" t="s">
        <v>323</v>
      </c>
      <c r="B5" s="1206"/>
      <c r="C5" s="1206"/>
      <c r="D5" s="1206"/>
      <c r="E5" s="1206"/>
      <c r="F5" s="1206"/>
      <c r="G5" s="1206"/>
      <c r="H5" s="1184" t="s">
        <v>261</v>
      </c>
      <c r="I5" s="1184"/>
      <c r="J5" s="1184"/>
      <c r="K5" s="1184"/>
      <c r="L5" s="1184"/>
      <c r="M5" s="1184"/>
      <c r="N5" s="1184"/>
      <c r="O5" s="1184"/>
      <c r="P5" s="1184"/>
      <c r="Q5" s="1184"/>
      <c r="R5" s="1184"/>
      <c r="S5" s="1184"/>
      <c r="T5" s="1184"/>
      <c r="U5" s="1184"/>
      <c r="V5" s="1184"/>
      <c r="W5" s="1184"/>
      <c r="X5" s="1184"/>
      <c r="Y5" s="1184"/>
      <c r="Z5" s="1184"/>
      <c r="AA5" s="1184"/>
      <c r="AB5" s="1184"/>
    </row>
    <row r="6" spans="1:28" ht="18.95" customHeight="1">
      <c r="A6" s="1203" t="s">
        <v>299</v>
      </c>
      <c r="B6" s="1204"/>
      <c r="C6" s="1204"/>
      <c r="D6" s="1204"/>
      <c r="E6" s="1204"/>
      <c r="F6" s="1204"/>
      <c r="G6" s="1204"/>
      <c r="H6" s="1204"/>
      <c r="I6" s="1204"/>
      <c r="J6" s="1204"/>
      <c r="K6" s="1204"/>
      <c r="L6" s="1204"/>
      <c r="M6" s="1204"/>
      <c r="N6" s="1204"/>
      <c r="O6" s="1204"/>
      <c r="P6" s="1204"/>
      <c r="Q6" s="1204"/>
      <c r="R6" s="1204"/>
      <c r="S6" s="1204"/>
      <c r="T6" s="1204"/>
      <c r="U6" s="1204"/>
      <c r="V6" s="1204"/>
      <c r="W6" s="1204"/>
      <c r="X6" s="1204"/>
      <c r="Y6" s="1204"/>
      <c r="Z6" s="1204"/>
      <c r="AA6" s="1204"/>
      <c r="AB6" s="1205"/>
    </row>
    <row r="7" spans="1:28" ht="18.95" customHeight="1">
      <c r="A7" s="1206" t="s">
        <v>327</v>
      </c>
      <c r="B7" s="1206"/>
      <c r="C7" s="1206"/>
      <c r="D7" s="1206"/>
      <c r="E7" s="1206"/>
      <c r="F7" s="1206"/>
      <c r="G7" s="1206"/>
      <c r="H7" s="1206"/>
      <c r="I7" s="390" t="s">
        <v>326</v>
      </c>
      <c r="J7" s="1184" t="s">
        <v>261</v>
      </c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</row>
    <row r="8" spans="1:28" ht="18.95" customHeight="1">
      <c r="A8" s="1203" t="s">
        <v>300</v>
      </c>
      <c r="B8" s="1204"/>
      <c r="C8" s="1204"/>
      <c r="D8" s="1204"/>
      <c r="E8" s="1204"/>
      <c r="F8" s="1204"/>
      <c r="G8" s="1204"/>
      <c r="H8" s="1204"/>
      <c r="I8" s="1204"/>
      <c r="J8" s="1204"/>
      <c r="K8" s="1204"/>
      <c r="L8" s="1204"/>
      <c r="M8" s="1204"/>
      <c r="N8" s="1204"/>
      <c r="O8" s="1204"/>
      <c r="P8" s="1204"/>
      <c r="Q8" s="1204"/>
      <c r="R8" s="1204"/>
      <c r="S8" s="1204"/>
      <c r="T8" s="1204"/>
      <c r="U8" s="1204"/>
      <c r="V8" s="1204"/>
      <c r="W8" s="1204"/>
      <c r="X8" s="1204"/>
      <c r="Y8" s="1204"/>
      <c r="Z8" s="1204"/>
      <c r="AA8" s="1204"/>
      <c r="AB8" s="1205"/>
    </row>
    <row r="9" spans="1:28" ht="18.95" customHeight="1">
      <c r="A9" s="1196" t="s">
        <v>320</v>
      </c>
      <c r="B9" s="1196"/>
      <c r="C9" s="1196"/>
      <c r="D9" s="1196"/>
      <c r="E9" s="1196"/>
      <c r="F9" s="1196"/>
      <c r="G9" s="1196"/>
      <c r="H9" s="1196"/>
      <c r="I9" s="1196"/>
      <c r="J9" s="1196"/>
      <c r="K9" s="1196"/>
      <c r="L9" s="1184" t="s">
        <v>261</v>
      </c>
      <c r="M9" s="1184"/>
      <c r="N9" s="1184"/>
      <c r="O9" s="1184"/>
      <c r="P9" s="1184"/>
      <c r="Q9" s="1184"/>
      <c r="R9" s="1184"/>
      <c r="S9" s="1184"/>
      <c r="T9" s="1184"/>
      <c r="U9" s="1184"/>
      <c r="V9" s="1184"/>
      <c r="W9" s="1184"/>
      <c r="X9" s="1184"/>
      <c r="Y9" s="1184"/>
      <c r="Z9" s="1184"/>
      <c r="AA9" s="1184"/>
      <c r="AB9" s="1184"/>
    </row>
    <row r="10" spans="1:28" ht="18.95" customHeight="1">
      <c r="A10" s="1203" t="s">
        <v>301</v>
      </c>
      <c r="B10" s="1204"/>
      <c r="C10" s="1204"/>
      <c r="D10" s="1204"/>
      <c r="E10" s="1204"/>
      <c r="F10" s="1204"/>
      <c r="G10" s="1204"/>
      <c r="H10" s="1204"/>
      <c r="I10" s="1204"/>
      <c r="J10" s="1204"/>
      <c r="K10" s="1204"/>
      <c r="L10" s="1204"/>
      <c r="M10" s="1204"/>
      <c r="N10" s="1204"/>
      <c r="O10" s="1204"/>
      <c r="P10" s="1204"/>
      <c r="Q10" s="1204"/>
      <c r="R10" s="1204"/>
      <c r="S10" s="1204"/>
      <c r="T10" s="1204"/>
      <c r="U10" s="1204"/>
      <c r="V10" s="1204"/>
      <c r="W10" s="1204"/>
      <c r="X10" s="1204"/>
      <c r="Y10" s="1204"/>
      <c r="Z10" s="1204"/>
      <c r="AA10" s="1204"/>
      <c r="AB10" s="1205"/>
    </row>
    <row r="11" spans="1:28" ht="18.95" customHeight="1">
      <c r="A11" s="1188" t="s">
        <v>280</v>
      </c>
      <c r="B11" s="1188"/>
      <c r="C11" s="1188"/>
      <c r="D11" s="1188"/>
      <c r="E11" s="1188"/>
      <c r="F11" s="1188"/>
      <c r="G11" s="1188"/>
      <c r="H11" s="1188"/>
      <c r="I11" s="1188"/>
      <c r="J11" s="1188"/>
      <c r="K11" s="1188"/>
      <c r="L11" s="1188"/>
      <c r="M11" s="1188"/>
      <c r="N11" s="1188"/>
      <c r="O11" s="1185" t="s">
        <v>261</v>
      </c>
      <c r="P11" s="1186"/>
      <c r="Q11" s="1186"/>
      <c r="R11" s="1186"/>
      <c r="S11" s="1186"/>
      <c r="T11" s="1186"/>
      <c r="U11" s="1186"/>
      <c r="V11" s="1186"/>
      <c r="W11" s="1186"/>
      <c r="X11" s="1186"/>
      <c r="Y11" s="1186"/>
      <c r="Z11" s="1186"/>
      <c r="AA11" s="1186"/>
      <c r="AB11" s="1187"/>
    </row>
    <row r="12" spans="1:28" ht="18.95" customHeight="1">
      <c r="A12" s="1203" t="s">
        <v>302</v>
      </c>
      <c r="B12" s="1204"/>
      <c r="C12" s="1204"/>
      <c r="D12" s="1204"/>
      <c r="E12" s="1204"/>
      <c r="F12" s="1204"/>
      <c r="G12" s="1204"/>
      <c r="H12" s="1204"/>
      <c r="I12" s="1204"/>
      <c r="J12" s="1204"/>
      <c r="K12" s="1204"/>
      <c r="L12" s="1204"/>
      <c r="M12" s="1204"/>
      <c r="N12" s="1204"/>
      <c r="O12" s="1204"/>
      <c r="P12" s="1204"/>
      <c r="Q12" s="1204"/>
      <c r="R12" s="1204"/>
      <c r="S12" s="1204"/>
      <c r="T12" s="1204"/>
      <c r="U12" s="1204"/>
      <c r="V12" s="1204"/>
      <c r="W12" s="1204"/>
      <c r="X12" s="1204"/>
      <c r="Y12" s="1204"/>
      <c r="Z12" s="1204"/>
      <c r="AA12" s="1204"/>
      <c r="AB12" s="1205"/>
    </row>
    <row r="13" spans="1:28" ht="18.95" customHeight="1">
      <c r="A13" s="1188" t="s">
        <v>321</v>
      </c>
      <c r="B13" s="1188"/>
      <c r="C13" s="1188"/>
      <c r="D13" s="1188"/>
      <c r="E13" s="1188"/>
      <c r="F13" s="1188"/>
      <c r="G13" s="1188"/>
      <c r="H13" s="1188"/>
      <c r="I13" s="1188"/>
      <c r="J13" s="1188"/>
      <c r="K13" s="1188"/>
      <c r="L13" s="1188"/>
      <c r="M13" s="1188"/>
      <c r="N13" s="1188"/>
      <c r="O13" s="1188"/>
      <c r="P13" s="1188"/>
      <c r="Q13" s="391" t="s">
        <v>320</v>
      </c>
      <c r="R13" s="1185" t="s">
        <v>261</v>
      </c>
      <c r="S13" s="1186"/>
      <c r="T13" s="1186"/>
      <c r="U13" s="1186"/>
      <c r="V13" s="1186"/>
      <c r="W13" s="1186"/>
      <c r="X13" s="1186"/>
      <c r="Y13" s="1186"/>
      <c r="Z13" s="1186"/>
      <c r="AA13" s="1186"/>
      <c r="AB13" s="1187"/>
    </row>
    <row r="14" spans="1:28" ht="18.95" customHeight="1">
      <c r="A14" s="1203" t="s">
        <v>303</v>
      </c>
      <c r="B14" s="1204"/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5"/>
    </row>
    <row r="15" spans="1:28" ht="18.95" customHeight="1">
      <c r="A15" s="1188" t="s">
        <v>314</v>
      </c>
      <c r="B15" s="1188"/>
      <c r="C15" s="1188"/>
      <c r="D15" s="1188"/>
      <c r="E15" s="1188"/>
      <c r="F15" s="1188"/>
      <c r="G15" s="1188"/>
      <c r="H15" s="1188"/>
      <c r="I15" s="1188"/>
      <c r="J15" s="1188"/>
      <c r="K15" s="1188"/>
      <c r="L15" s="1188"/>
      <c r="M15" s="1188"/>
      <c r="N15" s="1188"/>
      <c r="O15" s="1188"/>
      <c r="P15" s="1188"/>
      <c r="Q15" s="1188"/>
      <c r="R15" s="1188"/>
      <c r="S15" s="1188"/>
      <c r="T15" s="1185" t="s">
        <v>261</v>
      </c>
      <c r="U15" s="1186"/>
      <c r="V15" s="1186"/>
      <c r="W15" s="1186"/>
      <c r="X15" s="1186"/>
      <c r="Y15" s="1186"/>
      <c r="Z15" s="1186"/>
      <c r="AA15" s="1186"/>
      <c r="AB15" s="1187"/>
    </row>
    <row r="16" spans="1:28" ht="18.95" customHeight="1">
      <c r="A16" s="1203" t="s">
        <v>304</v>
      </c>
      <c r="B16" s="1204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5"/>
    </row>
    <row r="17" spans="1:28" ht="18.95" customHeight="1">
      <c r="A17" s="1182" t="s">
        <v>318</v>
      </c>
      <c r="B17" s="1182"/>
      <c r="C17" s="1182"/>
      <c r="D17" s="1182"/>
      <c r="E17" s="1182"/>
      <c r="F17" s="1182"/>
      <c r="G17" s="1182"/>
      <c r="H17" s="1182"/>
      <c r="I17" s="1182"/>
      <c r="J17" s="1182"/>
      <c r="K17" s="1182"/>
      <c r="L17" s="1182"/>
      <c r="M17" s="1182"/>
      <c r="N17" s="1182"/>
      <c r="O17" s="1182"/>
      <c r="P17" s="1182"/>
      <c r="Q17" s="1182"/>
      <c r="R17" s="1182"/>
      <c r="S17" s="1182"/>
      <c r="T17" s="1182"/>
      <c r="U17" s="1188" t="s">
        <v>314</v>
      </c>
      <c r="V17" s="1188"/>
      <c r="W17" s="1185" t="s">
        <v>261</v>
      </c>
      <c r="X17" s="1186"/>
      <c r="Y17" s="1186"/>
      <c r="Z17" s="1186"/>
      <c r="AA17" s="1186"/>
      <c r="AB17" s="1187"/>
    </row>
    <row r="18" spans="1:28" ht="18.95" customHeight="1">
      <c r="A18" s="1203" t="s">
        <v>305</v>
      </c>
      <c r="B18" s="1204"/>
      <c r="C18" s="1204"/>
      <c r="D18" s="1204"/>
      <c r="E18" s="1204"/>
      <c r="F18" s="1204"/>
      <c r="G18" s="1204"/>
      <c r="H18" s="1204"/>
      <c r="I18" s="1204"/>
      <c r="J18" s="1204"/>
      <c r="K18" s="1204"/>
      <c r="L18" s="1204"/>
      <c r="M18" s="1204"/>
      <c r="N18" s="1204"/>
      <c r="O18" s="1204"/>
      <c r="P18" s="1204"/>
      <c r="Q18" s="1204"/>
      <c r="R18" s="1204"/>
      <c r="S18" s="1204"/>
      <c r="T18" s="1204"/>
      <c r="U18" s="1204"/>
      <c r="V18" s="1204"/>
      <c r="W18" s="1204"/>
      <c r="X18" s="1204"/>
      <c r="Y18" s="1204"/>
      <c r="Z18" s="1204"/>
      <c r="AA18" s="1204"/>
      <c r="AB18" s="1205"/>
    </row>
    <row r="19" spans="1:28" ht="18.95" customHeight="1">
      <c r="A19" s="1182" t="s">
        <v>316</v>
      </c>
      <c r="B19" s="1182"/>
      <c r="C19" s="1182"/>
      <c r="D19" s="1182"/>
      <c r="E19" s="1182"/>
      <c r="F19" s="1182"/>
      <c r="G19" s="1182"/>
      <c r="H19" s="1182"/>
      <c r="I19" s="1182"/>
      <c r="J19" s="1182"/>
      <c r="K19" s="1182"/>
      <c r="L19" s="1182"/>
      <c r="M19" s="1182"/>
      <c r="N19" s="1182"/>
      <c r="O19" s="1182"/>
      <c r="P19" s="1182"/>
      <c r="Q19" s="1182"/>
      <c r="R19" s="1182"/>
      <c r="S19" s="1182"/>
      <c r="T19" s="1182"/>
      <c r="U19" s="1182"/>
      <c r="V19" s="1182"/>
      <c r="W19" s="1182"/>
      <c r="X19" s="1182"/>
      <c r="Y19" s="392" t="s">
        <v>314</v>
      </c>
      <c r="Z19" s="1185" t="s">
        <v>261</v>
      </c>
      <c r="AA19" s="1186"/>
      <c r="AB19" s="1187"/>
    </row>
    <row r="20" spans="1:28" ht="18.95" customHeight="1">
      <c r="A20" s="1203" t="s">
        <v>306</v>
      </c>
      <c r="B20" s="1204"/>
      <c r="C20" s="1204"/>
      <c r="D20" s="1204"/>
      <c r="E20" s="1204"/>
      <c r="F20" s="1204"/>
      <c r="G20" s="1204"/>
      <c r="H20" s="1204"/>
      <c r="I20" s="1204"/>
      <c r="J20" s="1204"/>
      <c r="K20" s="1204"/>
      <c r="L20" s="1204"/>
      <c r="M20" s="1204"/>
      <c r="N20" s="1204"/>
      <c r="O20" s="1204"/>
      <c r="P20" s="1204"/>
      <c r="Q20" s="1204"/>
      <c r="R20" s="1204"/>
      <c r="S20" s="1204"/>
      <c r="T20" s="1204"/>
      <c r="U20" s="1204"/>
      <c r="V20" s="1204"/>
      <c r="W20" s="1204"/>
      <c r="X20" s="1204"/>
      <c r="Y20" s="1204"/>
      <c r="Z20" s="1204"/>
      <c r="AA20" s="1204"/>
      <c r="AB20" s="1205"/>
    </row>
    <row r="21" spans="1:28" ht="18.95" customHeight="1">
      <c r="A21" s="1188" t="s">
        <v>279</v>
      </c>
      <c r="B21" s="1188"/>
      <c r="C21" s="1188"/>
      <c r="D21" s="1188"/>
      <c r="E21" s="1188"/>
      <c r="F21" s="1188"/>
      <c r="G21" s="1188"/>
      <c r="H21" s="1188"/>
      <c r="I21" s="1188"/>
      <c r="J21" s="1188"/>
      <c r="K21" s="1188"/>
      <c r="L21" s="1188"/>
      <c r="M21" s="1188"/>
      <c r="N21" s="1188"/>
      <c r="O21" s="1188"/>
      <c r="P21" s="1188"/>
      <c r="Q21" s="1188"/>
      <c r="R21" s="1188"/>
      <c r="S21" s="1188"/>
      <c r="T21" s="1185" t="s">
        <v>261</v>
      </c>
      <c r="U21" s="1186"/>
      <c r="V21" s="1186"/>
      <c r="W21" s="1186"/>
      <c r="X21" s="1186"/>
      <c r="Y21" s="1186"/>
      <c r="Z21" s="1186"/>
      <c r="AA21" s="1186"/>
      <c r="AB21" s="1187"/>
    </row>
    <row r="22" spans="1:28" ht="18.95" customHeight="1">
      <c r="A22" s="1198" t="s">
        <v>268</v>
      </c>
      <c r="B22" s="1198"/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8"/>
      <c r="AA22" s="1198"/>
      <c r="AB22" s="1198"/>
    </row>
    <row r="23" spans="1:28" ht="18.95" customHeight="1">
      <c r="A23" s="620" t="s">
        <v>277</v>
      </c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09"/>
    </row>
    <row r="24" spans="1:28" ht="18.95" customHeight="1">
      <c r="A24" s="1198" t="s">
        <v>308</v>
      </c>
      <c r="B24" s="1198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</row>
    <row r="25" spans="1:28" ht="18.95" customHeight="1">
      <c r="A25" s="620" t="s">
        <v>311</v>
      </c>
      <c r="B25" s="620"/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M25" s="620"/>
      <c r="N25" s="620"/>
      <c r="O25" s="620"/>
      <c r="P25" s="620"/>
      <c r="Q25" s="620"/>
      <c r="R25" s="620"/>
      <c r="S25" s="620"/>
      <c r="T25" s="620"/>
      <c r="U25" s="620"/>
      <c r="V25" s="620"/>
      <c r="W25" s="620"/>
      <c r="X25" s="620"/>
      <c r="Y25" s="620"/>
      <c r="Z25" s="620"/>
      <c r="AA25" s="620"/>
      <c r="AB25" s="609"/>
    </row>
    <row r="26" spans="1:28" ht="18.95" customHeight="1">
      <c r="A26" s="1198" t="s">
        <v>309</v>
      </c>
      <c r="B26" s="1198"/>
      <c r="C26" s="1198"/>
      <c r="D26" s="1198"/>
      <c r="E26" s="1198"/>
      <c r="F26" s="1198"/>
      <c r="G26" s="1198"/>
      <c r="H26" s="1198"/>
      <c r="I26" s="1198"/>
      <c r="J26" s="1198"/>
      <c r="K26" s="1198"/>
      <c r="L26" s="1198"/>
      <c r="M26" s="1198"/>
      <c r="N26" s="1198"/>
      <c r="O26" s="1198"/>
      <c r="P26" s="1198"/>
      <c r="Q26" s="1198"/>
      <c r="R26" s="1198"/>
      <c r="S26" s="1198"/>
      <c r="T26" s="1198"/>
      <c r="U26" s="1198"/>
      <c r="V26" s="1198"/>
      <c r="W26" s="1198"/>
      <c r="X26" s="1198"/>
      <c r="Y26" s="1198"/>
      <c r="Z26" s="1198"/>
      <c r="AA26" s="1198"/>
      <c r="AB26" s="1198"/>
    </row>
    <row r="27" spans="1:28" ht="18.95" customHeight="1">
      <c r="A27" s="1188" t="s">
        <v>267</v>
      </c>
      <c r="B27" s="1188"/>
      <c r="C27" s="1188"/>
      <c r="D27" s="1188"/>
      <c r="E27" s="1188"/>
      <c r="F27" s="1188"/>
      <c r="G27" s="1188"/>
      <c r="H27" s="1188"/>
      <c r="I27" s="1188"/>
      <c r="J27" s="1188"/>
      <c r="K27" s="1188"/>
      <c r="L27" s="1188"/>
      <c r="M27" s="1188"/>
      <c r="N27" s="1188"/>
      <c r="O27" s="1188"/>
      <c r="P27" s="1188"/>
      <c r="Q27" s="1188"/>
      <c r="R27" s="1188"/>
      <c r="S27" s="1188"/>
      <c r="T27" s="1188"/>
      <c r="U27" s="1188"/>
      <c r="V27" s="1188"/>
      <c r="W27" s="1188"/>
      <c r="X27" s="1188"/>
      <c r="Y27" s="1188"/>
      <c r="Z27" s="1188"/>
      <c r="AA27" s="1188"/>
      <c r="AB27" s="1188"/>
    </row>
    <row r="28" spans="1:28" ht="18.95" customHeight="1">
      <c r="A28" s="1198" t="s">
        <v>310</v>
      </c>
      <c r="B28" s="1198"/>
      <c r="C28" s="1198"/>
      <c r="D28" s="1198"/>
      <c r="E28" s="1198"/>
      <c r="F28" s="1198"/>
      <c r="G28" s="1198"/>
      <c r="H28" s="1198"/>
      <c r="I28" s="1198"/>
      <c r="J28" s="1198"/>
      <c r="K28" s="1198"/>
      <c r="L28" s="1198"/>
      <c r="M28" s="1198"/>
      <c r="N28" s="1198"/>
      <c r="O28" s="1198"/>
      <c r="P28" s="1198"/>
      <c r="Q28" s="1198"/>
      <c r="R28" s="1198"/>
      <c r="S28" s="1198"/>
      <c r="T28" s="1198"/>
      <c r="U28" s="1198"/>
      <c r="V28" s="1198"/>
      <c r="W28" s="1198"/>
      <c r="X28" s="1198"/>
      <c r="Y28" s="1198"/>
      <c r="Z28" s="1198"/>
      <c r="AA28" s="1198"/>
      <c r="AB28" s="1198"/>
    </row>
    <row r="29" spans="1:28" ht="18.95" customHeight="1">
      <c r="A29" s="1188" t="s">
        <v>276</v>
      </c>
      <c r="B29" s="1188"/>
      <c r="C29" s="1188"/>
      <c r="D29" s="1188"/>
      <c r="E29" s="1188"/>
      <c r="F29" s="1188"/>
      <c r="G29" s="1188"/>
      <c r="H29" s="1188"/>
      <c r="I29" s="1188"/>
      <c r="J29" s="1188"/>
      <c r="K29" s="1188"/>
      <c r="L29" s="1188"/>
      <c r="M29" s="1188"/>
      <c r="N29" s="1188"/>
      <c r="O29" s="1188"/>
      <c r="P29" s="1188"/>
      <c r="Q29" s="1188"/>
      <c r="R29" s="1188"/>
      <c r="S29" s="1188"/>
      <c r="T29" s="1188"/>
      <c r="U29" s="1188"/>
      <c r="V29" s="1188"/>
      <c r="W29" s="1188"/>
      <c r="X29" s="1188"/>
      <c r="Y29" s="1188"/>
      <c r="Z29" s="1188"/>
      <c r="AA29" s="1188"/>
      <c r="AB29" s="1188"/>
    </row>
    <row r="30" spans="1:28" ht="18.95" customHeight="1">
      <c r="A30" s="1201" t="s">
        <v>282</v>
      </c>
      <c r="B30" s="1201"/>
      <c r="C30" s="1201"/>
      <c r="D30" s="1201"/>
      <c r="E30" s="1201"/>
      <c r="F30" s="1201"/>
      <c r="G30" s="1201"/>
      <c r="H30" s="1201"/>
      <c r="I30" s="1201"/>
      <c r="J30" s="1201"/>
      <c r="K30" s="1201"/>
      <c r="L30" s="1201"/>
      <c r="M30" s="1201"/>
      <c r="N30" s="1201"/>
      <c r="O30" s="1201"/>
      <c r="P30" s="1201"/>
      <c r="Q30" s="1201"/>
      <c r="R30" s="1201"/>
      <c r="S30" s="1201"/>
      <c r="T30" s="1201"/>
      <c r="U30" s="1201"/>
      <c r="V30" s="1201"/>
      <c r="W30" s="1201"/>
      <c r="X30" s="1201"/>
      <c r="Y30" s="1201"/>
      <c r="Z30" s="1201"/>
      <c r="AA30" s="1201"/>
      <c r="AB30" s="1201"/>
    </row>
    <row r="31" spans="1:28" ht="18.75" customHeight="1">
      <c r="A31" s="1188" t="s">
        <v>275</v>
      </c>
      <c r="B31" s="1188"/>
      <c r="C31" s="1188"/>
      <c r="D31" s="1188"/>
      <c r="E31" s="1188"/>
      <c r="F31" s="1188"/>
      <c r="G31" s="1188"/>
      <c r="H31" s="1188"/>
      <c r="I31" s="1188"/>
      <c r="J31" s="1188"/>
      <c r="K31" s="1188"/>
      <c r="L31" s="1188"/>
      <c r="M31" s="1188"/>
      <c r="N31" s="1188"/>
      <c r="O31" s="1188"/>
      <c r="P31" s="1188"/>
      <c r="Q31" s="1188"/>
      <c r="R31" s="1188"/>
      <c r="S31" s="1188"/>
      <c r="T31" s="1188"/>
      <c r="U31" s="1188"/>
      <c r="V31" s="1188"/>
      <c r="W31" s="1188"/>
      <c r="X31" s="1188"/>
      <c r="Y31" s="1188"/>
      <c r="Z31" s="1188"/>
      <c r="AA31" s="1188"/>
      <c r="AB31" s="1188"/>
    </row>
    <row r="32" spans="1:28" ht="18.95" customHeight="1">
      <c r="A32" s="1201" t="s">
        <v>266</v>
      </c>
      <c r="B32" s="1201"/>
      <c r="C32" s="1201"/>
      <c r="D32" s="1201"/>
      <c r="E32" s="1201"/>
      <c r="F32" s="1201"/>
      <c r="G32" s="1201"/>
      <c r="H32" s="1201"/>
      <c r="I32" s="1201"/>
      <c r="J32" s="1201"/>
      <c r="K32" s="1201"/>
      <c r="L32" s="1201"/>
      <c r="M32" s="1201"/>
      <c r="N32" s="1201"/>
      <c r="O32" s="1201"/>
      <c r="P32" s="1201"/>
      <c r="Q32" s="1201"/>
      <c r="R32" s="1201"/>
      <c r="S32" s="1201"/>
      <c r="T32" s="1201"/>
      <c r="U32" s="1201"/>
      <c r="V32" s="1201"/>
      <c r="W32" s="1201"/>
      <c r="X32" s="1201"/>
      <c r="Y32" s="1201"/>
      <c r="Z32" s="1201"/>
      <c r="AA32" s="1201"/>
      <c r="AB32" s="1201"/>
    </row>
    <row r="33" spans="1:28" ht="18.75" customHeight="1">
      <c r="A33" s="1188" t="s">
        <v>274</v>
      </c>
      <c r="B33" s="1188"/>
      <c r="C33" s="1188"/>
      <c r="D33" s="1188"/>
      <c r="E33" s="1188"/>
      <c r="F33" s="1188"/>
      <c r="G33" s="1188"/>
      <c r="H33" s="1188"/>
      <c r="I33" s="1188"/>
      <c r="J33" s="1188"/>
      <c r="K33" s="1188"/>
      <c r="L33" s="1188"/>
      <c r="M33" s="1188"/>
      <c r="N33" s="1188"/>
      <c r="O33" s="1188"/>
      <c r="P33" s="1188"/>
      <c r="Q33" s="1188"/>
      <c r="R33" s="1188"/>
      <c r="S33" s="1188"/>
      <c r="T33" s="1188"/>
      <c r="U33" s="1188"/>
      <c r="V33" s="1188"/>
      <c r="W33" s="1188"/>
      <c r="X33" s="1188"/>
      <c r="Y33" s="1188"/>
      <c r="Z33" s="1188"/>
      <c r="AA33" s="1188"/>
      <c r="AB33" s="1188"/>
    </row>
    <row r="34" spans="1:28" ht="18.95" customHeight="1">
      <c r="A34" s="393">
        <v>805</v>
      </c>
      <c r="B34" s="393">
        <v>795</v>
      </c>
      <c r="C34" s="393">
        <v>785</v>
      </c>
      <c r="D34" s="393">
        <v>775</v>
      </c>
      <c r="E34" s="393">
        <v>765</v>
      </c>
      <c r="F34" s="393">
        <v>755</v>
      </c>
      <c r="G34" s="393">
        <v>745</v>
      </c>
      <c r="H34" s="393">
        <v>735</v>
      </c>
      <c r="I34" s="393">
        <v>725</v>
      </c>
      <c r="J34" s="393">
        <v>715</v>
      </c>
      <c r="K34" s="393">
        <v>705</v>
      </c>
      <c r="L34" s="393">
        <v>695</v>
      </c>
      <c r="M34" s="393">
        <v>685</v>
      </c>
      <c r="N34" s="393">
        <v>675</v>
      </c>
      <c r="O34" s="393">
        <v>665</v>
      </c>
      <c r="P34" s="393">
        <v>655</v>
      </c>
      <c r="Q34" s="393">
        <v>645</v>
      </c>
      <c r="R34" s="393">
        <v>635</v>
      </c>
      <c r="S34" s="393">
        <v>625</v>
      </c>
      <c r="T34" s="393">
        <v>615</v>
      </c>
      <c r="U34" s="394">
        <v>605</v>
      </c>
      <c r="V34" s="394">
        <v>595</v>
      </c>
      <c r="W34" s="394">
        <v>585</v>
      </c>
      <c r="X34" s="394">
        <v>575</v>
      </c>
      <c r="Y34" s="394">
        <v>565</v>
      </c>
      <c r="Z34" s="394">
        <v>555</v>
      </c>
      <c r="AA34" s="394">
        <v>545</v>
      </c>
      <c r="AB34" s="394">
        <v>535</v>
      </c>
    </row>
    <row r="35" spans="1:28" ht="18.95" customHeight="1">
      <c r="A35" s="1201" t="s">
        <v>283</v>
      </c>
      <c r="B35" s="1201"/>
      <c r="C35" s="1201"/>
      <c r="D35" s="1201"/>
      <c r="E35" s="1201"/>
      <c r="F35" s="1201"/>
      <c r="G35" s="1201"/>
      <c r="H35" s="1201"/>
      <c r="I35" s="1201"/>
      <c r="J35" s="1201"/>
      <c r="K35" s="1201"/>
      <c r="L35" s="1201"/>
      <c r="M35" s="1201"/>
      <c r="N35" s="1201"/>
      <c r="O35" s="1201"/>
      <c r="P35" s="1201"/>
      <c r="Q35" s="1201"/>
      <c r="R35" s="1201"/>
      <c r="S35" s="1201"/>
      <c r="T35" s="1201"/>
      <c r="U35" s="1201"/>
      <c r="V35" s="1201"/>
      <c r="W35" s="1201"/>
      <c r="X35" s="1201"/>
      <c r="Y35" s="1201"/>
      <c r="Z35" s="1201"/>
      <c r="AA35" s="1201"/>
      <c r="AB35" s="1201"/>
    </row>
    <row r="36" spans="1:28" ht="18.75" customHeight="1">
      <c r="A36" s="1188" t="s">
        <v>273</v>
      </c>
      <c r="B36" s="1188"/>
      <c r="C36" s="1188"/>
      <c r="D36" s="1188"/>
      <c r="E36" s="1188"/>
      <c r="F36" s="1188"/>
      <c r="G36" s="1188"/>
      <c r="H36" s="1188"/>
      <c r="I36" s="1188"/>
      <c r="J36" s="1188"/>
      <c r="K36" s="1188"/>
      <c r="L36" s="1188"/>
      <c r="M36" s="1188"/>
      <c r="N36" s="1188"/>
      <c r="O36" s="1188"/>
      <c r="P36" s="1188"/>
      <c r="Q36" s="1188"/>
      <c r="R36" s="1188"/>
      <c r="S36" s="1188"/>
      <c r="T36" s="1188"/>
      <c r="U36" s="1188"/>
      <c r="V36" s="1188"/>
      <c r="W36" s="1188"/>
      <c r="X36" s="1188"/>
      <c r="Y36" s="1188"/>
      <c r="Z36" s="1188"/>
      <c r="AA36" s="1188"/>
      <c r="AB36" s="1188"/>
    </row>
    <row r="37" spans="1:28" ht="18.95" customHeight="1">
      <c r="A37" s="1202" t="s">
        <v>312</v>
      </c>
      <c r="B37" s="1202"/>
      <c r="C37" s="1202"/>
      <c r="D37" s="1202"/>
      <c r="E37" s="1202"/>
      <c r="F37" s="1202"/>
      <c r="G37" s="1202"/>
      <c r="H37" s="1202"/>
      <c r="I37" s="1202"/>
      <c r="J37" s="1202"/>
      <c r="K37" s="1202"/>
      <c r="L37" s="1202"/>
      <c r="M37" s="1202"/>
      <c r="N37" s="1202"/>
      <c r="O37" s="1202"/>
      <c r="P37" s="1202"/>
      <c r="Q37" s="1202"/>
      <c r="R37" s="1202"/>
      <c r="S37" s="1202"/>
      <c r="T37" s="1202"/>
      <c r="U37" s="1202"/>
      <c r="V37" s="1202"/>
      <c r="W37" s="1202"/>
      <c r="X37" s="1202"/>
      <c r="Y37" s="1202"/>
      <c r="Z37" s="1202"/>
      <c r="AA37" s="1202"/>
      <c r="AB37" s="1202"/>
    </row>
    <row r="38" spans="1:28" ht="18.95" customHeight="1">
      <c r="A38" s="1188" t="s">
        <v>272</v>
      </c>
      <c r="B38" s="1188"/>
      <c r="C38" s="1188"/>
      <c r="D38" s="1188"/>
      <c r="E38" s="1188"/>
      <c r="F38" s="1188"/>
      <c r="G38" s="1188"/>
      <c r="H38" s="1188"/>
      <c r="I38" s="1188"/>
      <c r="J38" s="1188"/>
      <c r="K38" s="1188"/>
      <c r="L38" s="1188"/>
      <c r="M38" s="1188"/>
      <c r="N38" s="1188"/>
      <c r="O38" s="1188"/>
      <c r="P38" s="1188"/>
      <c r="Q38" s="1188"/>
      <c r="R38" s="1188"/>
      <c r="S38" s="1188"/>
      <c r="T38" s="1188"/>
      <c r="U38" s="1188"/>
      <c r="V38" s="1188"/>
      <c r="W38" s="1188"/>
      <c r="X38" s="1188"/>
      <c r="Y38" s="1188"/>
      <c r="Z38" s="1188"/>
      <c r="AA38" s="1188"/>
      <c r="AB38" s="1188"/>
    </row>
    <row r="39" spans="1:28" ht="18.95" customHeight="1">
      <c r="A39" s="1182" t="s">
        <v>313</v>
      </c>
      <c r="B39" s="1182"/>
      <c r="C39" s="1182"/>
      <c r="D39" s="1182"/>
      <c r="E39" s="1182"/>
      <c r="F39" s="1182"/>
      <c r="G39" s="1182"/>
      <c r="H39" s="1182"/>
      <c r="I39" s="1182"/>
      <c r="J39" s="1182"/>
      <c r="K39" s="1182"/>
      <c r="L39" s="1182"/>
      <c r="M39" s="1182"/>
      <c r="N39" s="1182"/>
      <c r="O39" s="1182"/>
      <c r="P39" s="1182"/>
      <c r="Q39" s="1182"/>
      <c r="R39" s="1182"/>
      <c r="S39" s="1182"/>
      <c r="T39" s="1182"/>
      <c r="U39" s="1182"/>
      <c r="V39" s="1182"/>
      <c r="W39" s="1182"/>
      <c r="X39" s="1182"/>
      <c r="Y39" s="1182"/>
      <c r="Z39" s="1182"/>
      <c r="AA39" s="1182"/>
      <c r="AB39" s="1182"/>
    </row>
    <row r="40" spans="1:28" ht="18.95" customHeight="1">
      <c r="A40" s="1188" t="s">
        <v>271</v>
      </c>
      <c r="B40" s="1188"/>
      <c r="C40" s="1188"/>
      <c r="D40" s="1188"/>
      <c r="E40" s="1188"/>
      <c r="F40" s="1188"/>
      <c r="G40" s="1188"/>
      <c r="H40" s="1188"/>
      <c r="I40" s="1188"/>
      <c r="J40" s="1188"/>
      <c r="K40" s="1188"/>
      <c r="L40" s="1188"/>
      <c r="M40" s="1188"/>
      <c r="N40" s="1188"/>
      <c r="O40" s="1188"/>
      <c r="P40" s="1188"/>
      <c r="Q40" s="1188"/>
      <c r="R40" s="1188"/>
      <c r="S40" s="1188"/>
      <c r="T40" s="1188"/>
      <c r="U40" s="1188"/>
      <c r="V40" s="1188"/>
      <c r="W40" s="1188"/>
      <c r="X40" s="1188"/>
      <c r="Y40" s="1188"/>
      <c r="Z40" s="1188"/>
      <c r="AA40" s="1188"/>
      <c r="AB40" s="1188"/>
    </row>
    <row r="41" spans="1:28" ht="18.95" customHeight="1">
      <c r="A41" s="1182" t="s">
        <v>260</v>
      </c>
      <c r="B41" s="1182"/>
      <c r="C41" s="1182"/>
      <c r="D41" s="1182"/>
      <c r="E41" s="1182"/>
      <c r="F41" s="1182"/>
      <c r="G41" s="1182"/>
      <c r="H41" s="1182"/>
      <c r="I41" s="1182"/>
      <c r="J41" s="1182"/>
      <c r="K41" s="1182"/>
      <c r="L41" s="1182"/>
      <c r="M41" s="1182"/>
      <c r="N41" s="1182"/>
      <c r="O41" s="1182"/>
      <c r="P41" s="1182"/>
      <c r="Q41" s="1182"/>
      <c r="R41" s="1182"/>
      <c r="S41" s="1182"/>
      <c r="T41" s="1182"/>
      <c r="U41" s="1182"/>
      <c r="V41" s="1182"/>
      <c r="W41" s="1182"/>
      <c r="X41" s="1182"/>
      <c r="Y41" s="1182"/>
      <c r="Z41" s="1182"/>
      <c r="AA41" s="1182"/>
      <c r="AB41" s="1182"/>
    </row>
    <row r="42" spans="1:28" ht="18.95" customHeight="1">
      <c r="A42" s="1188" t="s">
        <v>270</v>
      </c>
      <c r="B42" s="1188"/>
      <c r="C42" s="1188"/>
      <c r="D42" s="1188"/>
      <c r="E42" s="1188"/>
      <c r="F42" s="1188"/>
      <c r="G42" s="1188"/>
      <c r="H42" s="1188"/>
      <c r="I42" s="1188"/>
      <c r="J42" s="1188"/>
      <c r="K42" s="1188"/>
      <c r="L42" s="1188"/>
      <c r="M42" s="1188"/>
      <c r="N42" s="1188"/>
      <c r="O42" s="1188"/>
      <c r="P42" s="1188"/>
      <c r="Q42" s="1188"/>
      <c r="R42" s="1188"/>
      <c r="S42" s="1188"/>
      <c r="T42" s="1188"/>
      <c r="U42" s="1188"/>
      <c r="V42" s="1188"/>
      <c r="W42" s="1188"/>
      <c r="X42" s="1188"/>
      <c r="Y42" s="1188"/>
      <c r="Z42" s="1188"/>
      <c r="AA42" s="1188"/>
      <c r="AB42" s="1188"/>
    </row>
    <row r="43" spans="1:28" ht="18.95" customHeight="1">
      <c r="A43" s="1182" t="s">
        <v>259</v>
      </c>
      <c r="B43" s="1182"/>
      <c r="C43" s="1182"/>
      <c r="D43" s="1182"/>
      <c r="E43" s="1182"/>
      <c r="F43" s="1182"/>
      <c r="G43" s="1182"/>
      <c r="H43" s="1182"/>
      <c r="I43" s="1182"/>
      <c r="J43" s="1182"/>
      <c r="K43" s="1182"/>
      <c r="L43" s="1182"/>
      <c r="M43" s="1182"/>
      <c r="N43" s="1182"/>
      <c r="O43" s="1182"/>
      <c r="P43" s="1182"/>
      <c r="Q43" s="1182"/>
      <c r="R43" s="1182"/>
      <c r="S43" s="1182"/>
      <c r="T43" s="1182"/>
      <c r="U43" s="1182"/>
      <c r="V43" s="1182"/>
      <c r="W43" s="1182"/>
      <c r="X43" s="1182"/>
      <c r="Y43" s="1182"/>
      <c r="Z43" s="1182"/>
      <c r="AA43" s="1182"/>
      <c r="AB43" s="1182"/>
    </row>
    <row r="44" spans="1:28" ht="18.95" customHeight="1">
      <c r="A44" s="1188" t="s">
        <v>269</v>
      </c>
      <c r="B44" s="1188"/>
      <c r="C44" s="1188"/>
      <c r="D44" s="1188"/>
      <c r="E44" s="1188"/>
      <c r="F44" s="1188"/>
      <c r="G44" s="1188"/>
      <c r="H44" s="1188"/>
      <c r="I44" s="1188"/>
      <c r="J44" s="1188"/>
      <c r="K44" s="1188"/>
      <c r="L44" s="1188"/>
      <c r="M44" s="1188"/>
      <c r="N44" s="1188"/>
      <c r="O44" s="1188"/>
      <c r="P44" s="1188"/>
      <c r="Q44" s="1188"/>
      <c r="R44" s="1188"/>
      <c r="S44" s="1188"/>
      <c r="T44" s="1188"/>
      <c r="U44" s="1188"/>
      <c r="V44" s="1188"/>
      <c r="W44" s="1188"/>
      <c r="X44" s="1188"/>
      <c r="Y44" s="1188"/>
      <c r="Z44" s="1188"/>
      <c r="AA44" s="1188"/>
      <c r="AB44" s="1188"/>
    </row>
    <row r="45" spans="1:28" ht="18.95" customHeight="1">
      <c r="A45" s="1182" t="s">
        <v>258</v>
      </c>
      <c r="B45" s="1182"/>
      <c r="C45" s="1182"/>
      <c r="D45" s="1182"/>
      <c r="E45" s="1182"/>
      <c r="F45" s="1182"/>
      <c r="G45" s="1182"/>
      <c r="H45" s="1182"/>
      <c r="I45" s="1182"/>
      <c r="J45" s="1182"/>
      <c r="K45" s="1182"/>
      <c r="L45" s="1182"/>
      <c r="M45" s="1182"/>
      <c r="N45" s="1182"/>
      <c r="O45" s="1182"/>
      <c r="P45" s="1182"/>
      <c r="Q45" s="1182"/>
      <c r="R45" s="1182"/>
      <c r="S45" s="1182"/>
      <c r="T45" s="1182"/>
      <c r="U45" s="1182"/>
      <c r="V45" s="1182"/>
      <c r="W45" s="1182"/>
      <c r="X45" s="1182"/>
      <c r="Y45" s="1182"/>
      <c r="Z45" s="1182"/>
      <c r="AA45" s="1182"/>
      <c r="AB45" s="1182"/>
    </row>
    <row r="46" spans="1:28" ht="18.95" customHeight="1">
      <c r="A46" s="1188" t="s">
        <v>268</v>
      </c>
      <c r="B46" s="1188"/>
      <c r="C46" s="1188"/>
      <c r="D46" s="1188"/>
      <c r="E46" s="1188"/>
      <c r="F46" s="1188"/>
      <c r="G46" s="1188"/>
      <c r="H46" s="1188"/>
      <c r="I46" s="1188"/>
      <c r="J46" s="1188"/>
      <c r="K46" s="1188"/>
      <c r="L46" s="1188"/>
      <c r="M46" s="1188"/>
      <c r="N46" s="1188"/>
      <c r="O46" s="1188"/>
      <c r="P46" s="1188"/>
      <c r="Q46" s="1188"/>
      <c r="R46" s="1188"/>
      <c r="S46" s="1188"/>
      <c r="T46" s="1188"/>
      <c r="U46" s="1188"/>
      <c r="V46" s="1188"/>
      <c r="W46" s="1188"/>
      <c r="X46" s="1188"/>
      <c r="Y46" s="1188"/>
      <c r="Z46" s="1188"/>
      <c r="AA46" s="1188"/>
      <c r="AB46" s="1188"/>
    </row>
    <row r="47" spans="1:28" ht="18.95" customHeight="1">
      <c r="A47" s="1182" t="s">
        <v>257</v>
      </c>
      <c r="B47" s="1182"/>
      <c r="C47" s="1182"/>
      <c r="D47" s="1182"/>
      <c r="E47" s="1182"/>
      <c r="F47" s="1182"/>
      <c r="G47" s="1182"/>
      <c r="H47" s="1182"/>
      <c r="I47" s="1182"/>
      <c r="J47" s="1182"/>
      <c r="K47" s="1182"/>
      <c r="L47" s="1182"/>
      <c r="M47" s="1182"/>
      <c r="N47" s="1182"/>
      <c r="O47" s="1182"/>
      <c r="P47" s="1182"/>
      <c r="Q47" s="1182"/>
      <c r="R47" s="1182"/>
      <c r="S47" s="1182"/>
      <c r="T47" s="1182"/>
      <c r="U47" s="1182"/>
      <c r="V47" s="1182"/>
      <c r="W47" s="1182"/>
      <c r="X47" s="1182"/>
      <c r="Y47" s="1182"/>
      <c r="Z47" s="1182"/>
      <c r="AA47" s="1182"/>
      <c r="AB47" s="1182"/>
    </row>
    <row r="48" spans="1:28" ht="18.95" customHeight="1">
      <c r="A48" s="1188" t="s">
        <v>267</v>
      </c>
      <c r="B48" s="1188"/>
      <c r="C48" s="1188"/>
      <c r="D48" s="1188"/>
      <c r="E48" s="1188"/>
      <c r="F48" s="1188"/>
      <c r="G48" s="1188"/>
      <c r="H48" s="1188"/>
      <c r="I48" s="1188"/>
      <c r="J48" s="1188"/>
      <c r="K48" s="1188"/>
      <c r="L48" s="1188"/>
      <c r="M48" s="1188"/>
      <c r="N48" s="1188"/>
      <c r="O48" s="1188"/>
      <c r="P48" s="1188"/>
      <c r="Q48" s="1188"/>
      <c r="R48" s="1188"/>
      <c r="S48" s="1188"/>
      <c r="T48" s="1188"/>
      <c r="U48" s="1188"/>
      <c r="V48" s="1188"/>
      <c r="W48" s="1188"/>
      <c r="X48" s="1188"/>
      <c r="Y48" s="1188"/>
      <c r="Z48" s="1188"/>
      <c r="AA48" s="1188"/>
      <c r="AB48" s="1188"/>
    </row>
    <row r="49" spans="1:28" ht="18.95" customHeight="1">
      <c r="A49" s="1182" t="s">
        <v>256</v>
      </c>
      <c r="B49" s="1182"/>
      <c r="C49" s="1182"/>
      <c r="D49" s="1182"/>
      <c r="E49" s="1182"/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2"/>
      <c r="T49" s="1182"/>
      <c r="U49" s="1182"/>
      <c r="V49" s="1182"/>
      <c r="W49" s="1182"/>
      <c r="X49" s="1182"/>
      <c r="Y49" s="1182"/>
      <c r="Z49" s="1182"/>
      <c r="AA49" s="1182"/>
      <c r="AB49" s="1182"/>
    </row>
    <row r="50" spans="1:28" ht="18.95" customHeight="1">
      <c r="A50" s="1198" t="s">
        <v>315</v>
      </c>
      <c r="B50" s="1198"/>
      <c r="C50" s="1198"/>
      <c r="D50" s="1198"/>
      <c r="E50" s="1198"/>
      <c r="F50" s="1198"/>
      <c r="G50" s="1198"/>
      <c r="H50" s="1198"/>
      <c r="I50" s="1198"/>
      <c r="J50" s="1198"/>
      <c r="K50" s="1198"/>
      <c r="L50" s="1198"/>
      <c r="M50" s="1198"/>
      <c r="N50" s="1198"/>
      <c r="O50" s="1198"/>
      <c r="P50" s="1198"/>
      <c r="Q50" s="1198"/>
      <c r="R50" s="1198"/>
      <c r="S50" s="1198"/>
      <c r="T50" s="1198"/>
      <c r="U50" s="1198"/>
      <c r="V50" s="1198"/>
      <c r="W50" s="1198"/>
      <c r="X50" s="1198"/>
      <c r="Y50" s="1199" t="s">
        <v>280</v>
      </c>
      <c r="Z50" s="1200"/>
      <c r="AA50" s="1195" t="s">
        <v>261</v>
      </c>
      <c r="AB50" s="1195"/>
    </row>
    <row r="51" spans="1:28" ht="18.95" customHeight="1">
      <c r="A51" s="1182" t="s">
        <v>255</v>
      </c>
      <c r="B51" s="1182"/>
      <c r="C51" s="1182"/>
      <c r="D51" s="1182"/>
      <c r="E51" s="1182"/>
      <c r="F51" s="1182"/>
      <c r="G51" s="1182"/>
      <c r="H51" s="1182"/>
      <c r="I51" s="1182"/>
      <c r="J51" s="1182"/>
      <c r="K51" s="1182"/>
      <c r="L51" s="1182"/>
      <c r="M51" s="1182"/>
      <c r="N51" s="1182"/>
      <c r="O51" s="1182"/>
      <c r="P51" s="1182"/>
      <c r="Q51" s="1182"/>
      <c r="R51" s="1182"/>
      <c r="S51" s="1182"/>
      <c r="T51" s="1182"/>
      <c r="U51" s="1182"/>
      <c r="V51" s="1182"/>
      <c r="W51" s="1182"/>
      <c r="X51" s="1182"/>
      <c r="Y51" s="1182"/>
      <c r="Z51" s="1182"/>
      <c r="AA51" s="1182"/>
      <c r="AB51" s="1182"/>
    </row>
    <row r="52" spans="1:28" ht="18.95" customHeight="1">
      <c r="A52" s="1193" t="s">
        <v>325</v>
      </c>
      <c r="B52" s="1193"/>
      <c r="C52" s="1193"/>
      <c r="D52" s="1193"/>
      <c r="E52" s="1193"/>
      <c r="F52" s="1193"/>
      <c r="G52" s="1193"/>
      <c r="H52" s="1193"/>
      <c r="I52" s="1193"/>
      <c r="J52" s="1193"/>
      <c r="K52" s="1193"/>
      <c r="L52" s="1193"/>
      <c r="M52" s="1196" t="s">
        <v>320</v>
      </c>
      <c r="N52" s="1196"/>
      <c r="O52" s="395"/>
      <c r="P52" s="395"/>
      <c r="Q52" s="395"/>
      <c r="R52" s="395" t="s">
        <v>280</v>
      </c>
      <c r="S52" s="395"/>
      <c r="T52" s="395"/>
      <c r="U52" s="395"/>
      <c r="V52" s="395"/>
      <c r="W52" s="395"/>
      <c r="X52" s="1195" t="s">
        <v>261</v>
      </c>
      <c r="Y52" s="1195"/>
      <c r="Z52" s="1195"/>
      <c r="AA52" s="1195"/>
      <c r="AB52" s="1195"/>
    </row>
    <row r="53" spans="1:28" ht="18.95" customHeight="1">
      <c r="A53" s="1182" t="s">
        <v>254</v>
      </c>
      <c r="B53" s="1182"/>
      <c r="C53" s="1182"/>
      <c r="D53" s="1182"/>
      <c r="E53" s="1182"/>
      <c r="F53" s="1182"/>
      <c r="G53" s="1182"/>
      <c r="H53" s="1182"/>
      <c r="I53" s="1182"/>
      <c r="J53" s="1182"/>
      <c r="K53" s="1182"/>
      <c r="L53" s="1182"/>
      <c r="M53" s="1182"/>
      <c r="N53" s="1182"/>
      <c r="O53" s="1182"/>
      <c r="P53" s="1182"/>
      <c r="Q53" s="1182"/>
      <c r="R53" s="1182"/>
      <c r="S53" s="1182"/>
      <c r="T53" s="1182"/>
      <c r="U53" s="1182"/>
      <c r="V53" s="1182"/>
      <c r="W53" s="1182"/>
      <c r="X53" s="1182"/>
      <c r="Y53" s="1182"/>
      <c r="Z53" s="1182"/>
      <c r="AA53" s="1182"/>
      <c r="AB53" s="1182"/>
    </row>
    <row r="54" spans="1:28" ht="18.95" customHeight="1">
      <c r="A54" s="1197" t="s">
        <v>317</v>
      </c>
      <c r="B54" s="1197"/>
      <c r="C54" s="1197"/>
      <c r="D54" s="1197"/>
      <c r="E54" s="1197"/>
      <c r="F54" s="1197"/>
      <c r="G54" s="1197"/>
      <c r="H54" s="1197"/>
      <c r="I54" s="1197"/>
      <c r="J54" s="1197"/>
      <c r="K54" s="1197"/>
      <c r="L54" s="1197"/>
      <c r="M54" s="1197"/>
      <c r="N54" s="1197"/>
      <c r="O54" s="1197"/>
      <c r="P54" s="1197"/>
      <c r="Q54" s="1197"/>
      <c r="R54" s="1197"/>
      <c r="S54" s="1197"/>
      <c r="T54" s="1197"/>
      <c r="U54" s="392" t="s">
        <v>319</v>
      </c>
      <c r="V54" s="1195" t="s">
        <v>261</v>
      </c>
      <c r="W54" s="1195"/>
      <c r="X54" s="1195"/>
      <c r="Y54" s="1195"/>
      <c r="Z54" s="1195"/>
      <c r="AA54" s="1195"/>
      <c r="AB54" s="1195"/>
    </row>
    <row r="55" spans="1:28" ht="18.95" customHeight="1">
      <c r="A55" s="1182" t="s">
        <v>253</v>
      </c>
      <c r="B55" s="1182"/>
      <c r="C55" s="1182"/>
      <c r="D55" s="1182"/>
      <c r="E55" s="1182"/>
      <c r="F55" s="1182"/>
      <c r="G55" s="1182"/>
      <c r="H55" s="1182"/>
      <c r="I55" s="1182"/>
      <c r="J55" s="1182"/>
      <c r="K55" s="1182"/>
      <c r="L55" s="1182"/>
      <c r="M55" s="1182"/>
      <c r="N55" s="1182"/>
      <c r="O55" s="1182"/>
      <c r="P55" s="1182"/>
      <c r="Q55" s="1182"/>
      <c r="R55" s="1182"/>
      <c r="S55" s="1182"/>
      <c r="T55" s="1182"/>
      <c r="U55" s="1182"/>
      <c r="V55" s="1182"/>
      <c r="W55" s="1182"/>
      <c r="X55" s="1182"/>
      <c r="Y55" s="1182"/>
      <c r="Z55" s="1182"/>
      <c r="AA55" s="1182"/>
      <c r="AB55" s="1182"/>
    </row>
    <row r="56" spans="1:28" ht="18.95" customHeight="1">
      <c r="A56" s="1197" t="s">
        <v>322</v>
      </c>
      <c r="B56" s="1197"/>
      <c r="C56" s="1197"/>
      <c r="D56" s="1197"/>
      <c r="E56" s="1197"/>
      <c r="F56" s="1197"/>
      <c r="G56" s="1197"/>
      <c r="H56" s="1197"/>
      <c r="I56" s="1197"/>
      <c r="J56" s="1197"/>
      <c r="K56" s="1197"/>
      <c r="L56" s="1197"/>
      <c r="M56" s="1197"/>
      <c r="N56" s="1197"/>
      <c r="O56" s="1197"/>
      <c r="P56" s="1197"/>
      <c r="Q56" s="1194" t="s">
        <v>319</v>
      </c>
      <c r="R56" s="1194"/>
      <c r="S56" s="1195" t="s">
        <v>261</v>
      </c>
      <c r="T56" s="1195"/>
      <c r="U56" s="1195"/>
      <c r="V56" s="1195"/>
      <c r="W56" s="1195"/>
      <c r="X56" s="1195"/>
      <c r="Y56" s="1195"/>
      <c r="Z56" s="1195"/>
      <c r="AA56" s="1195"/>
      <c r="AB56" s="1195"/>
    </row>
    <row r="57" spans="1:28" ht="18.95" customHeight="1">
      <c r="A57" s="1182" t="s">
        <v>252</v>
      </c>
      <c r="B57" s="1182"/>
      <c r="C57" s="1182"/>
      <c r="D57" s="1182"/>
      <c r="E57" s="1182"/>
      <c r="F57" s="1182"/>
      <c r="G57" s="1182"/>
      <c r="H57" s="1182"/>
      <c r="I57" s="1182"/>
      <c r="J57" s="1182"/>
      <c r="K57" s="1182"/>
      <c r="L57" s="1182"/>
      <c r="M57" s="1182"/>
      <c r="N57" s="1182"/>
      <c r="O57" s="1182"/>
      <c r="P57" s="1182"/>
      <c r="Q57" s="1182"/>
      <c r="R57" s="1182"/>
      <c r="S57" s="1182"/>
      <c r="T57" s="1182"/>
      <c r="U57" s="1182"/>
      <c r="V57" s="1182"/>
      <c r="W57" s="1182"/>
      <c r="X57" s="1182"/>
      <c r="Y57" s="1182"/>
      <c r="Z57" s="1182"/>
      <c r="AA57" s="1182"/>
      <c r="AB57" s="1182"/>
    </row>
    <row r="58" spans="1:28" ht="18.95" customHeight="1">
      <c r="A58" s="1194" t="s">
        <v>319</v>
      </c>
      <c r="B58" s="1194"/>
      <c r="C58" s="1194"/>
      <c r="D58" s="1194"/>
      <c r="E58" s="1194"/>
      <c r="F58" s="1194"/>
      <c r="G58" s="1194"/>
      <c r="H58" s="1194"/>
      <c r="I58" s="1194"/>
      <c r="J58" s="1194"/>
      <c r="K58" s="1194"/>
      <c r="L58" s="1194"/>
      <c r="M58" s="1194"/>
      <c r="N58" s="1194"/>
      <c r="O58" s="1194"/>
      <c r="P58" s="1195" t="s">
        <v>261</v>
      </c>
      <c r="Q58" s="1195"/>
      <c r="R58" s="1195"/>
      <c r="S58" s="1195"/>
      <c r="T58" s="1195"/>
      <c r="U58" s="1195"/>
      <c r="V58" s="1195"/>
      <c r="W58" s="1195"/>
      <c r="X58" s="1195"/>
      <c r="Y58" s="1195"/>
      <c r="Z58" s="1195"/>
      <c r="AA58" s="1195"/>
      <c r="AB58" s="1195"/>
    </row>
    <row r="59" spans="1:28" ht="18.95" customHeight="1">
      <c r="A59" s="1182" t="s">
        <v>251</v>
      </c>
      <c r="B59" s="1182"/>
      <c r="C59" s="1182"/>
      <c r="D59" s="1182"/>
      <c r="E59" s="1182"/>
      <c r="F59" s="1182"/>
      <c r="G59" s="1182"/>
      <c r="H59" s="1182"/>
      <c r="I59" s="1182"/>
      <c r="J59" s="1182"/>
      <c r="K59" s="1182"/>
      <c r="L59" s="1182"/>
      <c r="M59" s="1182"/>
      <c r="N59" s="1182"/>
      <c r="O59" s="1182"/>
      <c r="P59" s="1182"/>
      <c r="Q59" s="1182"/>
      <c r="R59" s="1182"/>
      <c r="S59" s="1182"/>
      <c r="T59" s="1182"/>
      <c r="U59" s="1182"/>
      <c r="V59" s="1182"/>
      <c r="W59" s="1182"/>
      <c r="X59" s="1182"/>
      <c r="Y59" s="1182"/>
      <c r="Z59" s="1182"/>
      <c r="AA59" s="1182"/>
      <c r="AB59" s="1182"/>
    </row>
    <row r="60" spans="1:28" ht="18.95" customHeight="1">
      <c r="A60" s="1192" t="s">
        <v>324</v>
      </c>
      <c r="B60" s="1192"/>
      <c r="C60" s="1192"/>
      <c r="D60" s="1192"/>
      <c r="E60" s="1192"/>
      <c r="F60" s="1192"/>
      <c r="G60" s="1192"/>
      <c r="H60" s="1192"/>
      <c r="I60" s="1192"/>
      <c r="J60" s="1192"/>
      <c r="K60" s="1192"/>
      <c r="L60" s="1192"/>
      <c r="M60" s="396" t="s">
        <v>323</v>
      </c>
      <c r="N60" s="1185" t="s">
        <v>261</v>
      </c>
      <c r="O60" s="1186"/>
      <c r="P60" s="1186"/>
      <c r="Q60" s="1186"/>
      <c r="R60" s="1186"/>
      <c r="S60" s="1186"/>
      <c r="T60" s="1186"/>
      <c r="U60" s="1186"/>
      <c r="V60" s="1186"/>
      <c r="W60" s="1186"/>
      <c r="X60" s="1186"/>
      <c r="Y60" s="1186"/>
      <c r="Z60" s="1186"/>
      <c r="AA60" s="1186"/>
      <c r="AB60" s="1187"/>
    </row>
    <row r="61" spans="1:28" ht="18.95" customHeight="1">
      <c r="A61" s="1182" t="s">
        <v>250</v>
      </c>
      <c r="B61" s="1182"/>
      <c r="C61" s="1182"/>
      <c r="D61" s="1182"/>
      <c r="E61" s="1182"/>
      <c r="F61" s="1182"/>
      <c r="G61" s="1182"/>
      <c r="H61" s="1182"/>
      <c r="I61" s="1182"/>
      <c r="J61" s="1182"/>
      <c r="K61" s="1182"/>
      <c r="L61" s="1182"/>
      <c r="M61" s="1182"/>
      <c r="N61" s="1182"/>
      <c r="O61" s="1182"/>
      <c r="P61" s="1182"/>
      <c r="Q61" s="1182"/>
      <c r="R61" s="1182"/>
      <c r="S61" s="1182"/>
      <c r="T61" s="1182"/>
      <c r="U61" s="1182"/>
      <c r="V61" s="1182"/>
      <c r="W61" s="1182"/>
      <c r="X61" s="1182"/>
      <c r="Y61" s="1182"/>
      <c r="Z61" s="1182"/>
      <c r="AA61" s="1182"/>
      <c r="AB61" s="1182"/>
    </row>
    <row r="62" spans="1:28" ht="18.95" customHeight="1">
      <c r="A62" s="1193" t="s">
        <v>328</v>
      </c>
      <c r="B62" s="1193"/>
      <c r="C62" s="1193"/>
      <c r="D62" s="1193"/>
      <c r="E62" s="1193"/>
      <c r="F62" s="1193"/>
      <c r="G62" s="1193"/>
      <c r="H62" s="1193"/>
      <c r="I62" s="1183" t="s">
        <v>323</v>
      </c>
      <c r="J62" s="1183"/>
      <c r="K62" s="1184" t="s">
        <v>261</v>
      </c>
      <c r="L62" s="1184"/>
      <c r="M62" s="1184"/>
      <c r="N62" s="1184"/>
      <c r="O62" s="1184"/>
      <c r="P62" s="1184"/>
      <c r="Q62" s="1184"/>
      <c r="R62" s="1184"/>
      <c r="S62" s="1184"/>
      <c r="T62" s="1184"/>
      <c r="U62" s="1184"/>
      <c r="V62" s="1184"/>
      <c r="W62" s="1184"/>
      <c r="X62" s="1184"/>
      <c r="Y62" s="1184"/>
      <c r="Z62" s="1184"/>
      <c r="AA62" s="1184"/>
      <c r="AB62" s="1184"/>
    </row>
    <row r="63" spans="1:28" ht="18.95" customHeight="1">
      <c r="A63" s="1182" t="s">
        <v>249</v>
      </c>
      <c r="B63" s="1182"/>
      <c r="C63" s="1182"/>
      <c r="D63" s="1182"/>
      <c r="E63" s="1182"/>
      <c r="F63" s="1182"/>
      <c r="G63" s="1182"/>
      <c r="H63" s="1182"/>
      <c r="I63" s="1182"/>
      <c r="J63" s="1182"/>
      <c r="K63" s="1182"/>
      <c r="L63" s="1182"/>
      <c r="M63" s="1182"/>
      <c r="N63" s="1182"/>
      <c r="O63" s="1182"/>
      <c r="P63" s="1182"/>
      <c r="Q63" s="1182"/>
      <c r="R63" s="1182"/>
      <c r="S63" s="1182"/>
      <c r="T63" s="1182"/>
      <c r="U63" s="1182"/>
      <c r="V63" s="1182"/>
      <c r="W63" s="1182"/>
      <c r="X63" s="1182"/>
      <c r="Y63" s="1182"/>
      <c r="Z63" s="1182"/>
      <c r="AA63" s="1182"/>
      <c r="AB63" s="1182"/>
    </row>
    <row r="64" spans="1:28" ht="18.95" customHeight="1">
      <c r="A64" s="1189" t="s">
        <v>330</v>
      </c>
      <c r="B64" s="1190"/>
      <c r="C64" s="1190"/>
      <c r="D64" s="1191"/>
      <c r="E64" s="1183" t="s">
        <v>326</v>
      </c>
      <c r="F64" s="1183"/>
      <c r="G64" s="1184" t="s">
        <v>261</v>
      </c>
      <c r="H64" s="1184"/>
      <c r="I64" s="1184"/>
      <c r="J64" s="1184"/>
      <c r="K64" s="1184"/>
      <c r="L64" s="1184"/>
      <c r="M64" s="1184"/>
      <c r="N64" s="1184"/>
      <c r="O64" s="1184"/>
      <c r="P64" s="1184"/>
      <c r="Q64" s="1184"/>
      <c r="R64" s="1184"/>
      <c r="S64" s="1184"/>
      <c r="T64" s="1184"/>
      <c r="U64" s="1184"/>
      <c r="V64" s="1184"/>
      <c r="W64" s="1184"/>
      <c r="X64" s="1184"/>
      <c r="Y64" s="1184"/>
      <c r="Z64" s="1184"/>
      <c r="AA64" s="1184"/>
      <c r="AB64" s="1184"/>
    </row>
    <row r="65" spans="1:28" ht="18.95" customHeight="1">
      <c r="A65" s="1182" t="s">
        <v>248</v>
      </c>
      <c r="B65" s="1182"/>
      <c r="C65" s="1182"/>
      <c r="D65" s="1182"/>
      <c r="E65" s="1182"/>
      <c r="F65" s="1182"/>
      <c r="G65" s="1182"/>
      <c r="H65" s="1182"/>
      <c r="I65" s="1182"/>
      <c r="J65" s="1182"/>
      <c r="K65" s="1182"/>
      <c r="L65" s="1182"/>
      <c r="M65" s="1182"/>
      <c r="N65" s="1182"/>
      <c r="O65" s="1182"/>
      <c r="P65" s="1182"/>
      <c r="Q65" s="1182"/>
      <c r="R65" s="1182"/>
      <c r="S65" s="1182"/>
      <c r="T65" s="1182"/>
      <c r="U65" s="1182"/>
      <c r="V65" s="1182"/>
      <c r="W65" s="1182"/>
      <c r="X65" s="1182"/>
      <c r="Y65" s="1182"/>
      <c r="Z65" s="1182"/>
      <c r="AA65" s="1182"/>
      <c r="AB65" s="1182"/>
    </row>
    <row r="66" spans="1:28" ht="18.95" customHeight="1">
      <c r="A66" s="1179" t="s">
        <v>331</v>
      </c>
      <c r="B66" s="1180"/>
      <c r="C66" s="1180"/>
      <c r="D66" s="1181"/>
      <c r="E66" s="390" t="s">
        <v>329</v>
      </c>
      <c r="F66" s="1184" t="s">
        <v>261</v>
      </c>
      <c r="G66" s="1184"/>
      <c r="H66" s="1184"/>
      <c r="I66" s="1184"/>
      <c r="J66" s="1184"/>
      <c r="K66" s="1184"/>
      <c r="L66" s="1184"/>
      <c r="M66" s="1184"/>
      <c r="N66" s="1184"/>
      <c r="O66" s="1184"/>
      <c r="P66" s="1184"/>
      <c r="Q66" s="1184"/>
      <c r="R66" s="1184"/>
      <c r="S66" s="1184"/>
      <c r="T66" s="1184"/>
      <c r="U66" s="1184"/>
      <c r="V66" s="1184"/>
      <c r="W66" s="1184"/>
      <c r="X66" s="1184"/>
      <c r="Y66" s="1184"/>
      <c r="Z66" s="1184"/>
      <c r="AA66" s="1184"/>
      <c r="AB66" s="1184"/>
    </row>
    <row r="67" spans="1:28" ht="18.95" customHeight="1">
      <c r="N67" s="282"/>
      <c r="O67" s="282"/>
      <c r="P67" s="282"/>
      <c r="Q67" s="282"/>
      <c r="R67" s="282"/>
      <c r="S67" s="282"/>
      <c r="T67" s="282"/>
      <c r="U67" s="386"/>
      <c r="V67" s="386"/>
      <c r="W67" s="386"/>
      <c r="X67" s="386"/>
      <c r="Y67" s="386"/>
      <c r="Z67" s="386"/>
      <c r="AA67" s="386"/>
      <c r="AB67" s="388"/>
    </row>
  </sheetData>
  <mergeCells count="89">
    <mergeCell ref="A2:AB2"/>
    <mergeCell ref="A3:C3"/>
    <mergeCell ref="D3:AB3"/>
    <mergeCell ref="A4:AB4"/>
    <mergeCell ref="A5:G5"/>
    <mergeCell ref="H5:AB5"/>
    <mergeCell ref="A6:AB6"/>
    <mergeCell ref="A7:H7"/>
    <mergeCell ref="J7:AB7"/>
    <mergeCell ref="A8:AB8"/>
    <mergeCell ref="A9:K9"/>
    <mergeCell ref="L9:AB9"/>
    <mergeCell ref="A10:AB10"/>
    <mergeCell ref="A11:N11"/>
    <mergeCell ref="A12:AB12"/>
    <mergeCell ref="A13:P13"/>
    <mergeCell ref="A14:AB14"/>
    <mergeCell ref="O11:AB11"/>
    <mergeCell ref="R13:AB13"/>
    <mergeCell ref="A25:AB25"/>
    <mergeCell ref="A16:AB16"/>
    <mergeCell ref="A17:T17"/>
    <mergeCell ref="U17:V17"/>
    <mergeCell ref="A18:AB18"/>
    <mergeCell ref="A19:X19"/>
    <mergeCell ref="A20:AB20"/>
    <mergeCell ref="A21:S21"/>
    <mergeCell ref="T21:AB21"/>
    <mergeCell ref="A22:AB22"/>
    <mergeCell ref="A23:AB23"/>
    <mergeCell ref="A24:AB24"/>
    <mergeCell ref="A38:AB38"/>
    <mergeCell ref="A26:AB26"/>
    <mergeCell ref="A27:AB27"/>
    <mergeCell ref="A28:AB28"/>
    <mergeCell ref="A29:AB29"/>
    <mergeCell ref="A30:AB30"/>
    <mergeCell ref="A31:AB31"/>
    <mergeCell ref="A32:AB32"/>
    <mergeCell ref="A33:AB33"/>
    <mergeCell ref="A35:AB35"/>
    <mergeCell ref="A36:AB36"/>
    <mergeCell ref="A37:AB37"/>
    <mergeCell ref="A50:X50"/>
    <mergeCell ref="AA50:AB50"/>
    <mergeCell ref="Y50:Z50"/>
    <mergeCell ref="A39:AB39"/>
    <mergeCell ref="A40:AB40"/>
    <mergeCell ref="A41:AB41"/>
    <mergeCell ref="A42:AB42"/>
    <mergeCell ref="A43:AB43"/>
    <mergeCell ref="A44:AB44"/>
    <mergeCell ref="A45:AB45"/>
    <mergeCell ref="A46:AB46"/>
    <mergeCell ref="A47:AB47"/>
    <mergeCell ref="A48:AB48"/>
    <mergeCell ref="A49:AB49"/>
    <mergeCell ref="A55:AB55"/>
    <mergeCell ref="A56:P56"/>
    <mergeCell ref="Q56:R56"/>
    <mergeCell ref="S56:AB56"/>
    <mergeCell ref="A57:AB57"/>
    <mergeCell ref="M52:N52"/>
    <mergeCell ref="X52:AB52"/>
    <mergeCell ref="A53:AB53"/>
    <mergeCell ref="A54:T54"/>
    <mergeCell ref="V54:AB54"/>
    <mergeCell ref="T15:AB15"/>
    <mergeCell ref="W17:AB17"/>
    <mergeCell ref="Z19:AB19"/>
    <mergeCell ref="A15:S15"/>
    <mergeCell ref="A64:D64"/>
    <mergeCell ref="A59:AB59"/>
    <mergeCell ref="A60:L60"/>
    <mergeCell ref="A61:AB61"/>
    <mergeCell ref="A62:H62"/>
    <mergeCell ref="I62:J62"/>
    <mergeCell ref="K62:AB62"/>
    <mergeCell ref="N60:AB60"/>
    <mergeCell ref="A58:O58"/>
    <mergeCell ref="P58:AB58"/>
    <mergeCell ref="A51:AB51"/>
    <mergeCell ref="A52:L52"/>
    <mergeCell ref="A66:D66"/>
    <mergeCell ref="A63:AB63"/>
    <mergeCell ref="E64:F64"/>
    <mergeCell ref="G64:AB64"/>
    <mergeCell ref="A65:AB65"/>
    <mergeCell ref="F66:AB66"/>
  </mergeCells>
  <pageMargins left="0.24" right="0.2" top="0.3" bottom="0.46" header="0.13" footer="0.22"/>
  <pageSetup paperSize="9" scale="8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W224"/>
  <sheetViews>
    <sheetView tabSelected="1" topLeftCell="A6" zoomScale="70" zoomScaleNormal="70" workbookViewId="0">
      <selection activeCell="CI79" sqref="CI79"/>
    </sheetView>
  </sheetViews>
  <sheetFormatPr baseColWidth="10" defaultRowHeight="15"/>
  <cols>
    <col min="1" max="1" width="10.28515625" style="36" customWidth="1"/>
    <col min="2" max="2" width="8.28515625" style="36" customWidth="1"/>
    <col min="3" max="3" width="11.42578125" style="36" customWidth="1"/>
    <col min="4" max="16" width="5.7109375" style="36" customWidth="1"/>
    <col min="17" max="17" width="6.5703125" style="36" customWidth="1"/>
    <col min="18" max="19" width="5.7109375" style="36" customWidth="1"/>
    <col min="20" max="20" width="7" style="36" customWidth="1"/>
    <col min="21" max="24" width="5.7109375" style="36" customWidth="1"/>
    <col min="25" max="25" width="6.7109375" style="36" customWidth="1"/>
    <col min="26" max="26" width="6.42578125" style="36" customWidth="1"/>
    <col min="27" max="27" width="8.5703125" style="36" customWidth="1"/>
    <col min="28" max="28" width="6.7109375" style="36" customWidth="1"/>
    <col min="29" max="29" width="30.28515625" style="36" customWidth="1"/>
    <col min="30" max="30" width="27.85546875" style="36" customWidth="1"/>
    <col min="31" max="31" width="12.140625" style="36" customWidth="1"/>
    <col min="32" max="32" width="7" style="36" customWidth="1"/>
    <col min="33" max="33" width="9" style="36" hidden="1" customWidth="1"/>
    <col min="34" max="34" width="8.85546875" style="36" customWidth="1"/>
    <col min="35" max="35" width="15.85546875" style="36" customWidth="1"/>
    <col min="36" max="36" width="9.140625" style="36" customWidth="1"/>
    <col min="37" max="37" width="6.7109375" style="36" customWidth="1"/>
    <col min="38" max="38" width="28.85546875" style="36" customWidth="1"/>
    <col min="39" max="39" width="10.7109375" style="36" customWidth="1"/>
    <col min="40" max="40" width="8" style="36" customWidth="1"/>
    <col min="41" max="42" width="9.140625" style="36" customWidth="1"/>
    <col min="43" max="43" width="2.7109375" style="36" customWidth="1"/>
    <col min="44" max="44" width="29.28515625" style="36" customWidth="1"/>
    <col min="45" max="45" width="9.140625" style="36" customWidth="1"/>
    <col min="46" max="46" width="11.85546875" style="36" customWidth="1"/>
    <col min="47" max="47" width="9.85546875" style="36" customWidth="1"/>
    <col min="48" max="48" width="10.140625" style="36" customWidth="1"/>
    <col min="49" max="49" width="3.5703125" style="36" customWidth="1"/>
    <col min="50" max="50" width="28.140625" style="36" customWidth="1"/>
    <col min="51" max="51" width="9.42578125" style="36" customWidth="1"/>
    <col min="52" max="52" width="10.5703125" style="36" customWidth="1"/>
    <col min="53" max="53" width="8.85546875" style="36" customWidth="1"/>
    <col min="54" max="54" width="2.7109375" style="408" customWidth="1"/>
    <col min="55" max="55" width="28.28515625" style="353" customWidth="1"/>
    <col min="56" max="56" width="9.28515625" style="36" customWidth="1"/>
    <col min="57" max="57" width="10.5703125" style="36" hidden="1" customWidth="1"/>
    <col min="58" max="68" width="9.5703125" style="36" hidden="1" customWidth="1"/>
    <col min="69" max="69" width="9" style="397" hidden="1" customWidth="1"/>
    <col min="70" max="70" width="7.7109375" style="397" hidden="1" customWidth="1"/>
    <col min="71" max="71" width="7.5703125" style="397" hidden="1" customWidth="1"/>
    <col min="72" max="73" width="7.7109375" style="397" hidden="1" customWidth="1"/>
    <col min="74" max="74" width="8.42578125" style="397" hidden="1" customWidth="1"/>
    <col min="75" max="75" width="9.140625" style="397" hidden="1" customWidth="1"/>
    <col min="76" max="76" width="9.5703125" style="397" hidden="1" customWidth="1"/>
    <col min="77" max="83" width="10.28515625" style="398" hidden="1" customWidth="1"/>
    <col min="84" max="84" width="7.28515625" style="398" hidden="1" customWidth="1"/>
    <col min="85" max="85" width="8.7109375" style="36" customWidth="1"/>
    <col min="86" max="86" width="3.5703125" style="36" customWidth="1"/>
    <col min="87" max="87" width="11.42578125" style="140" customWidth="1"/>
    <col min="88" max="88" width="11.85546875" style="36" customWidth="1"/>
    <col min="89" max="89" width="12.28515625" style="36" customWidth="1"/>
    <col min="90" max="90" width="9.7109375" style="36" customWidth="1"/>
    <col min="91" max="91" width="10.7109375" style="249" hidden="1" customWidth="1"/>
    <col min="92" max="92" width="8.42578125" style="1" customWidth="1"/>
    <col min="93" max="100" width="10.7109375" style="1" hidden="1" customWidth="1"/>
    <col min="101" max="102" width="8.7109375" style="1" hidden="1" customWidth="1"/>
    <col min="103" max="103" width="10" style="1" hidden="1" customWidth="1"/>
    <col min="104" max="104" width="8.7109375" style="1" hidden="1" customWidth="1"/>
    <col min="105" max="105" width="9" style="1" hidden="1" customWidth="1"/>
    <col min="106" max="106" width="8.7109375" style="1" hidden="1" customWidth="1"/>
    <col min="107" max="107" width="9" style="1" hidden="1" customWidth="1"/>
    <col min="108" max="108" width="10.140625" style="1" hidden="1" customWidth="1"/>
    <col min="109" max="109" width="8.140625" style="1" hidden="1" customWidth="1"/>
    <col min="110" max="110" width="8.5703125" style="1" hidden="1" customWidth="1"/>
    <col min="111" max="112" width="8.28515625" style="1" hidden="1" customWidth="1"/>
    <col min="113" max="114" width="9" style="401" hidden="1" customWidth="1"/>
    <col min="115" max="116" width="9.42578125" style="402" hidden="1" customWidth="1"/>
    <col min="117" max="118" width="9.7109375" style="402" hidden="1" customWidth="1"/>
    <col min="119" max="119" width="9" style="399" hidden="1" customWidth="1"/>
    <col min="120" max="120" width="12.85546875" style="398" hidden="1" customWidth="1"/>
    <col min="121" max="121" width="8.85546875" style="249" customWidth="1"/>
    <col min="122" max="122" width="1.7109375" style="36" customWidth="1"/>
    <col min="123" max="123" width="13.140625" style="36" customWidth="1"/>
    <col min="124" max="124" width="8.85546875" style="36" customWidth="1"/>
    <col min="125" max="125" width="9.140625" style="36" customWidth="1"/>
    <col min="126" max="126" width="9.5703125" style="36" customWidth="1"/>
    <col min="127" max="127" width="11" style="36" hidden="1" customWidth="1"/>
    <col min="128" max="128" width="9.85546875" style="1" customWidth="1"/>
    <col min="129" max="130" width="9.140625" style="36" customWidth="1"/>
    <col min="131" max="131" width="11" style="36" customWidth="1"/>
    <col min="132" max="132" width="8.5703125" style="36" customWidth="1"/>
    <col min="133" max="133" width="9.42578125" style="36" customWidth="1"/>
    <col min="134" max="134" width="8.7109375" style="36" customWidth="1"/>
    <col min="135" max="135" width="10.28515625" style="36" hidden="1" customWidth="1"/>
    <col min="136" max="136" width="18.7109375" style="1" customWidth="1"/>
    <col min="137" max="137" width="9.85546875" style="36" customWidth="1"/>
    <col min="138" max="138" width="9.140625" style="36" customWidth="1"/>
    <col min="139" max="139" width="12.28515625" style="36" customWidth="1"/>
    <col min="140" max="140" width="9.28515625" style="36" customWidth="1"/>
    <col min="141" max="141" width="9.140625" style="36" customWidth="1"/>
    <col min="142" max="142" width="12" style="36" hidden="1" customWidth="1"/>
    <col min="143" max="143" width="11.7109375" style="36" customWidth="1"/>
    <col min="144" max="144" width="9.140625" style="36" customWidth="1"/>
    <col min="145" max="146" width="14.28515625" style="36" customWidth="1"/>
    <col min="147" max="147" width="9.140625" style="36" customWidth="1"/>
    <col min="148" max="149" width="8.7109375" style="36" customWidth="1"/>
    <col min="150" max="150" width="15.140625" style="36" customWidth="1"/>
    <col min="151" max="151" width="8.7109375" style="36" customWidth="1"/>
    <col min="152" max="152" width="9.85546875" style="36" customWidth="1"/>
    <col min="153" max="154" width="9" style="36" customWidth="1"/>
    <col min="155" max="155" width="9.85546875" style="36" customWidth="1"/>
    <col min="156" max="156" width="11.42578125" style="36" customWidth="1"/>
    <col min="157" max="157" width="8.7109375" style="36" customWidth="1"/>
    <col min="158" max="158" width="9.85546875" style="144" customWidth="1"/>
    <col min="159" max="159" width="11.28515625" style="36" customWidth="1"/>
    <col min="160" max="160" width="9.85546875" style="36" customWidth="1"/>
    <col min="161" max="161" width="10.85546875" style="36" customWidth="1"/>
    <col min="162" max="164" width="8.7109375" style="36" customWidth="1"/>
    <col min="165" max="165" width="5.42578125" style="36" customWidth="1"/>
    <col min="166" max="166" width="10.42578125" style="36" customWidth="1"/>
    <col min="167" max="167" width="9.85546875" style="36" customWidth="1"/>
    <col min="168" max="168" width="9.28515625" style="36" customWidth="1"/>
    <col min="169" max="169" width="8.7109375" style="36" customWidth="1"/>
    <col min="170" max="16384" width="11.42578125" style="36"/>
  </cols>
  <sheetData>
    <row r="1" spans="1:179" ht="30" customHeight="1" thickBot="1">
      <c r="A1" s="769" t="s">
        <v>262</v>
      </c>
      <c r="B1" s="770"/>
      <c r="C1" s="770"/>
      <c r="D1" s="770"/>
      <c r="E1" s="770"/>
      <c r="F1" s="770"/>
      <c r="G1" s="771"/>
      <c r="H1" s="772" t="s">
        <v>263</v>
      </c>
      <c r="I1" s="773"/>
      <c r="J1" s="773"/>
      <c r="K1" s="773"/>
      <c r="L1" s="773"/>
      <c r="M1" s="773"/>
      <c r="N1" s="773"/>
      <c r="O1" s="773"/>
      <c r="P1" s="774"/>
      <c r="BB1" s="36"/>
      <c r="BC1" s="1"/>
      <c r="BD1" s="1"/>
      <c r="BE1" s="1"/>
      <c r="BQ1" s="36"/>
      <c r="BR1" s="36"/>
      <c r="CG1" s="397"/>
      <c r="CH1" s="140"/>
      <c r="CM1" s="36"/>
      <c r="DB1" s="36"/>
      <c r="DC1" s="36"/>
      <c r="DD1" s="36"/>
      <c r="DE1" s="36"/>
      <c r="DF1" s="36"/>
      <c r="DG1" s="36"/>
      <c r="DH1" s="36"/>
      <c r="DI1" s="399"/>
      <c r="DJ1" s="400"/>
      <c r="DK1" s="401"/>
      <c r="DL1" s="401"/>
      <c r="DO1" s="402"/>
      <c r="DQ1" s="403"/>
      <c r="DR1" s="249"/>
      <c r="DS1" s="249"/>
      <c r="EF1" s="36"/>
      <c r="EH1" s="1"/>
      <c r="FB1" s="36"/>
      <c r="FD1" s="144"/>
    </row>
    <row r="2" spans="1:179" ht="30" customHeight="1" thickBot="1">
      <c r="AA2" s="322"/>
      <c r="AB2" s="323"/>
      <c r="AC2" s="648" t="s">
        <v>285</v>
      </c>
      <c r="AD2" s="649"/>
      <c r="AE2" s="650"/>
      <c r="AF2" s="352"/>
      <c r="AG2" s="322"/>
      <c r="AK2" s="353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Y2" s="404"/>
      <c r="BZ2" s="404"/>
      <c r="CA2" s="404"/>
      <c r="CB2" s="404"/>
      <c r="CC2" s="404"/>
      <c r="CE2" s="404"/>
      <c r="CF2" s="404"/>
      <c r="CG2" s="601" t="s">
        <v>296</v>
      </c>
      <c r="CH2" s="601"/>
      <c r="CI2" s="601"/>
      <c r="CJ2" s="601"/>
      <c r="CK2" s="602"/>
      <c r="CL2" s="405">
        <f>SUM(CL4+D18)</f>
        <v>51</v>
      </c>
      <c r="CM2" s="1"/>
      <c r="DB2" s="36"/>
      <c r="DC2" s="36"/>
      <c r="DD2" s="36"/>
      <c r="DE2" s="36"/>
      <c r="DF2" s="36"/>
      <c r="DG2" s="36"/>
      <c r="DH2" s="36"/>
      <c r="DI2" s="399"/>
      <c r="DJ2" s="400"/>
      <c r="DK2" s="401"/>
      <c r="DL2" s="401"/>
      <c r="DO2" s="402"/>
      <c r="DQ2"/>
      <c r="DR2" s="249"/>
      <c r="DS2" s="249"/>
      <c r="EF2" s="36"/>
      <c r="EH2" s="1"/>
      <c r="FB2" s="36"/>
      <c r="FD2" s="144"/>
    </row>
    <row r="3" spans="1:179" ht="30" customHeight="1" thickBot="1">
      <c r="A3" s="920" t="s">
        <v>19</v>
      </c>
      <c r="B3" s="921"/>
      <c r="C3" s="406">
        <f ca="1">TODAY()</f>
        <v>44221</v>
      </c>
      <c r="D3" s="867">
        <f ca="1">YEAR(NOW())</f>
        <v>2021</v>
      </c>
      <c r="E3" s="868"/>
      <c r="F3" s="407"/>
      <c r="G3"/>
      <c r="H3" s="883" t="s">
        <v>333</v>
      </c>
      <c r="I3" s="884"/>
      <c r="J3" s="885" t="s">
        <v>350</v>
      </c>
      <c r="K3" s="886"/>
      <c r="L3" s="886"/>
      <c r="M3" s="887"/>
      <c r="N3"/>
      <c r="O3"/>
      <c r="P3"/>
      <c r="Q3"/>
      <c r="R3" s="179"/>
      <c r="AA3" s="322"/>
      <c r="AB3" s="323"/>
      <c r="AC3" s="322"/>
      <c r="AD3" s="322"/>
      <c r="AE3" s="322"/>
      <c r="AF3" s="352"/>
      <c r="AG3" s="322"/>
      <c r="AH3" s="353"/>
      <c r="AM3" s="353"/>
      <c r="AN3" s="153"/>
      <c r="AY3" s="363"/>
      <c r="AZ3" s="363"/>
      <c r="CG3" s="397"/>
      <c r="CH3" s="140"/>
      <c r="CM3" s="36"/>
      <c r="DB3" s="36"/>
      <c r="DC3" s="36"/>
      <c r="DD3" s="36"/>
      <c r="DE3" s="36"/>
      <c r="DF3" s="36"/>
      <c r="DG3" s="36"/>
      <c r="DH3" s="36"/>
      <c r="DI3" s="399"/>
      <c r="DJ3" s="400"/>
      <c r="DK3" s="401"/>
      <c r="DL3" s="401"/>
      <c r="DO3" s="402"/>
      <c r="DQ3" s="403"/>
      <c r="DR3" s="249"/>
      <c r="DS3" s="249"/>
      <c r="EF3" s="36"/>
      <c r="EH3" s="1"/>
      <c r="ET3"/>
      <c r="FB3" s="36"/>
      <c r="FD3" s="144"/>
    </row>
    <row r="4" spans="1:179" ht="30" customHeight="1" thickBot="1">
      <c r="AA4" s="324"/>
      <c r="AB4" s="324"/>
      <c r="AC4" s="324"/>
      <c r="AD4" s="324"/>
      <c r="AE4" s="325" t="s">
        <v>71</v>
      </c>
      <c r="AF4" s="354"/>
      <c r="AG4" s="355"/>
      <c r="AH4" s="353"/>
      <c r="AM4" s="353"/>
      <c r="AN4" s="153"/>
      <c r="BB4" s="36"/>
      <c r="BC4" s="153"/>
      <c r="CG4" s="397"/>
      <c r="CH4" s="140"/>
      <c r="CI4" s="648" t="s">
        <v>278</v>
      </c>
      <c r="CJ4" s="649"/>
      <c r="CK4" s="650"/>
      <c r="CL4" s="409">
        <f>COUNTIF(BC7:BC12,"*")</f>
        <v>6</v>
      </c>
      <c r="CM4" s="1"/>
      <c r="DB4" s="36"/>
      <c r="DC4" s="36"/>
      <c r="DD4" s="36"/>
      <c r="DE4" s="924"/>
      <c r="DF4" s="36"/>
      <c r="DG4" s="36"/>
      <c r="DH4" s="36"/>
      <c r="DI4" s="399"/>
      <c r="DJ4" s="400"/>
      <c r="DK4" s="401"/>
      <c r="DL4" s="401"/>
      <c r="DO4" s="402"/>
      <c r="DQ4" s="403"/>
      <c r="DR4" s="249"/>
      <c r="DS4" s="249"/>
      <c r="EF4" s="36"/>
      <c r="EH4" s="1"/>
      <c r="ET4"/>
      <c r="FB4" s="36"/>
      <c r="FD4" s="144"/>
    </row>
    <row r="5" spans="1:179" ht="30" customHeight="1" thickBot="1">
      <c r="B5" s="883" t="s">
        <v>335</v>
      </c>
      <c r="C5" s="884"/>
      <c r="D5" s="888" t="s">
        <v>339</v>
      </c>
      <c r="E5" s="889"/>
      <c r="F5" s="890"/>
      <c r="G5"/>
      <c r="H5" s="883" t="s">
        <v>337</v>
      </c>
      <c r="I5" s="884"/>
      <c r="J5" s="891" t="s">
        <v>348</v>
      </c>
      <c r="K5" s="892"/>
      <c r="L5" s="893"/>
      <c r="M5" s="1"/>
      <c r="N5" s="1"/>
      <c r="O5" s="1"/>
      <c r="P5" s="1"/>
      <c r="Q5" s="410"/>
      <c r="R5" s="411"/>
      <c r="S5" s="412"/>
      <c r="T5" s="405">
        <f>IF(CL2=45,19,IF(CL2=46,18,IF(CL2=47,17,IF(CL2=48,16,IF(CL2=49,15,IF(CL2=50,14,IF(CL2=51,13,IF(CL2=52,12,IF(CL2=53,11,IF(CL2=54,10,IF(CL2=55,9,IF(CL2=56,8,IF(CL2=57,7,IF(CL2=58,6,IF(CL2=59,5,IF(CL2=60,4,IF(CL2=61,3,IF(CL2=62,2,IF(CL2=63,1,IF(CL2=64,0))))))))))))))))))))</f>
        <v>13</v>
      </c>
      <c r="U5" s="883" t="s">
        <v>174</v>
      </c>
      <c r="V5" s="894"/>
      <c r="W5" s="884"/>
      <c r="AA5" s="326"/>
      <c r="AB5" s="327" t="s">
        <v>66</v>
      </c>
      <c r="AC5" s="328" t="s">
        <v>72</v>
      </c>
      <c r="AD5" s="329" t="s">
        <v>73</v>
      </c>
      <c r="AE5" s="330" t="s">
        <v>286</v>
      </c>
      <c r="AF5" s="354"/>
      <c r="AG5" s="355"/>
      <c r="AH5" s="353"/>
      <c r="AM5" s="353"/>
      <c r="AN5" s="153"/>
      <c r="BA5" s="203"/>
      <c r="BB5" s="356"/>
      <c r="BC5" s="36"/>
      <c r="BD5" s="1"/>
      <c r="BF5" s="413"/>
      <c r="BG5" s="413"/>
      <c r="BH5" s="413"/>
      <c r="BI5" s="413"/>
      <c r="BJ5" s="413"/>
      <c r="BK5" s="413"/>
      <c r="BL5" s="413"/>
      <c r="BM5" s="413"/>
      <c r="BN5" s="413"/>
      <c r="BO5" s="413"/>
      <c r="BP5" s="413"/>
      <c r="BV5" s="414"/>
      <c r="DE5" s="924"/>
      <c r="DT5" s="415"/>
      <c r="FU5" s="251"/>
      <c r="FV5" s="250"/>
    </row>
    <row r="6" spans="1:179" ht="30" customHeight="1" thickBot="1">
      <c r="A6" s="413"/>
      <c r="B6" s="416"/>
      <c r="C6" s="416"/>
      <c r="D6" s="416"/>
      <c r="E6" s="417"/>
      <c r="F6" s="417"/>
      <c r="G6" s="417"/>
      <c r="H6" s="244"/>
      <c r="I6" s="252"/>
      <c r="J6" s="252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AA6" s="331">
        <v>1</v>
      </c>
      <c r="AB6" s="332"/>
      <c r="AC6" s="333" t="s">
        <v>287</v>
      </c>
      <c r="AD6" s="334"/>
      <c r="AE6" s="335">
        <v>1</v>
      </c>
      <c r="AF6" s="354"/>
      <c r="AG6" s="355"/>
      <c r="AH6" s="353"/>
      <c r="AI6" s="242"/>
      <c r="AJ6" s="242"/>
      <c r="AK6" s="203"/>
      <c r="AL6" s="203"/>
      <c r="AM6" s="357"/>
      <c r="AN6" s="179"/>
      <c r="AO6" s="242"/>
      <c r="AP6" s="242"/>
      <c r="AQ6" s="242"/>
      <c r="AR6" s="203"/>
      <c r="AS6" s="203"/>
      <c r="AT6" s="179"/>
      <c r="AU6" s="1"/>
      <c r="AV6" s="242"/>
      <c r="AW6" s="242"/>
      <c r="AX6" s="242"/>
      <c r="AY6" s="203"/>
      <c r="AZ6" s="203"/>
      <c r="BA6" s="203"/>
      <c r="BB6" s="1"/>
      <c r="BC6" s="358"/>
      <c r="BD6" s="358"/>
      <c r="BF6" s="370"/>
      <c r="BG6" s="370"/>
      <c r="BH6" s="370"/>
      <c r="BI6" s="370"/>
      <c r="BJ6" s="370"/>
      <c r="BK6" s="370"/>
      <c r="BL6" s="370"/>
      <c r="BM6" s="370"/>
      <c r="BN6" s="370"/>
      <c r="BO6" s="370"/>
      <c r="BP6" s="370"/>
      <c r="BU6" s="414"/>
      <c r="BV6" s="418"/>
      <c r="CH6" s="419"/>
      <c r="CI6" s="420"/>
      <c r="CJ6" s="419"/>
      <c r="CK6" s="421">
        <f>+J10</f>
        <v>614</v>
      </c>
      <c r="CL6" s="422"/>
      <c r="CM6" s="422"/>
      <c r="DB6" s="423"/>
      <c r="DC6" s="423"/>
      <c r="DD6" s="423"/>
      <c r="DE6" s="423"/>
      <c r="DF6" s="423"/>
      <c r="DG6" s="423"/>
      <c r="DH6" s="423"/>
      <c r="DI6" s="424"/>
      <c r="DJ6" s="425"/>
      <c r="DK6" s="425"/>
      <c r="DL6" s="425"/>
      <c r="DM6" s="425"/>
      <c r="DN6" s="425"/>
      <c r="DO6" s="425"/>
      <c r="DP6" s="425"/>
      <c r="DQ6" s="922" t="s">
        <v>231</v>
      </c>
      <c r="DR6" s="923"/>
      <c r="DS6" s="923"/>
      <c r="DT6" s="426">
        <f>+T5</f>
        <v>13</v>
      </c>
      <c r="DU6" s="427"/>
      <c r="DV6" s="397"/>
      <c r="DW6" s="249"/>
      <c r="DY6"/>
      <c r="DZ6"/>
      <c r="EA6"/>
      <c r="EB6"/>
      <c r="EC6"/>
      <c r="ED6" s="429"/>
      <c r="EG6" s="430"/>
      <c r="EH6" s="430"/>
      <c r="EI6" s="430"/>
      <c r="EJ6" s="430"/>
      <c r="EK6" s="430"/>
      <c r="EL6" s="430"/>
      <c r="EM6" s="430"/>
      <c r="EN6" s="430"/>
      <c r="EO6" s="430"/>
      <c r="EP6" s="430"/>
      <c r="EQ6" s="430"/>
      <c r="ER6" s="430"/>
      <c r="ES6" s="430"/>
      <c r="ET6" s="430"/>
      <c r="EU6" s="430"/>
      <c r="EV6" s="430"/>
      <c r="EW6" s="430"/>
      <c r="EX6" s="430"/>
      <c r="EY6" s="430"/>
      <c r="EZ6" s="430"/>
      <c r="FA6" s="430"/>
      <c r="FB6" s="430"/>
      <c r="FC6" s="430"/>
      <c r="FD6" s="430"/>
      <c r="FE6" s="250"/>
      <c r="FF6" s="144"/>
      <c r="FH6" s="144"/>
      <c r="FW6" s="101"/>
    </row>
    <row r="7" spans="1:179" ht="24.95" customHeight="1" thickBot="1">
      <c r="C7" s="431"/>
      <c r="D7" s="416"/>
      <c r="E7" s="416"/>
      <c r="F7" s="416"/>
      <c r="G7" s="416"/>
      <c r="H7" s="432"/>
      <c r="AA7" s="336">
        <v>2</v>
      </c>
      <c r="AB7" s="337"/>
      <c r="AC7" s="338" t="s">
        <v>288</v>
      </c>
      <c r="AD7" s="339"/>
      <c r="AE7" s="340">
        <v>2</v>
      </c>
      <c r="AF7" s="354"/>
      <c r="AH7" s="353"/>
      <c r="AK7" s="203"/>
      <c r="AL7" s="203"/>
      <c r="AM7" s="357"/>
      <c r="AN7" s="179"/>
      <c r="AO7" s="242"/>
      <c r="AP7" s="242"/>
      <c r="AQ7" s="242"/>
      <c r="AR7" s="203"/>
      <c r="AS7" s="203"/>
      <c r="AT7" s="179"/>
      <c r="AU7" s="1"/>
      <c r="AV7" s="242"/>
      <c r="AW7" s="242"/>
      <c r="AX7" s="242"/>
      <c r="AY7" s="203"/>
      <c r="AZ7" s="203"/>
      <c r="BA7" s="581">
        <v>1</v>
      </c>
      <c r="BB7" s="582"/>
      <c r="BC7" s="359" t="str">
        <f>IF(ISNA(MATCH(BA7,$AE$6:$AE$12,0)),"",INDEX($AC$6:$AC$12,MATCH(BA7,$AE$6:$AE$12,0)))</f>
        <v>CQ 1_</v>
      </c>
      <c r="BD7" s="1"/>
      <c r="CG7" s="433"/>
      <c r="CH7" s="433"/>
      <c r="CI7" s="434"/>
      <c r="CJ7" s="422"/>
      <c r="CK7" s="433"/>
      <c r="CL7" s="433"/>
      <c r="CM7" s="423"/>
      <c r="DI7" s="435"/>
      <c r="DJ7" s="435"/>
      <c r="DK7" s="435"/>
      <c r="DL7" s="435"/>
      <c r="DM7" s="436"/>
      <c r="DN7" s="436"/>
      <c r="DO7" s="437"/>
      <c r="DR7" s="438"/>
      <c r="DS7" s="439"/>
      <c r="DT7" s="439"/>
      <c r="DU7" s="440"/>
      <c r="DV7" s="428"/>
      <c r="DW7" s="428"/>
      <c r="ES7" s="101"/>
      <c r="EY7" s="101"/>
      <c r="EZ7" s="144"/>
    </row>
    <row r="8" spans="1:179" ht="24.95" customHeight="1" thickBot="1">
      <c r="B8" s="416"/>
      <c r="C8" s="416"/>
      <c r="D8" s="416"/>
      <c r="G8" s="416"/>
      <c r="H8" s="432"/>
      <c r="I8" s="648" t="s">
        <v>284</v>
      </c>
      <c r="J8" s="649"/>
      <c r="K8" s="649"/>
      <c r="L8" s="649"/>
      <c r="M8" s="650"/>
      <c r="N8" s="441"/>
      <c r="P8" s="869" t="s">
        <v>332</v>
      </c>
      <c r="Q8" s="870"/>
      <c r="R8" s="870"/>
      <c r="S8" s="870"/>
      <c r="T8" s="871"/>
      <c r="AA8" s="341">
        <v>3</v>
      </c>
      <c r="AB8" s="342"/>
      <c r="AC8" s="343" t="s">
        <v>289</v>
      </c>
      <c r="AD8" s="344"/>
      <c r="AE8" s="345">
        <v>3</v>
      </c>
      <c r="AF8" s="354"/>
      <c r="AH8" s="353"/>
      <c r="AK8" s="203"/>
      <c r="AL8" s="203"/>
      <c r="AM8" s="357"/>
      <c r="AN8" s="179"/>
      <c r="AO8" s="242"/>
      <c r="AP8" s="242"/>
      <c r="AQ8" s="242"/>
      <c r="AR8" s="203"/>
      <c r="AS8" s="203"/>
      <c r="AT8" s="179"/>
      <c r="AU8" s="1"/>
      <c r="AV8" s="242"/>
      <c r="AW8" s="677" t="s">
        <v>294</v>
      </c>
      <c r="AX8" s="677"/>
      <c r="AY8" s="677"/>
      <c r="AZ8" s="677"/>
      <c r="BA8" s="583">
        <v>4</v>
      </c>
      <c r="BB8" s="44"/>
      <c r="BC8" s="360" t="str">
        <f>IF(ISNA(MATCH(BA8,$AE$6:$AE$12,0)),"",INDEX($AC$6:$AC$12,MATCH(BA8,$AE$6:$AE$12,0)))</f>
        <v>CQ 4_</v>
      </c>
      <c r="BD8" s="1"/>
      <c r="CG8" s="750" t="s">
        <v>246</v>
      </c>
      <c r="CH8" s="751"/>
      <c r="CI8" s="751"/>
      <c r="CJ8" s="751"/>
      <c r="CK8" s="751"/>
      <c r="CL8" s="752"/>
      <c r="CM8" s="1"/>
      <c r="DI8" s="400"/>
      <c r="DJ8" s="400"/>
      <c r="DK8" s="400"/>
      <c r="DL8" s="400"/>
      <c r="DM8" s="400"/>
      <c r="DN8" s="400"/>
      <c r="DO8" s="400"/>
      <c r="DP8" s="442"/>
      <c r="DQ8" s="750" t="s">
        <v>246</v>
      </c>
      <c r="DR8" s="751"/>
      <c r="DS8" s="751"/>
      <c r="DT8" s="751"/>
      <c r="DU8" s="751"/>
      <c r="DV8" s="752"/>
      <c r="DW8" s="1"/>
      <c r="DY8" s="397"/>
      <c r="DZ8" s="667" t="s">
        <v>244</v>
      </c>
      <c r="EA8" s="668"/>
      <c r="EB8" s="668"/>
      <c r="EC8" s="668"/>
      <c r="ED8" s="669"/>
      <c r="EE8" s="228"/>
      <c r="EG8" s="793" t="s">
        <v>245</v>
      </c>
      <c r="EH8" s="794"/>
      <c r="EI8" s="794"/>
      <c r="EJ8" s="794"/>
      <c r="EK8" s="795"/>
      <c r="EL8" s="228"/>
      <c r="EM8" s="251"/>
      <c r="EN8" s="443"/>
      <c r="EO8" s="808" t="s">
        <v>233</v>
      </c>
      <c r="EP8" s="809"/>
      <c r="EQ8" s="809"/>
      <c r="ER8" s="809"/>
      <c r="ES8" s="810"/>
      <c r="EU8" s="750" t="s">
        <v>234</v>
      </c>
      <c r="EV8" s="751"/>
      <c r="EW8" s="751"/>
      <c r="EX8" s="751"/>
      <c r="EY8" s="752"/>
      <c r="EZ8" s="144"/>
      <c r="FA8" s="750" t="s">
        <v>235</v>
      </c>
      <c r="FB8" s="751"/>
      <c r="FC8" s="751"/>
      <c r="FD8" s="751"/>
      <c r="FE8" s="752"/>
      <c r="FH8" s="792" t="s">
        <v>53</v>
      </c>
      <c r="FI8" s="792"/>
      <c r="FJ8" s="792"/>
      <c r="FK8" s="792"/>
      <c r="FL8" s="792"/>
      <c r="FM8" s="792"/>
      <c r="FN8" s="792"/>
      <c r="FR8" s="144"/>
    </row>
    <row r="9" spans="1:179" ht="24.95" customHeight="1" thickBot="1">
      <c r="N9" s="441"/>
      <c r="AA9" s="1"/>
      <c r="AB9" s="1"/>
      <c r="AC9" s="1"/>
      <c r="AD9" s="1"/>
      <c r="AE9" s="330" t="s">
        <v>290</v>
      </c>
      <c r="AF9" s="678"/>
      <c r="AG9" s="679"/>
      <c r="AH9" s="679"/>
      <c r="AI9" s="679"/>
      <c r="AJ9" s="679"/>
      <c r="AK9" s="679"/>
      <c r="AL9" s="679"/>
      <c r="AM9" s="679"/>
      <c r="AN9" s="679"/>
      <c r="AO9" s="679"/>
      <c r="AP9" s="679"/>
      <c r="AQ9" s="679"/>
      <c r="AR9" s="679"/>
      <c r="AS9" s="679"/>
      <c r="AT9" s="679"/>
      <c r="AU9" s="679"/>
      <c r="AV9" s="679"/>
      <c r="AW9" s="679"/>
      <c r="AX9" s="679"/>
      <c r="AY9" s="679"/>
      <c r="AZ9" s="680"/>
      <c r="BA9" s="584">
        <v>2</v>
      </c>
      <c r="BB9" s="279"/>
      <c r="BC9" s="361" t="str">
        <f>IF(ISNA(MATCH(BA9,$AE$6:$AE$12,0)),"",INDEX($AC$6:$AC$12,MATCH(BA9,$AE$6:$AE$12,0)))</f>
        <v>CQ 2_</v>
      </c>
      <c r="BD9" s="1"/>
      <c r="BE9" s="366">
        <v>805</v>
      </c>
      <c r="BF9" s="366">
        <v>795</v>
      </c>
      <c r="BG9" s="366">
        <v>785</v>
      </c>
      <c r="BH9" s="366">
        <v>775</v>
      </c>
      <c r="BI9" s="366">
        <v>765</v>
      </c>
      <c r="BJ9" s="366">
        <v>755</v>
      </c>
      <c r="BK9" s="366">
        <v>745</v>
      </c>
      <c r="BL9" s="366">
        <v>735</v>
      </c>
      <c r="BM9" s="366">
        <v>725</v>
      </c>
      <c r="BN9" s="366">
        <v>715</v>
      </c>
      <c r="BO9" s="366">
        <v>705</v>
      </c>
      <c r="BP9" s="366">
        <v>695</v>
      </c>
      <c r="BQ9" s="366">
        <v>685</v>
      </c>
      <c r="BR9" s="366">
        <v>675</v>
      </c>
      <c r="BS9" s="366">
        <v>665</v>
      </c>
      <c r="BT9" s="366">
        <v>655</v>
      </c>
      <c r="BU9" s="366">
        <v>645</v>
      </c>
      <c r="BV9" s="366">
        <v>635</v>
      </c>
      <c r="BW9" s="366">
        <v>625</v>
      </c>
      <c r="BX9" s="366">
        <v>615</v>
      </c>
      <c r="BY9" s="385">
        <v>605</v>
      </c>
      <c r="BZ9" s="385">
        <v>595</v>
      </c>
      <c r="CA9" s="385">
        <v>585</v>
      </c>
      <c r="CB9" s="385">
        <v>575</v>
      </c>
      <c r="CC9" s="385">
        <v>565</v>
      </c>
      <c r="CD9" s="385">
        <v>555</v>
      </c>
      <c r="CE9" s="385">
        <v>545</v>
      </c>
      <c r="CF9" s="385">
        <v>535</v>
      </c>
      <c r="CG9" s="201" t="s">
        <v>239</v>
      </c>
      <c r="CH9" s="201"/>
      <c r="CI9" s="202"/>
      <c r="CJ9" s="203" t="s">
        <v>237</v>
      </c>
      <c r="CK9" s="203"/>
      <c r="CL9" s="203" t="s">
        <v>238</v>
      </c>
      <c r="CM9" s="444"/>
      <c r="CO9" s="366">
        <v>805</v>
      </c>
      <c r="CP9" s="366">
        <v>795</v>
      </c>
      <c r="CQ9" s="366">
        <v>785</v>
      </c>
      <c r="CR9" s="366">
        <v>775</v>
      </c>
      <c r="CS9" s="366">
        <v>765</v>
      </c>
      <c r="CT9" s="366">
        <v>755</v>
      </c>
      <c r="CU9" s="366">
        <v>745</v>
      </c>
      <c r="CV9" s="366">
        <v>735</v>
      </c>
      <c r="CW9" s="366">
        <v>725</v>
      </c>
      <c r="CX9" s="366">
        <v>715</v>
      </c>
      <c r="CY9" s="366">
        <v>705</v>
      </c>
      <c r="CZ9" s="366">
        <v>695</v>
      </c>
      <c r="DA9" s="366">
        <v>685</v>
      </c>
      <c r="DB9" s="366">
        <v>675</v>
      </c>
      <c r="DC9" s="366">
        <v>665</v>
      </c>
      <c r="DD9" s="366">
        <v>655</v>
      </c>
      <c r="DE9" s="366">
        <v>645</v>
      </c>
      <c r="DF9" s="366">
        <v>635</v>
      </c>
      <c r="DG9" s="366">
        <v>625</v>
      </c>
      <c r="DH9" s="366">
        <v>615</v>
      </c>
      <c r="DI9" s="385">
        <v>605</v>
      </c>
      <c r="DJ9" s="385">
        <v>595</v>
      </c>
      <c r="DK9" s="385">
        <v>585</v>
      </c>
      <c r="DL9" s="385">
        <v>575</v>
      </c>
      <c r="DM9" s="385">
        <v>565</v>
      </c>
      <c r="DN9" s="385">
        <v>555</v>
      </c>
      <c r="DO9" s="385">
        <v>545</v>
      </c>
      <c r="DP9" s="385">
        <v>535</v>
      </c>
      <c r="DQ9" s="201" t="s">
        <v>239</v>
      </c>
      <c r="DR9" s="201"/>
      <c r="DS9" s="202"/>
      <c r="DT9" s="203" t="s">
        <v>237</v>
      </c>
      <c r="DU9" s="203"/>
      <c r="DV9" s="203" t="s">
        <v>238</v>
      </c>
      <c r="DW9" s="251"/>
      <c r="DY9" s="397"/>
      <c r="DZ9" s="201" t="s">
        <v>239</v>
      </c>
      <c r="EA9" s="201"/>
      <c r="EB9" s="203" t="s">
        <v>237</v>
      </c>
      <c r="EC9" s="203"/>
      <c r="ED9" s="203" t="s">
        <v>238</v>
      </c>
      <c r="EE9" s="1"/>
      <c r="EF9" s="201"/>
      <c r="EG9" s="201"/>
      <c r="EH9" s="201"/>
      <c r="EI9" s="201"/>
      <c r="EJ9" s="201"/>
      <c r="EK9" s="201"/>
      <c r="EL9" s="208"/>
      <c r="EM9" s="445"/>
      <c r="EN9" s="201"/>
      <c r="EO9" s="201"/>
      <c r="EP9" s="201"/>
      <c r="EQ9" s="202"/>
      <c r="ER9" s="201"/>
      <c r="ET9" s="201"/>
      <c r="EU9" s="201"/>
      <c r="EV9" s="201"/>
      <c r="EW9" s="202"/>
      <c r="EX9" s="201"/>
      <c r="EY9" s="144"/>
      <c r="FB9" s="36"/>
      <c r="FC9" s="101"/>
      <c r="FK9" s="275">
        <f>+G11</f>
        <v>4</v>
      </c>
    </row>
    <row r="10" spans="1:179" ht="24.95" customHeight="1" thickTop="1" thickBot="1">
      <c r="A10" s="872" t="s">
        <v>18</v>
      </c>
      <c r="B10" s="873"/>
      <c r="C10" s="873"/>
      <c r="D10" s="873"/>
      <c r="E10" s="873"/>
      <c r="F10" s="873"/>
      <c r="G10" s="369">
        <f>(VALUE(MID(J10,1,2)))</f>
        <v>61</v>
      </c>
      <c r="H10"/>
      <c r="I10" s="244"/>
      <c r="J10" s="874">
        <v>614</v>
      </c>
      <c r="K10" s="874"/>
      <c r="P10" s="875">
        <f>IF(G10=53,25,IF(G10=54,26,IF(G10=55,27,IF(G10=56,28,IF(G10=57,27,IF(G10=58,28,IF(G10=59,29,IF(G10=60,30,IF(G10=61,29,IF(G10=62,30,IF(G10=63,31,IF(G10=64,32,IF(G10=65,31,IF(G10=66,32,IF(G10=67,33,IF(G10=68,34,IF(G10=69,33,IF(G10=70,34,IF(G10=71,35,IF(G10=72,36,IF(G10=73,35,IF(G10=74,36,IF(G10=75,37,IF(G10=76,38,IF(G10=77,37,IF(G10=78,38,IF(G10=79,39,IF(G10=80,40,"0"))))))))))))))))))))))))))))</f>
        <v>29</v>
      </c>
      <c r="Q10" s="876"/>
      <c r="R10" s="879" t="s">
        <v>83</v>
      </c>
      <c r="S10" s="880"/>
      <c r="AA10" s="346">
        <v>4</v>
      </c>
      <c r="AB10" s="332"/>
      <c r="AC10" s="347" t="s">
        <v>291</v>
      </c>
      <c r="AD10" s="334"/>
      <c r="AE10" s="335">
        <v>4</v>
      </c>
      <c r="AF10" s="354"/>
      <c r="AG10" s="1"/>
      <c r="AH10" s="353"/>
      <c r="AI10" s="242"/>
      <c r="AJ10" s="242"/>
      <c r="AK10" s="203"/>
      <c r="AL10" s="203"/>
      <c r="AM10" s="357"/>
      <c r="AN10" s="179"/>
      <c r="AO10" s="242"/>
      <c r="AP10" s="242"/>
      <c r="AQ10" s="242"/>
      <c r="AR10" s="203"/>
      <c r="AS10" s="203"/>
      <c r="AT10" s="179"/>
      <c r="AU10" s="1"/>
      <c r="AV10" s="242"/>
      <c r="AW10" s="790" t="s">
        <v>295</v>
      </c>
      <c r="AX10" s="790"/>
      <c r="AY10" s="790"/>
      <c r="AZ10" s="790"/>
      <c r="BA10" s="583">
        <v>5</v>
      </c>
      <c r="BB10" s="44"/>
      <c r="BC10" s="360" t="str">
        <f>IF(ISNA(MATCH(BA10,$AE$6:$AE$12,0)),"",INDEX($AC$6:$AC$12,MATCH(BA10,$AE$6:$AE$12,0)))</f>
        <v>CQ 5_</v>
      </c>
      <c r="BD10" s="1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129"/>
      <c r="BR10" s="129"/>
      <c r="BS10" s="129"/>
      <c r="BT10" s="129"/>
      <c r="BU10" s="129"/>
      <c r="BV10" s="129"/>
      <c r="BW10" s="129"/>
      <c r="BX10" s="313"/>
      <c r="BY10" s="378"/>
      <c r="BZ10" s="378"/>
      <c r="CA10" s="378"/>
      <c r="CB10" s="378"/>
      <c r="CC10" s="378"/>
      <c r="CD10" s="378"/>
      <c r="CE10" s="378"/>
      <c r="CF10" s="378"/>
      <c r="CG10" s="202"/>
      <c r="CH10" s="202"/>
      <c r="CI10" s="202"/>
      <c r="CJ10" s="447" t="s">
        <v>11</v>
      </c>
      <c r="CK10" s="306"/>
      <c r="CL10" s="203"/>
      <c r="CM10" s="444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374"/>
      <c r="DJ10" s="374"/>
      <c r="DK10" s="374"/>
      <c r="DL10" s="374"/>
      <c r="DM10" s="374"/>
      <c r="DN10" s="374"/>
      <c r="DO10" s="374"/>
      <c r="DP10" s="375"/>
      <c r="DQ10" s="202"/>
      <c r="DR10" s="202"/>
      <c r="DS10" s="202"/>
      <c r="DT10" s="447" t="s">
        <v>163</v>
      </c>
      <c r="DU10" s="448"/>
      <c r="DV10" s="203"/>
      <c r="DW10" s="449"/>
      <c r="DY10" s="450"/>
      <c r="DZ10" s="201"/>
      <c r="EA10" s="201"/>
      <c r="EB10" s="451" t="s">
        <v>66</v>
      </c>
      <c r="EC10" s="306"/>
      <c r="ED10" s="203"/>
      <c r="EE10" s="444"/>
      <c r="EG10" s="201"/>
      <c r="EH10" s="201"/>
      <c r="EI10" s="201"/>
      <c r="EJ10" s="201"/>
      <c r="EK10" s="201"/>
      <c r="EL10" s="201"/>
      <c r="EM10" s="452"/>
      <c r="EN10" s="453"/>
      <c r="EO10" s="208"/>
      <c r="EP10" s="208"/>
      <c r="EQ10" s="208"/>
      <c r="ER10" s="209"/>
      <c r="ES10" s="251"/>
      <c r="EU10" s="201"/>
      <c r="EV10" s="201"/>
      <c r="EW10" s="201"/>
      <c r="EX10" s="202"/>
      <c r="EY10" s="251"/>
      <c r="EZ10" s="144"/>
      <c r="FB10" s="36"/>
      <c r="FD10" s="101"/>
    </row>
    <row r="11" spans="1:179" ht="24.95" customHeight="1" thickBot="1">
      <c r="A11" s="872" t="s">
        <v>74</v>
      </c>
      <c r="B11" s="873"/>
      <c r="C11" s="873"/>
      <c r="D11" s="873"/>
      <c r="E11" s="873"/>
      <c r="F11" s="873"/>
      <c r="G11" s="587">
        <f>VALUE(MID(J10,3,1))</f>
        <v>4</v>
      </c>
      <c r="H11"/>
      <c r="I11" s="244"/>
      <c r="J11" s="874"/>
      <c r="K11" s="874"/>
      <c r="P11" s="877"/>
      <c r="Q11" s="878"/>
      <c r="R11" s="881"/>
      <c r="S11" s="882"/>
      <c r="AA11" s="348">
        <v>5</v>
      </c>
      <c r="AB11" s="337"/>
      <c r="AC11" s="349" t="s">
        <v>292</v>
      </c>
      <c r="AD11" s="339"/>
      <c r="AE11" s="340">
        <v>5</v>
      </c>
      <c r="AF11" s="354"/>
      <c r="AG11" s="1"/>
      <c r="AH11" s="353"/>
      <c r="AI11" s="242"/>
      <c r="AJ11" s="242"/>
      <c r="AK11" s="203"/>
      <c r="AL11" s="203"/>
      <c r="AM11" s="357"/>
      <c r="AN11" s="179"/>
      <c r="AO11" s="242"/>
      <c r="AP11" s="242"/>
      <c r="AQ11" s="242"/>
      <c r="AR11" s="203"/>
      <c r="AS11" s="203"/>
      <c r="AT11" s="179"/>
      <c r="AU11" s="1"/>
      <c r="AV11" s="242"/>
      <c r="AW11" s="242"/>
      <c r="AX11" s="242"/>
      <c r="AY11" s="203"/>
      <c r="AZ11" s="203"/>
      <c r="BA11" s="584">
        <v>3</v>
      </c>
      <c r="BB11" s="279"/>
      <c r="BC11" s="361" t="str">
        <f>IF(ISNA(MATCH(BA11,$AE$6:$AE$12,0))," ",INDEX($AC$6:$AC$12,MATCH(BA11,$AE$6:$AE$12,0)))</f>
        <v>CQ 3_</v>
      </c>
      <c r="BD11" s="1"/>
      <c r="BE11" s="613" t="s">
        <v>297</v>
      </c>
      <c r="BF11" s="613"/>
      <c r="BG11" s="613"/>
      <c r="BH11" s="613"/>
      <c r="BI11" s="613"/>
      <c r="BJ11" s="613"/>
      <c r="BK11" s="613"/>
      <c r="BL11" s="613"/>
      <c r="BM11" s="613"/>
      <c r="BN11" s="613"/>
      <c r="BO11" s="613"/>
      <c r="BP11" s="613"/>
      <c r="BQ11" s="613"/>
      <c r="BR11" s="613"/>
      <c r="BS11" s="613"/>
      <c r="BT11" s="613"/>
      <c r="BU11" s="613"/>
      <c r="BV11" s="613"/>
      <c r="BW11" s="613"/>
      <c r="BX11" s="613"/>
      <c r="BY11" s="613"/>
      <c r="BZ11" s="613"/>
      <c r="CA11" s="613"/>
      <c r="CB11" s="613"/>
      <c r="CC11" s="613"/>
      <c r="CD11" s="613"/>
      <c r="CE11" s="613"/>
      <c r="CF11" s="614"/>
      <c r="CG11" s="624">
        <v>1</v>
      </c>
      <c r="CH11" s="454"/>
      <c r="CI11" s="707" t="str">
        <f>+BC20</f>
        <v>A1</v>
      </c>
      <c r="CJ11" s="708"/>
      <c r="CK11" s="709"/>
      <c r="CL11" s="213">
        <v>1</v>
      </c>
      <c r="CM11" s="706" t="str">
        <f>IF($CL11=$CL12,"&amp;",IF($CL11&gt;$CL12,$CI11,$CI12))</f>
        <v>A1</v>
      </c>
      <c r="CO11" s="605" t="s">
        <v>283</v>
      </c>
      <c r="CP11" s="605"/>
      <c r="CQ11" s="605"/>
      <c r="CR11" s="605"/>
      <c r="CS11" s="605"/>
      <c r="CT11" s="605"/>
      <c r="CU11" s="605"/>
      <c r="CV11" s="605"/>
      <c r="CW11" s="605"/>
      <c r="CX11" s="605"/>
      <c r="CY11" s="605"/>
      <c r="CZ11" s="605"/>
      <c r="DA11" s="605"/>
      <c r="DB11" s="605"/>
      <c r="DC11" s="605"/>
      <c r="DD11" s="605"/>
      <c r="DE11" s="605"/>
      <c r="DF11" s="605"/>
      <c r="DG11" s="605"/>
      <c r="DH11" s="605"/>
      <c r="DI11" s="605"/>
      <c r="DJ11" s="605"/>
      <c r="DK11" s="605"/>
      <c r="DL11" s="605"/>
      <c r="DM11" s="605"/>
      <c r="DN11" s="605"/>
      <c r="DO11" s="605"/>
      <c r="DP11" s="606"/>
      <c r="DQ11" s="624">
        <v>17</v>
      </c>
      <c r="DR11" s="455"/>
      <c r="DS11" s="654" t="str">
        <f>BC11</f>
        <v>CQ 3_</v>
      </c>
      <c r="DT11" s="655"/>
      <c r="DU11" s="656"/>
      <c r="DV11" s="233">
        <v>1</v>
      </c>
      <c r="DW11" s="706" t="str">
        <f>IF($DV11=$DV12,"&amp;",IF($DV11&gt;$DV12,$DS11,$DS12))</f>
        <v>CQ 3_</v>
      </c>
      <c r="DY11" s="456" t="s">
        <v>11</v>
      </c>
      <c r="DZ11" s="703">
        <v>1</v>
      </c>
      <c r="EA11" s="694" t="str">
        <f>IF(OR($CL11=$CL12),"G. 1/32 A",IF($CL11&gt;$CL12,$CI11,$CI12))</f>
        <v>A1</v>
      </c>
      <c r="EB11" s="695"/>
      <c r="EC11" s="696"/>
      <c r="ED11" s="213">
        <v>1</v>
      </c>
      <c r="EE11" s="813" t="str">
        <f>IF($ED11=$ED12,"&amp;",IF($ED11&gt;$ED12,$EA11,$EA12))</f>
        <v>A1</v>
      </c>
      <c r="EG11" s="201" t="s">
        <v>239</v>
      </c>
      <c r="EH11" s="201"/>
      <c r="EI11" s="203" t="s">
        <v>237</v>
      </c>
      <c r="EJ11" s="203"/>
      <c r="EK11" s="203" t="s">
        <v>238</v>
      </c>
      <c r="EL11" s="201"/>
      <c r="EM11" s="452"/>
      <c r="EN11" s="453"/>
      <c r="EO11" s="201" t="s">
        <v>239</v>
      </c>
      <c r="EP11" s="201"/>
      <c r="EQ11" s="203" t="s">
        <v>237</v>
      </c>
      <c r="ER11" s="203"/>
      <c r="ES11" s="203" t="s">
        <v>238</v>
      </c>
      <c r="EU11" s="201"/>
      <c r="EV11" s="201"/>
      <c r="EW11" s="201"/>
      <c r="EX11" s="202"/>
      <c r="EY11" s="251"/>
      <c r="EZ11" s="144"/>
      <c r="FB11" s="36"/>
      <c r="FD11" s="101"/>
    </row>
    <row r="12" spans="1:179" ht="24.95" customHeight="1" thickBot="1">
      <c r="B12" s="416"/>
      <c r="AA12" s="350">
        <v>6</v>
      </c>
      <c r="AB12" s="342"/>
      <c r="AC12" s="351" t="s">
        <v>293</v>
      </c>
      <c r="AD12" s="344"/>
      <c r="AE12" s="345">
        <v>6</v>
      </c>
      <c r="AF12" s="354"/>
      <c r="AG12" s="1"/>
      <c r="AH12" s="353"/>
      <c r="AI12" s="242"/>
      <c r="AJ12" s="242"/>
      <c r="AK12" s="203"/>
      <c r="AL12" s="203"/>
      <c r="AM12" s="357"/>
      <c r="AN12" s="179"/>
      <c r="AO12" s="242"/>
      <c r="AP12" s="242"/>
      <c r="AQ12" s="242"/>
      <c r="AR12" s="203"/>
      <c r="AS12" s="203"/>
      <c r="AT12" s="179"/>
      <c r="AU12" s="1"/>
      <c r="AV12" s="242"/>
      <c r="AW12" s="242"/>
      <c r="AX12" s="242"/>
      <c r="AY12" s="203"/>
      <c r="AZ12" s="203"/>
      <c r="BA12" s="585">
        <v>6</v>
      </c>
      <c r="BB12" s="68"/>
      <c r="BC12" s="362" t="str">
        <f>IF(ISNA(MATCH(BA12,$AE$6:$AE$12,0)),"",INDEX($AC$6:$AC$12,MATCH(BA12,$AE$6:$AE$12,0)))</f>
        <v>CQ 6_</v>
      </c>
      <c r="BD12" s="1"/>
      <c r="BE12" s="634" t="s">
        <v>326</v>
      </c>
      <c r="BF12" s="634"/>
      <c r="BG12" s="634"/>
      <c r="BH12" s="631" t="s">
        <v>261</v>
      </c>
      <c r="BI12" s="631"/>
      <c r="BJ12" s="631"/>
      <c r="BK12" s="631"/>
      <c r="BL12" s="631"/>
      <c r="BM12" s="631"/>
      <c r="BN12" s="631"/>
      <c r="BO12" s="631"/>
      <c r="BP12" s="631"/>
      <c r="BQ12" s="631"/>
      <c r="BR12" s="631"/>
      <c r="BS12" s="631"/>
      <c r="BT12" s="631"/>
      <c r="BU12" s="631"/>
      <c r="BV12" s="631"/>
      <c r="BW12" s="631"/>
      <c r="BX12" s="631"/>
      <c r="BY12" s="631"/>
      <c r="BZ12" s="631"/>
      <c r="CA12" s="631"/>
      <c r="CB12" s="631"/>
      <c r="CC12" s="631"/>
      <c r="CD12" s="631"/>
      <c r="CE12" s="631"/>
      <c r="CF12" s="632"/>
      <c r="CG12" s="625"/>
      <c r="CH12" s="457"/>
      <c r="CI12" s="651" t="str">
        <f>IF(OR(AND(J10&lt;780)),"OFFICE",IF(OR(AND(J10&gt;780,J10&lt;810)),BC90,0))</f>
        <v>OFFICE</v>
      </c>
      <c r="CJ12" s="652"/>
      <c r="CK12" s="653"/>
      <c r="CL12" s="218">
        <v>0</v>
      </c>
      <c r="CM12" s="706"/>
      <c r="CO12" s="607" t="s">
        <v>273</v>
      </c>
      <c r="CP12" s="607"/>
      <c r="CQ12" s="607"/>
      <c r="CR12" s="607"/>
      <c r="CS12" s="607"/>
      <c r="CT12" s="607"/>
      <c r="CU12" s="607"/>
      <c r="CV12" s="607"/>
      <c r="CW12" s="607"/>
      <c r="CX12" s="607"/>
      <c r="CY12" s="607"/>
      <c r="CZ12" s="607"/>
      <c r="DA12" s="607"/>
      <c r="DB12" s="607"/>
      <c r="DC12" s="607"/>
      <c r="DD12" s="607"/>
      <c r="DE12" s="607"/>
      <c r="DF12" s="607"/>
      <c r="DG12" s="607"/>
      <c r="DH12" s="607"/>
      <c r="DI12" s="607"/>
      <c r="DJ12" s="607"/>
      <c r="DK12" s="607"/>
      <c r="DL12" s="607"/>
      <c r="DM12" s="607"/>
      <c r="DN12" s="607"/>
      <c r="DO12" s="607"/>
      <c r="DP12" s="604"/>
      <c r="DQ12" s="625"/>
      <c r="DR12" s="458"/>
      <c r="DS12" s="651" t="str">
        <f>BC38</f>
        <v>B5</v>
      </c>
      <c r="DT12" s="652"/>
      <c r="DU12" s="653"/>
      <c r="DV12" s="255">
        <v>0</v>
      </c>
      <c r="DW12" s="706"/>
      <c r="DY12" s="456" t="s">
        <v>163</v>
      </c>
      <c r="DZ12" s="704"/>
      <c r="EA12" s="820" t="str">
        <f>IF(OR(DV11=DV12),"G. 1/32 Q",IF(DV11&gt;DV12,DS11,DS12))</f>
        <v>CQ 3_</v>
      </c>
      <c r="EB12" s="821"/>
      <c r="EC12" s="822"/>
      <c r="ED12" s="218">
        <v>0</v>
      </c>
      <c r="EE12" s="813"/>
      <c r="EG12" s="201"/>
      <c r="EH12" s="201"/>
      <c r="EI12" s="459" t="s">
        <v>11</v>
      </c>
      <c r="EJ12" s="306"/>
      <c r="EK12" s="203"/>
      <c r="EL12" s="203"/>
      <c r="EM12" s="452"/>
      <c r="EN12" s="453"/>
      <c r="EO12" s="201"/>
      <c r="EP12" s="201"/>
      <c r="EQ12" s="451" t="s">
        <v>11</v>
      </c>
      <c r="ER12" s="306"/>
      <c r="ES12" s="203"/>
      <c r="EU12" s="201"/>
      <c r="EV12" s="201"/>
      <c r="EW12" s="201"/>
      <c r="EX12" s="202"/>
      <c r="EY12" s="251"/>
      <c r="EZ12" s="144"/>
      <c r="FB12" s="36"/>
    </row>
    <row r="13" spans="1:179" ht="24.95" customHeight="1" thickBot="1">
      <c r="Z13" s="417"/>
      <c r="BE13" s="376"/>
      <c r="BF13" s="376"/>
      <c r="BG13" s="376"/>
      <c r="BH13" s="376"/>
      <c r="BI13" s="376"/>
      <c r="BJ13" s="376"/>
      <c r="BK13" s="376"/>
      <c r="BL13" s="376"/>
      <c r="BM13" s="376"/>
      <c r="BN13" s="376"/>
      <c r="BO13" s="376"/>
      <c r="BP13" s="376"/>
      <c r="BQ13" s="376"/>
      <c r="BR13" s="376"/>
      <c r="BS13" s="376"/>
      <c r="BT13" s="376"/>
      <c r="BU13" s="376"/>
      <c r="BV13" s="376"/>
      <c r="BW13" s="376"/>
      <c r="BX13" s="376"/>
      <c r="BY13" s="376"/>
      <c r="BZ13" s="376"/>
      <c r="CA13" s="376"/>
      <c r="CB13" s="376"/>
      <c r="CC13" s="376"/>
      <c r="CD13" s="376"/>
      <c r="CE13" s="376"/>
      <c r="CF13" s="376"/>
      <c r="CG13" s="101"/>
      <c r="CH13" s="229"/>
      <c r="CI13" s="232"/>
      <c r="CJ13" s="246"/>
      <c r="CK13" s="246"/>
      <c r="CL13" s="247"/>
      <c r="CM13" s="460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376"/>
      <c r="DJ13" s="376"/>
      <c r="DK13" s="376"/>
      <c r="DL13" s="376"/>
      <c r="DM13" s="376"/>
      <c r="DN13" s="376"/>
      <c r="DO13" s="376"/>
      <c r="DP13" s="377"/>
      <c r="DQ13" s="101"/>
      <c r="DR13" s="101"/>
      <c r="DS13" s="129"/>
      <c r="DT13" s="129"/>
      <c r="DU13" s="129"/>
      <c r="DV13" s="247"/>
      <c r="DW13" s="460"/>
      <c r="EA13" s="30"/>
      <c r="EB13" s="30"/>
      <c r="EC13" s="30"/>
      <c r="EG13" s="624">
        <v>1</v>
      </c>
      <c r="EH13" s="694" t="str">
        <f>IF(ED11=ED12,"G. 1/16 P",IF(ED11&gt;ED12,EA11,EA12))</f>
        <v>A1</v>
      </c>
      <c r="EI13" s="695"/>
      <c r="EJ13" s="696"/>
      <c r="EK13" s="212">
        <v>1</v>
      </c>
      <c r="EL13" s="813" t="str">
        <f>IF(EK13=EK14,"&amp;",IF(EK13&gt;EK14,EH13,EH14))</f>
        <v>A2</v>
      </c>
      <c r="EM13" s="461"/>
      <c r="EN13" s="597" t="s">
        <v>11</v>
      </c>
      <c r="EO13" s="703">
        <v>5</v>
      </c>
      <c r="EP13" s="796" t="str">
        <f>IF(OR(EK13=EK14),"Gagnant 1/8 A",IF(AND(EK13&gt;EK14),EH13,EH14))</f>
        <v>A2</v>
      </c>
      <c r="EQ13" s="797"/>
      <c r="ER13" s="798"/>
      <c r="ES13" s="212">
        <v>1</v>
      </c>
      <c r="EU13" s="201"/>
      <c r="EV13" s="201"/>
      <c r="EW13" s="201"/>
      <c r="EX13" s="202"/>
      <c r="EY13" s="251"/>
      <c r="EZ13" s="144"/>
      <c r="FB13" s="36"/>
    </row>
    <row r="14" spans="1:179" ht="24.95" customHeight="1" thickTop="1" thickBot="1">
      <c r="Y14" s="433"/>
      <c r="BE14" s="378"/>
      <c r="BF14" s="378"/>
      <c r="BG14" s="378"/>
      <c r="BH14" s="378"/>
      <c r="BI14" s="378"/>
      <c r="BJ14" s="378"/>
      <c r="BK14" s="378"/>
      <c r="BL14" s="378"/>
      <c r="BM14" s="378"/>
      <c r="BN14" s="378"/>
      <c r="BO14" s="378"/>
      <c r="BP14" s="378"/>
      <c r="BQ14" s="378"/>
      <c r="BR14" s="378"/>
      <c r="BS14" s="378"/>
      <c r="BT14" s="378"/>
      <c r="BU14" s="374"/>
      <c r="BV14" s="374"/>
      <c r="BW14" s="374"/>
      <c r="BX14" s="374"/>
      <c r="BY14" s="374"/>
      <c r="BZ14" s="374"/>
      <c r="CA14" s="374"/>
      <c r="CB14" s="374"/>
      <c r="CC14" s="374"/>
      <c r="CD14" s="374"/>
      <c r="CE14" s="374"/>
      <c r="CF14" s="374"/>
      <c r="CG14" s="203"/>
      <c r="CH14" s="202"/>
      <c r="CI14" s="263"/>
      <c r="CJ14" s="264" t="s">
        <v>12</v>
      </c>
      <c r="CK14" s="241"/>
      <c r="CL14" s="247"/>
      <c r="CM14" s="460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378"/>
      <c r="DJ14" s="378"/>
      <c r="DK14" s="374"/>
      <c r="DL14" s="374"/>
      <c r="DM14" s="374"/>
      <c r="DN14" s="374"/>
      <c r="DO14" s="374"/>
      <c r="DP14" s="375"/>
      <c r="DQ14" s="202"/>
      <c r="DR14" s="202"/>
      <c r="DS14" s="263"/>
      <c r="DT14" s="264" t="s">
        <v>67</v>
      </c>
      <c r="DU14" s="266"/>
      <c r="DV14" s="203"/>
      <c r="DW14" s="460"/>
      <c r="DY14" s="446"/>
      <c r="DZ14" s="208"/>
      <c r="EA14" s="239"/>
      <c r="EB14" s="269" t="s">
        <v>162</v>
      </c>
      <c r="EC14" s="246"/>
      <c r="ED14" s="248"/>
      <c r="EE14" s="446"/>
      <c r="EG14" s="625"/>
      <c r="EH14" s="688" t="str">
        <f>IF(ED15=ED16,"G. 1/16 O",IF(ED15&gt;ED16,EA15,EA16))</f>
        <v>A2</v>
      </c>
      <c r="EI14" s="689"/>
      <c r="EJ14" s="690"/>
      <c r="EK14" s="219">
        <v>2</v>
      </c>
      <c r="EL14" s="813"/>
      <c r="EM14" s="452"/>
      <c r="EN14" s="551" t="s">
        <v>12</v>
      </c>
      <c r="EO14" s="704"/>
      <c r="EP14" s="681" t="str">
        <f>IF(OR(EK21=EK22),"Gagnant 1/8 B",IF(AND(EK21&gt;EK22),EH21,EH22))</f>
        <v>A3</v>
      </c>
      <c r="EQ14" s="682"/>
      <c r="ER14" s="683"/>
      <c r="ES14" s="219">
        <v>0</v>
      </c>
      <c r="EU14" s="201"/>
      <c r="EV14" s="201"/>
      <c r="EW14" s="201"/>
      <c r="EX14" s="202"/>
      <c r="EY14" s="251"/>
      <c r="EZ14" s="144"/>
      <c r="FB14" s="36"/>
    </row>
    <row r="15" spans="1:179" ht="24.95" customHeight="1" thickBot="1">
      <c r="A15" s="464"/>
      <c r="B15" s="464"/>
      <c r="C15" s="895" t="s">
        <v>130</v>
      </c>
      <c r="D15" s="896"/>
      <c r="E15" s="465" t="s">
        <v>35</v>
      </c>
      <c r="F15" s="466" t="s">
        <v>36</v>
      </c>
      <c r="G15" s="465" t="s">
        <v>37</v>
      </c>
      <c r="H15" s="467" t="s">
        <v>38</v>
      </c>
      <c r="I15" s="451" t="s">
        <v>39</v>
      </c>
      <c r="J15" s="468" t="s">
        <v>40</v>
      </c>
      <c r="K15" s="451" t="s">
        <v>41</v>
      </c>
      <c r="L15" s="468" t="s">
        <v>42</v>
      </c>
      <c r="M15" s="451" t="s">
        <v>43</v>
      </c>
      <c r="N15" s="468" t="s">
        <v>44</v>
      </c>
      <c r="O15" s="451" t="s">
        <v>45</v>
      </c>
      <c r="P15" s="468" t="s">
        <v>46</v>
      </c>
      <c r="Q15" s="451" t="s">
        <v>47</v>
      </c>
      <c r="R15" s="468" t="s">
        <v>48</v>
      </c>
      <c r="S15" s="451" t="s">
        <v>49</v>
      </c>
      <c r="T15" s="468" t="s">
        <v>50</v>
      </c>
      <c r="U15" s="451" t="s">
        <v>149</v>
      </c>
      <c r="V15" s="468" t="s">
        <v>150</v>
      </c>
      <c r="W15" s="451" t="s">
        <v>151</v>
      </c>
      <c r="X15" s="468" t="s">
        <v>152</v>
      </c>
      <c r="Y15" s="469"/>
      <c r="BE15" s="613" t="s">
        <v>298</v>
      </c>
      <c r="BF15" s="613"/>
      <c r="BG15" s="613"/>
      <c r="BH15" s="613"/>
      <c r="BI15" s="613"/>
      <c r="BJ15" s="613"/>
      <c r="BK15" s="613"/>
      <c r="BL15" s="613"/>
      <c r="BM15" s="613"/>
      <c r="BN15" s="613"/>
      <c r="BO15" s="613"/>
      <c r="BP15" s="613"/>
      <c r="BQ15" s="613"/>
      <c r="BR15" s="613"/>
      <c r="BS15" s="613"/>
      <c r="BT15" s="613"/>
      <c r="BU15" s="613"/>
      <c r="BV15" s="613"/>
      <c r="BW15" s="613"/>
      <c r="BX15" s="613"/>
      <c r="BY15" s="613"/>
      <c r="BZ15" s="613"/>
      <c r="CA15" s="613"/>
      <c r="CB15" s="613"/>
      <c r="CC15" s="613"/>
      <c r="CD15" s="613"/>
      <c r="CE15" s="613"/>
      <c r="CF15" s="614"/>
      <c r="CG15" s="624">
        <v>2</v>
      </c>
      <c r="CH15" s="455"/>
      <c r="CI15" s="708" t="str">
        <f>+BC24</f>
        <v>A2</v>
      </c>
      <c r="CJ15" s="708"/>
      <c r="CK15" s="709"/>
      <c r="CL15" s="213">
        <v>1</v>
      </c>
      <c r="CM15" s="807" t="str">
        <f>IF($CL15=$CL16,"&amp;",IF($CL15&gt;$CL16,$CI15,$CI16))</f>
        <v>A2</v>
      </c>
      <c r="CO15" s="608" t="s">
        <v>312</v>
      </c>
      <c r="CP15" s="608"/>
      <c r="CQ15" s="608"/>
      <c r="CR15" s="608"/>
      <c r="CS15" s="608"/>
      <c r="CT15" s="608"/>
      <c r="CU15" s="608"/>
      <c r="CV15" s="608"/>
      <c r="CW15" s="608"/>
      <c r="CX15" s="608"/>
      <c r="CY15" s="608"/>
      <c r="CZ15" s="608"/>
      <c r="DA15" s="608"/>
      <c r="DB15" s="608"/>
      <c r="DC15" s="608"/>
      <c r="DD15" s="608"/>
      <c r="DE15" s="608"/>
      <c r="DF15" s="608"/>
      <c r="DG15" s="608"/>
      <c r="DH15" s="608"/>
      <c r="DI15" s="608"/>
      <c r="DJ15" s="608"/>
      <c r="DK15" s="608"/>
      <c r="DL15" s="608"/>
      <c r="DM15" s="608"/>
      <c r="DN15" s="608"/>
      <c r="DO15" s="608"/>
      <c r="DP15" s="609"/>
      <c r="DQ15" s="624">
        <v>18</v>
      </c>
      <c r="DR15" s="455"/>
      <c r="DS15" s="908" t="str">
        <f>BC8</f>
        <v>CQ 4_</v>
      </c>
      <c r="DT15" s="909"/>
      <c r="DU15" s="910"/>
      <c r="DV15" s="233">
        <v>1</v>
      </c>
      <c r="DW15" s="807" t="str">
        <f>IF($DV15=$DV16,"&amp;",IF($DV15&gt;$DV16,$DS15,$DS16))</f>
        <v>CQ 4_</v>
      </c>
      <c r="DY15" s="456" t="s">
        <v>12</v>
      </c>
      <c r="DZ15" s="703">
        <v>2</v>
      </c>
      <c r="EA15" s="764" t="str">
        <f>IF(OR($CL15=$CL16),"G. 1/32 B",IF($CL15&gt;$CL16,$CI15,$CI16))</f>
        <v>A2</v>
      </c>
      <c r="EB15" s="765"/>
      <c r="EC15" s="766"/>
      <c r="ED15" s="213">
        <v>1</v>
      </c>
      <c r="EE15" s="814" t="str">
        <f>IF($ED15=$ED16,"&amp;",IF($ED15&gt;$ED16,$EA15,$EA16))</f>
        <v>A2</v>
      </c>
      <c r="EG15" s="209"/>
      <c r="EH15" s="239"/>
      <c r="EI15" s="239"/>
      <c r="EJ15" s="239"/>
      <c r="EK15" s="208"/>
      <c r="EL15" s="208"/>
      <c r="EM15" s="452"/>
      <c r="EN15" s="453"/>
      <c r="EO15" s="226"/>
      <c r="EP15" s="226"/>
      <c r="EQ15" s="470"/>
      <c r="ER15" s="214"/>
      <c r="ES15" s="243"/>
      <c r="EU15" s="201"/>
      <c r="EV15" s="201"/>
      <c r="EW15" s="201"/>
      <c r="EX15" s="202"/>
      <c r="EY15" s="251"/>
      <c r="EZ15" s="144"/>
      <c r="FB15" s="36"/>
      <c r="FH15" s="471"/>
      <c r="FI15" s="471"/>
      <c r="FJ15" s="471"/>
    </row>
    <row r="16" spans="1:179" ht="24.95" customHeight="1" thickBot="1">
      <c r="A16" s="471"/>
      <c r="B16" s="471"/>
      <c r="C16" s="471"/>
      <c r="D16" s="471"/>
      <c r="E16" s="472"/>
      <c r="F16" s="473"/>
      <c r="G16" s="473"/>
      <c r="H16" s="474"/>
      <c r="I16" s="475"/>
      <c r="J16" s="475"/>
      <c r="K16" s="475"/>
      <c r="L16" s="475"/>
      <c r="M16" s="475"/>
      <c r="N16" s="475">
        <v>4</v>
      </c>
      <c r="O16" s="475"/>
      <c r="P16" s="475"/>
      <c r="Q16" s="475"/>
      <c r="R16" s="475"/>
      <c r="S16" s="471"/>
      <c r="T16" s="475"/>
      <c r="U16" s="475"/>
      <c r="V16" s="475"/>
      <c r="W16" s="475"/>
      <c r="X16" s="475"/>
      <c r="Y16" s="476"/>
      <c r="BE16" s="634" t="s">
        <v>323</v>
      </c>
      <c r="BF16" s="634"/>
      <c r="BG16" s="634"/>
      <c r="BH16" s="634"/>
      <c r="BI16" s="634"/>
      <c r="BJ16" s="634"/>
      <c r="BK16" s="634"/>
      <c r="BL16" s="631" t="s">
        <v>261</v>
      </c>
      <c r="BM16" s="631"/>
      <c r="BN16" s="631"/>
      <c r="BO16" s="631"/>
      <c r="BP16" s="631"/>
      <c r="BQ16" s="631"/>
      <c r="BR16" s="631"/>
      <c r="BS16" s="631"/>
      <c r="BT16" s="631"/>
      <c r="BU16" s="631"/>
      <c r="BV16" s="631"/>
      <c r="BW16" s="631"/>
      <c r="BX16" s="631"/>
      <c r="BY16" s="631"/>
      <c r="BZ16" s="631"/>
      <c r="CA16" s="631"/>
      <c r="CB16" s="631"/>
      <c r="CC16" s="631"/>
      <c r="CD16" s="631"/>
      <c r="CE16" s="631"/>
      <c r="CF16" s="632"/>
      <c r="CG16" s="625"/>
      <c r="CH16" s="458"/>
      <c r="CI16" s="688" t="str">
        <f>IF(OR(AND(J10&lt;740)),"OFFICE",IF(OR(AND(J10&gt;740,J10&lt;810)),BC86,0))</f>
        <v>OFFICE</v>
      </c>
      <c r="CJ16" s="805"/>
      <c r="CK16" s="806"/>
      <c r="CL16" s="218">
        <v>0</v>
      </c>
      <c r="CM16" s="807"/>
      <c r="CO16" s="607" t="s">
        <v>272</v>
      </c>
      <c r="CP16" s="607"/>
      <c r="CQ16" s="607"/>
      <c r="CR16" s="607"/>
      <c r="CS16" s="607"/>
      <c r="CT16" s="607"/>
      <c r="CU16" s="607"/>
      <c r="CV16" s="607"/>
      <c r="CW16" s="607"/>
      <c r="CX16" s="607"/>
      <c r="CY16" s="607"/>
      <c r="CZ16" s="607"/>
      <c r="DA16" s="607"/>
      <c r="DB16" s="607"/>
      <c r="DC16" s="607"/>
      <c r="DD16" s="607"/>
      <c r="DE16" s="607"/>
      <c r="DF16" s="607"/>
      <c r="DG16" s="607"/>
      <c r="DH16" s="607"/>
      <c r="DI16" s="607"/>
      <c r="DJ16" s="607"/>
      <c r="DK16" s="607"/>
      <c r="DL16" s="607"/>
      <c r="DM16" s="607"/>
      <c r="DN16" s="607"/>
      <c r="DO16" s="607"/>
      <c r="DP16" s="604"/>
      <c r="DQ16" s="625"/>
      <c r="DR16" s="458"/>
      <c r="DS16" s="621" t="str">
        <f>BC42</f>
        <v>B6</v>
      </c>
      <c r="DT16" s="622"/>
      <c r="DU16" s="623"/>
      <c r="DV16" s="255">
        <v>0</v>
      </c>
      <c r="DW16" s="807"/>
      <c r="DY16" s="456" t="s">
        <v>67</v>
      </c>
      <c r="DZ16" s="704"/>
      <c r="EA16" s="688" t="str">
        <f>IF(OR(DV15=DV16),"G. 1/32 R",IF(DV15&gt;DV16,DS15,DS16))</f>
        <v>CQ 4_</v>
      </c>
      <c r="EB16" s="689"/>
      <c r="EC16" s="690"/>
      <c r="ED16" s="218">
        <v>0</v>
      </c>
      <c r="EE16" s="814"/>
      <c r="EG16" s="209"/>
      <c r="EH16" s="239"/>
      <c r="EI16" s="239"/>
      <c r="EJ16" s="239"/>
      <c r="EK16" s="208"/>
      <c r="EL16" s="208"/>
      <c r="EM16" s="477"/>
      <c r="EN16" s="478"/>
      <c r="EO16" s="226"/>
      <c r="EP16" s="226"/>
      <c r="EQ16" s="470"/>
      <c r="ER16" s="214"/>
      <c r="ES16" s="243"/>
      <c r="EU16" s="201"/>
      <c r="EV16" s="201"/>
      <c r="EW16" s="201"/>
      <c r="EX16" s="202"/>
      <c r="EY16" s="201"/>
      <c r="EZ16" s="479"/>
      <c r="FB16" s="36"/>
      <c r="FH16" s="480">
        <v>1</v>
      </c>
      <c r="FI16" s="471"/>
      <c r="FJ16" s="911" t="str">
        <f>IF(OR(AND(FK9&gt;0,FK9&lt;9)),IF(FE27&gt;FE28,FB27,FB28),0)</f>
        <v>A5</v>
      </c>
      <c r="FK16" s="912"/>
      <c r="FL16" s="912"/>
      <c r="FM16" s="913"/>
    </row>
    <row r="17" spans="1:169" ht="24.95" customHeight="1" thickBot="1">
      <c r="A17" s="895" t="s">
        <v>243</v>
      </c>
      <c r="B17" s="897"/>
      <c r="C17" s="896"/>
      <c r="D17" s="258">
        <f>SUM(E17+F17+G17+H17+I17+J17+K17+L17+M17+N17+O17+P17+Q17+R17+S17+T17+U17+V17+W17+X17)</f>
        <v>61</v>
      </c>
      <c r="E17" s="290" t="str">
        <f>IF(OR(AND(J10&gt;530,J10&lt;810)),"4","0")</f>
        <v>4</v>
      </c>
      <c r="F17" s="291" t="str">
        <f>IF(OR(AND(J10&gt;530,J10&lt;810)),"4",0)</f>
        <v>4</v>
      </c>
      <c r="G17" s="292" t="str">
        <f>IF(OR(AND(J10&gt;530,J10&lt;810)),"4",0)</f>
        <v>4</v>
      </c>
      <c r="H17" s="293" t="str">
        <f>IF(OR(AND(J10&gt;530,J10&lt;810)),"4","0")</f>
        <v>4</v>
      </c>
      <c r="I17" s="292" t="str">
        <f>IF(OR(AND(J10&gt;530,J10&lt;810)),"4","0")</f>
        <v>4</v>
      </c>
      <c r="J17" s="293" t="str">
        <f>IF(OR(AND(J10&gt;530,J10&lt;810)),"4","0")</f>
        <v>4</v>
      </c>
      <c r="K17" s="294" t="str">
        <f>IF(OR(AND(J10&gt;530,J10&lt;810)),"4","0")</f>
        <v>4</v>
      </c>
      <c r="L17" s="295" t="str">
        <f>IF(OR(AND(J10&gt;530,J10&lt;810)),"4","0")</f>
        <v>4</v>
      </c>
      <c r="M17" s="292" t="str">
        <f>IF(OR(AND(J10&gt;530,J10&lt;810)),"4","0")</f>
        <v>4</v>
      </c>
      <c r="N17" s="295" t="str">
        <f>IF(OR(AND(J10&gt;530,J10&lt;810)),"4","0")</f>
        <v>4</v>
      </c>
      <c r="O17" s="294" t="str">
        <f>IF(OR(AND(J10&gt;530,J10&lt;810)),"4","0")</f>
        <v>4</v>
      </c>
      <c r="P17" s="314">
        <f>IF(OR(AND(J10&gt;530,J10&lt;540)),"3",IF(OR(AND(J10&gt;540,J10&lt;810)),4,"0"))</f>
        <v>4</v>
      </c>
      <c r="Q17" s="315">
        <f>IF(OR(AND(J10&gt;530,J10&lt;550),AND(J10&gt;570,J10&lt;580)),"3",IF(OR(AND(J10&gt;550,J10&lt;570),AND(J10&gt;570,J10&lt;810)),4,"0"))</f>
        <v>4</v>
      </c>
      <c r="R17" s="314">
        <f>IF(OR(AND(J10&gt;530,J10&lt;560),AND(J10&gt;570,J10&lt;590),AND(J10&gt;610,J10&lt;620)),3,IF(OR(AND(J10&gt;560,J10&lt;570),AND(J10&gt;590,J10&lt;610),AND(J10&gt;610,J10&lt;810)),"4","0"))</f>
        <v>3</v>
      </c>
      <c r="S17" s="264" t="str">
        <f>IF(OR(AND(J10&gt;570,J10&lt;600),AND(J10&gt;610,J10&lt;630),AND(J10&gt;650,J10&lt;660)),"3",IF(OR(AND(J10&gt;600,J10&lt;610),AND(J10&gt;630,J10&lt;810)),"4","0"))</f>
        <v>3</v>
      </c>
      <c r="T17" s="316" t="str">
        <f>IF(OR(AND(J10&gt;610,J10&lt;630),AND($J$10&gt;630,$J$10&lt;640),AND($J$10&gt;650,$J$10&lt;670),AND(J10&gt;690,J10&lt;700)),"3",IF(OR(AND($J$10&gt;640,$J$10&lt;650),AND($J$10&gt;670,$J$10&lt;690),AND(J10&gt;700,J10&lt;810)),"4","0"))</f>
        <v>3</v>
      </c>
      <c r="U17" s="316" t="str">
        <f>IF(OR(AND($J$10&gt;650,$J$10&lt;680),AND($J$10&gt;690,$J$10&lt;710),AND($J$10&gt;730,$J$10&lt;740),AND(J10&gt;0,J10&lt;0)),"3",IF(OR(AND($J$10&gt;680,$J$10&lt;690),AND($J$10&gt;710,$J$10&lt;730),AND(J10&gt;730,J10&lt;810)),"4","0"))</f>
        <v>0</v>
      </c>
      <c r="V17" s="316" t="str">
        <f>IF(OR(AND($J$10&gt;690,$J$10&lt;720),AND($J$10&gt;730,$J$10&lt;750),AND($J$10&gt;770,$J$10&lt;780)),"3",IF(OR(AND($J$10&gt;720,$J$10&lt;730),IF(J10&gt;750,J10&lt;770),AND(J10&gt;780,J10&lt;810)),"4","0"))</f>
        <v>0</v>
      </c>
      <c r="W17" s="316" t="str">
        <f>IF(OR(AND($J$10&gt;730,$J$10&lt;760),AND($J$10&gt;770,$J$10&lt;790)),"3",IF(OR(AND($J$10&gt;760,$J$10&lt;770),AND($J$10&gt;789,$J$10&lt;810)),"4","0"))</f>
        <v>0</v>
      </c>
      <c r="X17" s="316" t="str">
        <f>IF(OR(AND($J$10&gt;770,$J$10&lt;800),AND($J$10&gt;0,$J$10&lt;0)),"3",IF(OR(AND($J$10&gt;800,$J$10&lt;810)),"4","0"))</f>
        <v>0</v>
      </c>
      <c r="BE17" s="376"/>
      <c r="BF17" s="376"/>
      <c r="BG17" s="376"/>
      <c r="BH17" s="376"/>
      <c r="BI17" s="376"/>
      <c r="BJ17" s="376"/>
      <c r="BK17" s="376"/>
      <c r="BL17" s="376"/>
      <c r="BM17" s="376"/>
      <c r="BN17" s="376"/>
      <c r="BO17" s="376"/>
      <c r="BP17" s="376"/>
      <c r="BQ17" s="376"/>
      <c r="BR17" s="376"/>
      <c r="BS17" s="376"/>
      <c r="BT17" s="376"/>
      <c r="BU17" s="376"/>
      <c r="BV17" s="376"/>
      <c r="BW17" s="376"/>
      <c r="BX17" s="376"/>
      <c r="BY17" s="376"/>
      <c r="BZ17" s="376"/>
      <c r="CA17" s="376"/>
      <c r="CB17" s="376"/>
      <c r="CC17" s="376"/>
      <c r="CD17" s="376"/>
      <c r="CE17" s="376"/>
      <c r="CF17" s="376"/>
      <c r="CG17" s="101"/>
      <c r="CH17" s="101"/>
      <c r="CI17" s="232"/>
      <c r="CJ17" s="232"/>
      <c r="CK17" s="232"/>
      <c r="CL17" s="247"/>
      <c r="CM17" s="460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376"/>
      <c r="DJ17" s="376"/>
      <c r="DK17" s="376"/>
      <c r="DL17" s="376"/>
      <c r="DM17" s="376"/>
      <c r="DN17" s="376"/>
      <c r="DO17" s="376"/>
      <c r="DP17" s="377"/>
      <c r="DQ17" s="101"/>
      <c r="DR17" s="101"/>
      <c r="DS17" s="129"/>
      <c r="DT17" s="129"/>
      <c r="DU17" s="129"/>
      <c r="DV17" s="247"/>
      <c r="DW17" s="460"/>
      <c r="EA17" s="30"/>
      <c r="EB17" s="30"/>
      <c r="EC17" s="30"/>
      <c r="EG17" s="209"/>
      <c r="EH17" s="239"/>
      <c r="EI17" s="239"/>
      <c r="EJ17" s="239"/>
      <c r="EK17" s="208"/>
      <c r="EL17" s="208"/>
      <c r="EM17" s="481"/>
      <c r="EN17" s="478"/>
      <c r="EO17" s="226"/>
      <c r="EP17" s="226"/>
      <c r="EQ17" s="470"/>
      <c r="ER17" s="214"/>
      <c r="ES17" s="243"/>
      <c r="EU17" s="201" t="s">
        <v>239</v>
      </c>
      <c r="EV17" s="201"/>
      <c r="EW17" s="203" t="s">
        <v>237</v>
      </c>
      <c r="EX17" s="203"/>
      <c r="EY17" s="203" t="s">
        <v>238</v>
      </c>
      <c r="EZ17" s="479"/>
      <c r="FB17" s="36"/>
      <c r="FH17" s="482">
        <v>2</v>
      </c>
      <c r="FI17" s="471"/>
      <c r="FJ17" s="914" t="str">
        <f>IF(OR(AND(FK9&gt;1,FK9&lt;9)),IF(FE27&lt;FE28,FB27,FB28)," ")</f>
        <v>A13</v>
      </c>
      <c r="FK17" s="915"/>
      <c r="FL17" s="915"/>
      <c r="FM17" s="916"/>
    </row>
    <row r="18" spans="1:169" ht="24.95" customHeight="1" thickTop="1" thickBot="1">
      <c r="A18" s="895" t="s">
        <v>80</v>
      </c>
      <c r="B18" s="897"/>
      <c r="C18" s="896"/>
      <c r="D18" s="259">
        <f>SUM(E18+F18+G18+H18+I18+J18+K18+L18+M18+N18+O18+P18+Q18+R18+S18+T18+U18+V18+W18+X18)</f>
        <v>45</v>
      </c>
      <c r="E18" s="297" t="str">
        <f>IF(OR(AND(J10&gt;530,J10&lt;810),AND(J10&gt;0,$J$12&lt;0)),"3","0")</f>
        <v>3</v>
      </c>
      <c r="F18" s="296" t="str">
        <f>IF(OR(AND(J10&gt;530,J10&lt;810),AND(J10&gt;0,J10&lt;0)),"3","0")</f>
        <v>3</v>
      </c>
      <c r="G18" s="297" t="str">
        <f>IF(OR(AND(J10&gt;530,J10&lt;810),AND(J10&gt;0,J10&lt;0)),"3","0")</f>
        <v>3</v>
      </c>
      <c r="H18" s="298" t="str">
        <f>IF(OR(AND(J10&gt;530,J10&lt;810),AND(J10&gt;0,J10&lt;0)),"3","0")</f>
        <v>3</v>
      </c>
      <c r="I18" s="299" t="str">
        <f>IF(OR(AND(J10&gt;530,J10&lt;810),AND(J10&gt;0,J10&lt;0)),"3","0")</f>
        <v>3</v>
      </c>
      <c r="J18" s="300" t="str">
        <f>IF(OR(AND(J10&gt;530,J10&lt;810),AND(J10&gt;0,J10&lt;0)),"3","0")</f>
        <v>3</v>
      </c>
      <c r="K18" s="301" t="str">
        <f>IF(OR(AND(J10&gt;530,J10&lt;810),AND(J10&gt;0,J10&lt;0)),"3","0")</f>
        <v>3</v>
      </c>
      <c r="L18" s="298" t="str">
        <f>IF(OR(AND(J10&gt;530,J10&lt;810),AND(J10&gt;0,J10&lt;0)),"3","0")</f>
        <v>3</v>
      </c>
      <c r="M18" s="299" t="str">
        <f>IF(OR(AND(J10&gt;530,J10&lt;810),AND(J10&gt;0,J10&lt;0)),"3","0")</f>
        <v>3</v>
      </c>
      <c r="N18" s="298" t="str">
        <f>IF(OR(AND(J10&gt;530,J10&lt;810),AND(J10&gt;0,J10&lt;0)),"3","0")</f>
        <v>3</v>
      </c>
      <c r="O18" s="299" t="str">
        <f>IF(OR(AND(J10&gt;530,J10&lt;810),AND(J10&gt;0,J10&lt;0)),"3","0")</f>
        <v>3</v>
      </c>
      <c r="P18" s="317">
        <f>IF(OR(AND(J10&gt;530,J10&lt;540),AND(J10&gt;0,J10&lt;0)),"2",IF(OR(AND(J10&gt;540,J10&lt;810)),3,"0"))</f>
        <v>3</v>
      </c>
      <c r="Q18" s="318">
        <f>IF(OR(AND(J10&gt;530,J10&lt;550),AND(J10&gt;570,J10&lt;580)),"2",IF(OR(AND(J10&gt;550,J10&lt;570),AND(J10&gt;580,J10&lt;810)),3,"0"))</f>
        <v>3</v>
      </c>
      <c r="R18" s="317">
        <f>IF(OR(AND(J10&gt;530,J10&lt;560),AND(J10&gt;570,J10&lt;590),AND(J10&gt;610,J10&lt;620)),2,IF(OR(AND(J10&gt;560,J10&lt;610),AND(J10&gt;619,J10&lt;810)),"3","0"))</f>
        <v>2</v>
      </c>
      <c r="S18" s="297" t="str">
        <f>IF(OR(AND($J$10&gt;570,$J$10&lt;600),AND(J10&gt;610,J10&lt;630),AND(J10&gt;650,J10&lt;660)),"2",IF(OR(AND($J$10&gt;600,$J$10&lt;610),AND(J10&gt;630,J10&lt;810)),"3","0"))</f>
        <v>2</v>
      </c>
      <c r="T18" s="319" t="str">
        <f>IF(OR(AND($J$10&gt;610,$J$10&lt;630),AND(J10&gt;630,J10&lt;640),AND(J10&gt;650,J10&lt;670),AND(J10&gt;690,J10&lt;700)),"2",IF(OR(AND($J$10&gt;640,$J$10&lt;650),AND(J10&gt;670,J10&lt;690),AND(J10&gt;700,J10&lt;810)),"3","0"))</f>
        <v>2</v>
      </c>
      <c r="U18" s="320" t="str">
        <f>IF(OR(AND($J$10&gt;650,$J$10&lt;680),AND($J$10&gt;690,$J$10&lt;710),AND($J$10&gt;730,$J$10&lt;740),AND($J$10&gt;0,$J$10&lt;0),AND($J$10&gt;0,$J$10&lt;0)),"2",IF(OR(AND($J$10&gt;680,$J$10&lt;690),AND(J10&gt;710,J10&lt;730),AND(J10&gt;740,J10&lt;810)),"3","0"))</f>
        <v>0</v>
      </c>
      <c r="V18" s="320" t="str">
        <f>IF(OR(AND($J$10&gt;690,$J$10&lt;720),AND($J$10&gt;730,$J$10&lt;750),AND($J$10&gt;770,$J$10&lt;780),AND($J$10&gt;0,$J$10&lt;0)),"2",IF(OR(AND($J$10&gt;720,$J$10&lt;730),AND($J$10&gt;750,$J$10&lt;770),AND(J10&gt;780,J10&lt;810)),"3","0"))</f>
        <v>0</v>
      </c>
      <c r="W18" s="321" t="str">
        <f>IF(OR(AND($J$10&gt;730,$J$10&lt;760),AND($J$10&gt;770,$J$10&lt;810),AND($J$10&gt;0,$J$10&lt;0),IF(J10&gt;0,J10&lt;0)),"2",IF(OR(AND(J10&gt;760,J10&lt;770),AND($J$10&gt;0,$J$10&lt;0)),"3","0"))</f>
        <v>0</v>
      </c>
      <c r="X18" s="321" t="str">
        <f>IF(OR(AND($J$10&gt;770,$J$10&lt;810),AND($J$10&gt;0,$J$10&lt;0)),"2",IF(OR(AND($J$10&gt;0,$J$10&lt;0)),"3","0"))</f>
        <v>0</v>
      </c>
      <c r="AA18" s="429"/>
      <c r="AB18" s="483"/>
      <c r="AC18" s="483"/>
      <c r="AD18" s="483"/>
      <c r="AE18" s="484" t="s">
        <v>71</v>
      </c>
      <c r="AG18" s="485"/>
      <c r="AH18" s="177"/>
      <c r="AJ18" s="779" t="s">
        <v>224</v>
      </c>
      <c r="AK18" s="780"/>
      <c r="AL18" s="780"/>
      <c r="AM18" s="781"/>
      <c r="AO18" s="782" t="s">
        <v>225</v>
      </c>
      <c r="AP18" s="783"/>
      <c r="AQ18" s="783"/>
      <c r="AR18" s="783"/>
      <c r="AS18" s="784"/>
      <c r="AU18" s="785" t="s">
        <v>232</v>
      </c>
      <c r="AV18" s="786"/>
      <c r="AW18" s="786"/>
      <c r="AX18" s="786"/>
      <c r="AY18" s="787"/>
      <c r="BA18" s="356"/>
      <c r="BC18" s="486" t="s">
        <v>75</v>
      </c>
      <c r="BE18" s="378"/>
      <c r="BF18" s="378"/>
      <c r="BG18" s="378"/>
      <c r="BH18" s="378"/>
      <c r="BI18" s="378"/>
      <c r="BJ18" s="378"/>
      <c r="BK18" s="378"/>
      <c r="BL18" s="378"/>
      <c r="BM18" s="378"/>
      <c r="BN18" s="378"/>
      <c r="BO18" s="378"/>
      <c r="BP18" s="378"/>
      <c r="BQ18" s="378"/>
      <c r="BR18" s="378"/>
      <c r="BS18" s="378"/>
      <c r="BT18" s="378"/>
      <c r="BU18" s="374"/>
      <c r="BV18" s="374"/>
      <c r="BW18" s="374"/>
      <c r="BX18" s="374"/>
      <c r="BY18" s="374"/>
      <c r="BZ18" s="374"/>
      <c r="CA18" s="374"/>
      <c r="CB18" s="374"/>
      <c r="CC18" s="374"/>
      <c r="CD18" s="374"/>
      <c r="CE18" s="374"/>
      <c r="CF18" s="374"/>
      <c r="CG18" s="229"/>
      <c r="CH18" s="229"/>
      <c r="CI18" s="232"/>
      <c r="CJ18" s="264" t="s">
        <v>58</v>
      </c>
      <c r="CK18" s="241"/>
      <c r="CL18" s="203"/>
      <c r="CM18" s="444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378"/>
      <c r="DJ18" s="378"/>
      <c r="DK18" s="374"/>
      <c r="DL18" s="374"/>
      <c r="DM18" s="374"/>
      <c r="DN18" s="374"/>
      <c r="DO18" s="374"/>
      <c r="DP18" s="375"/>
      <c r="DQ18" s="243"/>
      <c r="DR18" s="242"/>
      <c r="DS18" s="268"/>
      <c r="DT18" s="264" t="s">
        <v>68</v>
      </c>
      <c r="DU18" s="241"/>
      <c r="DV18" s="203"/>
      <c r="DW18" s="444"/>
      <c r="DY18" s="446"/>
      <c r="DZ18" s="208"/>
      <c r="EA18" s="270"/>
      <c r="EB18" s="269" t="s">
        <v>65</v>
      </c>
      <c r="EC18" s="241"/>
      <c r="ED18" s="238"/>
      <c r="EE18" s="487"/>
      <c r="EG18" s="209"/>
      <c r="EH18" s="239"/>
      <c r="EI18" s="239"/>
      <c r="EJ18" s="239"/>
      <c r="EK18" s="208"/>
      <c r="EL18" s="208"/>
      <c r="EM18" s="452"/>
      <c r="EN18" s="478"/>
      <c r="EO18" s="226"/>
      <c r="EP18" s="226"/>
      <c r="EQ18" s="470"/>
      <c r="ER18" s="214"/>
      <c r="ES18" s="243"/>
      <c r="EU18" s="703">
        <v>1</v>
      </c>
      <c r="EV18" s="799" t="str">
        <f>IF(ES13=ES14,"G. 1/4 A",IF(ES13&gt;ES14,EP13,EP14))</f>
        <v>A2</v>
      </c>
      <c r="EW18" s="800"/>
      <c r="EX18" s="801"/>
      <c r="EY18" s="212">
        <v>1</v>
      </c>
      <c r="EZ18" s="479"/>
      <c r="FB18" s="36"/>
      <c r="FH18" s="488">
        <v>3</v>
      </c>
      <c r="FI18" s="471"/>
      <c r="FJ18" s="914" t="str">
        <f>IF(OR(AND(FK9&gt;2,FK9&lt;9)),IF(FE52&gt;FE53,FB52,FB53)," ")</f>
        <v>A2</v>
      </c>
      <c r="FK18" s="915"/>
      <c r="FL18" s="915"/>
      <c r="FM18" s="916"/>
    </row>
    <row r="19" spans="1:169" ht="24.95" customHeight="1" thickBot="1">
      <c r="A19" s="489"/>
      <c r="B19" s="489"/>
      <c r="C19" s="490"/>
      <c r="D19" s="491"/>
      <c r="E19" s="464"/>
      <c r="F19" s="471"/>
      <c r="G19" s="471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71"/>
      <c r="S19" s="1"/>
      <c r="T19" s="1"/>
      <c r="U19" s="1"/>
      <c r="V19" s="1"/>
      <c r="W19" s="1"/>
      <c r="X19" s="1"/>
      <c r="AA19" s="493"/>
      <c r="AB19" s="494" t="s">
        <v>66</v>
      </c>
      <c r="AC19" s="495" t="s">
        <v>72</v>
      </c>
      <c r="AD19" s="496" t="s">
        <v>73</v>
      </c>
      <c r="AE19" s="497" t="s">
        <v>125</v>
      </c>
      <c r="AG19" s="498"/>
      <c r="AH19" s="177"/>
      <c r="AI19" s="499" t="s">
        <v>236</v>
      </c>
      <c r="AJ19" s="499" t="s">
        <v>83</v>
      </c>
      <c r="AL19" s="500" t="s">
        <v>237</v>
      </c>
      <c r="AM19" s="500" t="s">
        <v>238</v>
      </c>
      <c r="AN19" s="501"/>
      <c r="AO19" s="200" t="s">
        <v>236</v>
      </c>
      <c r="AP19" s="200" t="s">
        <v>83</v>
      </c>
      <c r="AQ19" s="200"/>
      <c r="AR19" s="502" t="s">
        <v>237</v>
      </c>
      <c r="AS19" s="502" t="s">
        <v>238</v>
      </c>
      <c r="BA19" s="503"/>
      <c r="BB19" s="504"/>
      <c r="BC19" s="505"/>
      <c r="BE19" s="613" t="s">
        <v>299</v>
      </c>
      <c r="BF19" s="613"/>
      <c r="BG19" s="613"/>
      <c r="BH19" s="613"/>
      <c r="BI19" s="613"/>
      <c r="BJ19" s="613"/>
      <c r="BK19" s="613"/>
      <c r="BL19" s="613"/>
      <c r="BM19" s="613"/>
      <c r="BN19" s="613"/>
      <c r="BO19" s="613"/>
      <c r="BP19" s="613"/>
      <c r="BQ19" s="613"/>
      <c r="BR19" s="613"/>
      <c r="BS19" s="613"/>
      <c r="BT19" s="613"/>
      <c r="BU19" s="613"/>
      <c r="BV19" s="613"/>
      <c r="BW19" s="613"/>
      <c r="BX19" s="613"/>
      <c r="BY19" s="613"/>
      <c r="BZ19" s="613"/>
      <c r="CA19" s="613"/>
      <c r="CB19" s="613"/>
      <c r="CC19" s="613"/>
      <c r="CD19" s="613"/>
      <c r="CE19" s="613"/>
      <c r="CF19" s="614"/>
      <c r="CG19" s="624">
        <v>3</v>
      </c>
      <c r="CH19" s="506"/>
      <c r="CI19" s="707" t="str">
        <f>+BC28</f>
        <v>A3</v>
      </c>
      <c r="CJ19" s="708"/>
      <c r="CK19" s="709"/>
      <c r="CL19" s="213">
        <v>1</v>
      </c>
      <c r="CM19" s="811" t="str">
        <f>IF($CL19=$CL20,"&amp;",IF($CL19&gt;$CL20,$CI19,$CI20))</f>
        <v>A3</v>
      </c>
      <c r="CO19" s="610" t="s">
        <v>313</v>
      </c>
      <c r="CP19" s="610"/>
      <c r="CQ19" s="610"/>
      <c r="CR19" s="610"/>
      <c r="CS19" s="610"/>
      <c r="CT19" s="610"/>
      <c r="CU19" s="610"/>
      <c r="CV19" s="610"/>
      <c r="CW19" s="610"/>
      <c r="CX19" s="610"/>
      <c r="CY19" s="610"/>
      <c r="CZ19" s="610"/>
      <c r="DA19" s="610"/>
      <c r="DB19" s="610"/>
      <c r="DC19" s="610"/>
      <c r="DD19" s="610"/>
      <c r="DE19" s="610"/>
      <c r="DF19" s="610"/>
      <c r="DG19" s="610"/>
      <c r="DH19" s="610"/>
      <c r="DI19" s="610"/>
      <c r="DJ19" s="610"/>
      <c r="DK19" s="610"/>
      <c r="DL19" s="610"/>
      <c r="DM19" s="610"/>
      <c r="DN19" s="610"/>
      <c r="DO19" s="610"/>
      <c r="DP19" s="611"/>
      <c r="DQ19" s="624">
        <v>19</v>
      </c>
      <c r="DR19" s="506"/>
      <c r="DS19" s="775" t="str">
        <f>BC73</f>
        <v>C14</v>
      </c>
      <c r="DT19" s="776"/>
      <c r="DU19" s="777"/>
      <c r="DV19" s="213">
        <v>1</v>
      </c>
      <c r="DW19" s="811" t="str">
        <f>IF($DV19=$DV20,"&amp;",IF($DV19&gt;$DV20,$DS19,$DS20))</f>
        <v>C14</v>
      </c>
      <c r="DY19" s="456" t="s">
        <v>58</v>
      </c>
      <c r="DZ19" s="703">
        <v>3</v>
      </c>
      <c r="EA19" s="700" t="str">
        <f>IF(OR($CL19=$CL20),"G. 1/32 C",IF($CL19&gt;$CL20,$CI19,$CI20))</f>
        <v>A3</v>
      </c>
      <c r="EB19" s="701"/>
      <c r="EC19" s="702"/>
      <c r="ED19" s="213">
        <v>1</v>
      </c>
      <c r="EE19" s="812" t="str">
        <f>IF($ED19=$ED20,"&amp;",IF($ED19&gt;$ED20,$EA19,$EA20))</f>
        <v>A3</v>
      </c>
      <c r="EG19" s="209"/>
      <c r="EH19" s="239"/>
      <c r="EI19" s="239"/>
      <c r="EJ19" s="239"/>
      <c r="EK19" s="208"/>
      <c r="EL19" s="208"/>
      <c r="EM19" s="452"/>
      <c r="EN19" s="463"/>
      <c r="EO19" s="243"/>
      <c r="EP19" s="243"/>
      <c r="EQ19" s="243"/>
      <c r="ER19" s="243"/>
      <c r="ES19" s="243"/>
      <c r="EU19" s="704"/>
      <c r="EV19" s="802" t="str">
        <f>IF(ES23=ES24,"résultat",IF(ES23&gt;ES24,EP23,EP24))</f>
        <v>A5</v>
      </c>
      <c r="EW19" s="803"/>
      <c r="EX19" s="804"/>
      <c r="EY19" s="219">
        <v>2</v>
      </c>
      <c r="EZ19" s="479"/>
      <c r="FB19" s="36"/>
      <c r="FH19" s="488">
        <v>4</v>
      </c>
      <c r="FI19" s="471"/>
      <c r="FJ19" s="914" t="str">
        <f>IF(OR(AND(FK9&gt;3,FK9&lt;9)),IF(FE52&lt;FE53,FB52,FB53)," ")</f>
        <v>A9</v>
      </c>
      <c r="FK19" s="915"/>
      <c r="FL19" s="915"/>
      <c r="FM19" s="916"/>
    </row>
    <row r="20" spans="1:169" ht="24.95" customHeight="1" thickTop="1" thickBot="1">
      <c r="A20" s="471"/>
      <c r="B20" s="898" t="s">
        <v>228</v>
      </c>
      <c r="C20" s="898"/>
      <c r="D20" s="898"/>
      <c r="E20" s="898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471"/>
      <c r="T20" s="471"/>
      <c r="U20" s="471"/>
      <c r="V20" s="471"/>
      <c r="W20" s="471"/>
      <c r="X20" s="471"/>
      <c r="AA20" s="507">
        <v>1</v>
      </c>
      <c r="AB20" s="21"/>
      <c r="AC20" s="21" t="s">
        <v>126</v>
      </c>
      <c r="AD20" s="74"/>
      <c r="AE20" s="22">
        <v>1</v>
      </c>
      <c r="AF20" s="462"/>
      <c r="AG20" s="30"/>
      <c r="AH20" s="108">
        <v>1</v>
      </c>
      <c r="AI20" s="862" t="s">
        <v>21</v>
      </c>
      <c r="AJ20" s="865">
        <v>1</v>
      </c>
      <c r="AK20" s="384" t="s">
        <v>11</v>
      </c>
      <c r="AL20" s="75" t="str">
        <f t="shared" ref="AL20:AL64" si="0">IF(ISNA(MATCH(AH20,$AE$20:$AE$99,0)),"",INDEX($AC$20:$AC$99,MATCH(AH20,$AE$20:$AE$99,0)))</f>
        <v>A1</v>
      </c>
      <c r="AM20" s="204">
        <v>1</v>
      </c>
      <c r="AN20" s="508"/>
      <c r="AO20" s="628">
        <v>1</v>
      </c>
      <c r="AP20" s="642">
        <v>4</v>
      </c>
      <c r="AQ20" s="509"/>
      <c r="AR20" s="205" t="str">
        <f>IF(AM20=AM21,"résultat",IF(AM20&gt;AM21,AL20,AL21))</f>
        <v>A1</v>
      </c>
      <c r="AS20" s="204">
        <v>1</v>
      </c>
      <c r="AU20" s="510"/>
      <c r="AV20" s="510"/>
      <c r="AW20" s="510"/>
      <c r="AX20" s="510"/>
      <c r="AY20" s="510"/>
      <c r="AZ20" s="638">
        <v>1</v>
      </c>
      <c r="BA20" s="302">
        <v>1</v>
      </c>
      <c r="BB20" s="305"/>
      <c r="BC20" s="307" t="str">
        <f>IF($AG22+$AG23=43,IF($AS20=$AS21,"résultat",IF($AS20&gt;$AS21,$AR20,$AR21)))</f>
        <v>A1</v>
      </c>
      <c r="BE20" s="634" t="s">
        <v>327</v>
      </c>
      <c r="BF20" s="634"/>
      <c r="BG20" s="634"/>
      <c r="BH20" s="634"/>
      <c r="BI20" s="634"/>
      <c r="BJ20" s="634"/>
      <c r="BK20" s="634"/>
      <c r="BL20" s="634"/>
      <c r="BM20" s="383" t="s">
        <v>326</v>
      </c>
      <c r="BN20" s="631" t="s">
        <v>261</v>
      </c>
      <c r="BO20" s="631"/>
      <c r="BP20" s="631"/>
      <c r="BQ20" s="631"/>
      <c r="BR20" s="631"/>
      <c r="BS20" s="631"/>
      <c r="BT20" s="631"/>
      <c r="BU20" s="631"/>
      <c r="BV20" s="631"/>
      <c r="BW20" s="631"/>
      <c r="BX20" s="631"/>
      <c r="BY20" s="631"/>
      <c r="BZ20" s="631"/>
      <c r="CA20" s="631"/>
      <c r="CB20" s="631"/>
      <c r="CC20" s="631"/>
      <c r="CD20" s="631"/>
      <c r="CE20" s="631"/>
      <c r="CF20" s="632"/>
      <c r="CG20" s="625"/>
      <c r="CH20" s="511"/>
      <c r="CI20" s="658" t="str">
        <f>IF(OR(AND(J10&lt;720)),"OFFICE",IF(OR(AND(J10&gt;720,J10&lt;730)),BC90,IF(OR(AND(J10&gt;730,J10&lt;810)),BC93,0)))</f>
        <v>OFFICE</v>
      </c>
      <c r="CJ20" s="659"/>
      <c r="CK20" s="660"/>
      <c r="CL20" s="218">
        <v>0</v>
      </c>
      <c r="CM20" s="811"/>
      <c r="CO20" s="607" t="s">
        <v>271</v>
      </c>
      <c r="CP20" s="607"/>
      <c r="CQ20" s="607"/>
      <c r="CR20" s="607"/>
      <c r="CS20" s="607"/>
      <c r="CT20" s="607"/>
      <c r="CU20" s="607"/>
      <c r="CV20" s="607"/>
      <c r="CW20" s="607"/>
      <c r="CX20" s="607"/>
      <c r="CY20" s="607"/>
      <c r="CZ20" s="607"/>
      <c r="DA20" s="607"/>
      <c r="DB20" s="607"/>
      <c r="DC20" s="607"/>
      <c r="DD20" s="607"/>
      <c r="DE20" s="607"/>
      <c r="DF20" s="607"/>
      <c r="DG20" s="607"/>
      <c r="DH20" s="607"/>
      <c r="DI20" s="607"/>
      <c r="DJ20" s="607"/>
      <c r="DK20" s="607"/>
      <c r="DL20" s="607"/>
      <c r="DM20" s="607"/>
      <c r="DN20" s="607"/>
      <c r="DO20" s="607"/>
      <c r="DP20" s="604"/>
      <c r="DQ20" s="625"/>
      <c r="DR20" s="511"/>
      <c r="DS20" s="621" t="str">
        <f>BC46</f>
        <v>B7</v>
      </c>
      <c r="DT20" s="622"/>
      <c r="DU20" s="623"/>
      <c r="DV20" s="218">
        <v>0</v>
      </c>
      <c r="DW20" s="811"/>
      <c r="DY20" s="456" t="s">
        <v>68</v>
      </c>
      <c r="DZ20" s="704"/>
      <c r="EA20" s="758" t="str">
        <f>IF(OR(DV19=DV20),"G. 1/32 S",IF(DV19&gt;DV20,DS19,DS20))</f>
        <v>C14</v>
      </c>
      <c r="EB20" s="759"/>
      <c r="EC20" s="760"/>
      <c r="ED20" s="218">
        <v>0</v>
      </c>
      <c r="EE20" s="812"/>
      <c r="EG20" s="209"/>
      <c r="EH20" s="239"/>
      <c r="EI20" s="240" t="s">
        <v>12</v>
      </c>
      <c r="EJ20" s="246"/>
      <c r="EM20" s="452"/>
      <c r="EN20" s="453"/>
      <c r="EO20" s="208"/>
      <c r="EP20" s="512"/>
      <c r="EQ20" s="512"/>
      <c r="ER20" s="238"/>
      <c r="ES20" s="208"/>
      <c r="EU20" s="226"/>
      <c r="EV20" s="470"/>
      <c r="EW20" s="470"/>
      <c r="EX20" s="470"/>
      <c r="EY20" s="243"/>
      <c r="EZ20" s="479"/>
      <c r="FB20" s="36"/>
      <c r="FH20" s="488">
        <v>5</v>
      </c>
      <c r="FI20" s="471"/>
      <c r="FJ20" s="914" t="str">
        <f>IF(OR(AND(FK9&gt;4,FK9&lt;9)),IF(FE60&gt;FE61,FB60,FB61)," ")</f>
        <v xml:space="preserve"> </v>
      </c>
      <c r="FK20" s="915"/>
      <c r="FL20" s="915"/>
      <c r="FM20" s="916"/>
    </row>
    <row r="21" spans="1:169" ht="24.95" customHeight="1" thickBot="1"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AA21" s="513">
        <v>2</v>
      </c>
      <c r="AB21" s="23"/>
      <c r="AC21" s="23" t="s">
        <v>127</v>
      </c>
      <c r="AD21" s="76"/>
      <c r="AE21" s="24">
        <v>2</v>
      </c>
      <c r="AF21" s="462"/>
      <c r="AG21" s="30"/>
      <c r="AH21" s="109">
        <v>2</v>
      </c>
      <c r="AI21" s="863"/>
      <c r="AJ21" s="866"/>
      <c r="AK21" s="77" t="s">
        <v>12</v>
      </c>
      <c r="AL21" s="78" t="str">
        <f t="shared" si="0"/>
        <v>B1</v>
      </c>
      <c r="AM21" s="210">
        <v>0</v>
      </c>
      <c r="AN21" s="508"/>
      <c r="AO21" s="629"/>
      <c r="AP21" s="643"/>
      <c r="AQ21" s="514"/>
      <c r="AR21" s="206" t="str">
        <f>IF(AM22=AM23,"résultat",IF(AM22&gt;AM23,AL22,AL23))</f>
        <v>C1</v>
      </c>
      <c r="AS21" s="210">
        <v>0</v>
      </c>
      <c r="AU21" s="510"/>
      <c r="AV21" s="510"/>
      <c r="AW21" s="510"/>
      <c r="AX21" s="510"/>
      <c r="AY21" s="510"/>
      <c r="AZ21" s="639"/>
      <c r="BA21" s="303">
        <v>2</v>
      </c>
      <c r="BB21" s="306"/>
      <c r="BC21" s="308" t="str">
        <f>IF($AG22+$AG23=43,IF($AS20=$AS21,"résultat",IF($AS20&lt;$AS21,$AR20,$AR21)))</f>
        <v>C1</v>
      </c>
      <c r="BE21" s="376"/>
      <c r="BF21" s="376"/>
      <c r="BG21" s="376"/>
      <c r="BH21" s="376"/>
      <c r="BI21" s="376"/>
      <c r="BJ21" s="376"/>
      <c r="BK21" s="376"/>
      <c r="BL21" s="376"/>
      <c r="BM21" s="376"/>
      <c r="BN21" s="376"/>
      <c r="BO21" s="376"/>
      <c r="BP21" s="376"/>
      <c r="BQ21" s="376"/>
      <c r="BR21" s="376"/>
      <c r="BS21" s="376"/>
      <c r="BT21" s="376"/>
      <c r="BU21" s="376"/>
      <c r="BV21" s="376"/>
      <c r="BW21" s="376"/>
      <c r="BX21" s="376"/>
      <c r="BY21" s="376"/>
      <c r="BZ21" s="376"/>
      <c r="CA21" s="376"/>
      <c r="CB21" s="376"/>
      <c r="CC21" s="376"/>
      <c r="CD21" s="376"/>
      <c r="CE21" s="376"/>
      <c r="CF21" s="376"/>
      <c r="CG21" s="229"/>
      <c r="CH21" s="229"/>
      <c r="CI21" s="232"/>
      <c r="CJ21" s="246"/>
      <c r="CK21" s="246"/>
      <c r="CL21" s="247"/>
      <c r="CM21" s="460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376"/>
      <c r="DJ21" s="376"/>
      <c r="DK21" s="376"/>
      <c r="DL21" s="376"/>
      <c r="DM21" s="376"/>
      <c r="DN21" s="376"/>
      <c r="DO21" s="376"/>
      <c r="DP21" s="377"/>
      <c r="DQ21" s="101"/>
      <c r="DR21" s="101"/>
      <c r="DS21" s="129"/>
      <c r="DT21" s="129"/>
      <c r="DU21" s="246"/>
      <c r="DV21" s="248"/>
      <c r="DW21" s="515"/>
      <c r="DY21" s="446"/>
      <c r="DZ21" s="226"/>
      <c r="EA21" s="245"/>
      <c r="EB21" s="227"/>
      <c r="EC21" s="227"/>
      <c r="ED21" s="242"/>
      <c r="EE21" s="450"/>
      <c r="EG21" s="624">
        <v>2</v>
      </c>
      <c r="EH21" s="700" t="str">
        <f>IF(ED19=ED20,"G.1/16 N",IF(ED19&gt;ED20,EA19,EA20))</f>
        <v>A3</v>
      </c>
      <c r="EI21" s="701"/>
      <c r="EJ21" s="702"/>
      <c r="EK21" s="212">
        <v>1</v>
      </c>
      <c r="EL21" s="814" t="str">
        <f>IF(EK21=EK22,"&amp;",IF(EK21&gt;EK22,EH21,EH22))</f>
        <v>A3</v>
      </c>
      <c r="EM21" s="481"/>
      <c r="EN21" s="453"/>
      <c r="EO21" s="208"/>
      <c r="EP21" s="512"/>
      <c r="EQ21" s="512"/>
      <c r="ER21" s="238"/>
      <c r="ES21" s="208"/>
      <c r="EU21" s="226"/>
      <c r="EV21" s="470"/>
      <c r="EW21" s="470"/>
      <c r="EX21" s="470"/>
      <c r="EY21" s="243"/>
      <c r="EZ21" s="479"/>
      <c r="FB21" s="36"/>
      <c r="FH21" s="488">
        <v>6</v>
      </c>
      <c r="FI21" s="471"/>
      <c r="FJ21" s="914" t="str">
        <f>IF(OR(AND(FK9&gt;5,FK9&lt;9)),IF(FE60&lt;FE61,FB60,FB61)," ")</f>
        <v xml:space="preserve"> </v>
      </c>
      <c r="FK21" s="915"/>
      <c r="FL21" s="915"/>
      <c r="FM21" s="916"/>
    </row>
    <row r="22" spans="1:169" ht="24.95" customHeight="1" thickTop="1" thickBot="1">
      <c r="AA22" s="513">
        <v>3</v>
      </c>
      <c r="AB22" s="23"/>
      <c r="AC22" s="23" t="s">
        <v>128</v>
      </c>
      <c r="AD22" s="76"/>
      <c r="AE22" s="24">
        <v>3</v>
      </c>
      <c r="AF22" s="462"/>
      <c r="AG22" s="260" t="str">
        <f>CONCATENATE(E17,E18)</f>
        <v>43</v>
      </c>
      <c r="AH22" s="109">
        <v>3</v>
      </c>
      <c r="AI22" s="863"/>
      <c r="AJ22" s="865">
        <v>2</v>
      </c>
      <c r="AK22" s="384" t="s">
        <v>58</v>
      </c>
      <c r="AL22" s="79" t="str">
        <f t="shared" si="0"/>
        <v>C1</v>
      </c>
      <c r="AM22" s="215">
        <v>1</v>
      </c>
      <c r="AN22" s="508"/>
      <c r="AO22" s="629"/>
      <c r="AP22" s="641">
        <v>5</v>
      </c>
      <c r="AQ22" s="516"/>
      <c r="AR22" s="216" t="str">
        <f>IF(AM20=AM21,"résultat",IF(AM20&lt;AM21,AL20,AL21))</f>
        <v>B1</v>
      </c>
      <c r="AS22" s="215">
        <v>1</v>
      </c>
      <c r="AU22" s="510"/>
      <c r="AV22" s="510"/>
      <c r="AW22" s="510"/>
      <c r="AX22" s="510"/>
      <c r="AY22" s="510"/>
      <c r="AZ22" s="639"/>
      <c r="BA22" s="304">
        <v>3</v>
      </c>
      <c r="BB22" s="306"/>
      <c r="BC22" s="579" t="str">
        <f>IF($AG22+$AG23=43,IF($AS22=$AS23,"résultat",IF($AS22&gt;$AS23,$AR22,$AR23)))</f>
        <v>B1</v>
      </c>
      <c r="BE22" s="378"/>
      <c r="BF22" s="378"/>
      <c r="BG22" s="378"/>
      <c r="BH22" s="378"/>
      <c r="BI22" s="378"/>
      <c r="BJ22" s="378"/>
      <c r="BK22" s="378"/>
      <c r="BL22" s="378"/>
      <c r="BM22" s="378"/>
      <c r="BN22" s="378"/>
      <c r="BO22" s="378"/>
      <c r="BP22" s="378"/>
      <c r="BQ22" s="378"/>
      <c r="BR22" s="378"/>
      <c r="BS22" s="378"/>
      <c r="BT22" s="378"/>
      <c r="BU22" s="374"/>
      <c r="BV22" s="374"/>
      <c r="BW22" s="374"/>
      <c r="BX22" s="374"/>
      <c r="BY22" s="374"/>
      <c r="BZ22" s="374"/>
      <c r="CA22" s="374"/>
      <c r="CB22" s="374"/>
      <c r="CC22" s="374"/>
      <c r="CD22" s="374"/>
      <c r="CE22" s="374"/>
      <c r="CF22" s="374"/>
      <c r="CG22" s="202"/>
      <c r="CH22" s="229"/>
      <c r="CI22" s="263"/>
      <c r="CJ22" s="264" t="s">
        <v>51</v>
      </c>
      <c r="CK22" s="241"/>
      <c r="CL22" s="247"/>
      <c r="CM22" s="460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378"/>
      <c r="DJ22" s="378"/>
      <c r="DK22" s="374"/>
      <c r="DL22" s="374"/>
      <c r="DM22" s="374"/>
      <c r="DN22" s="374"/>
      <c r="DO22" s="374"/>
      <c r="DP22" s="375"/>
      <c r="DQ22" s="202"/>
      <c r="DR22" s="202"/>
      <c r="DS22" s="263"/>
      <c r="DT22" s="264" t="s">
        <v>69</v>
      </c>
      <c r="DU22" s="266"/>
      <c r="DV22" s="203"/>
      <c r="DW22" s="460"/>
      <c r="DY22" s="446"/>
      <c r="DZ22" s="208"/>
      <c r="EA22" s="239"/>
      <c r="EB22" s="269" t="s">
        <v>64</v>
      </c>
      <c r="EC22" s="241"/>
      <c r="ED22" s="238"/>
      <c r="EE22" s="487"/>
      <c r="EG22" s="625"/>
      <c r="EH22" s="837" t="str">
        <f>IF(ED23=ED24,"G. 1/16 M",IF(ED23&gt;ED24,EA23,EA24))</f>
        <v>A4</v>
      </c>
      <c r="EI22" s="838"/>
      <c r="EJ22" s="839"/>
      <c r="EK22" s="219">
        <v>0</v>
      </c>
      <c r="EL22" s="814"/>
      <c r="EM22" s="452"/>
      <c r="EN22" s="453"/>
      <c r="EO22" s="208"/>
      <c r="EP22" s="512"/>
      <c r="EQ22" s="451" t="s">
        <v>12</v>
      </c>
      <c r="ER22" s="306"/>
      <c r="ES22" s="208"/>
      <c r="EU22" s="226"/>
      <c r="EV22" s="470"/>
      <c r="EW22" s="470"/>
      <c r="EX22" s="470"/>
      <c r="EY22" s="243"/>
      <c r="EZ22" s="479"/>
      <c r="FB22" s="36"/>
      <c r="FH22" s="488">
        <v>7</v>
      </c>
      <c r="FI22" s="471"/>
      <c r="FJ22" s="914" t="str">
        <f>IF(OR(AND(FK9&gt;6,FK9&lt;9)),IF(FE66&gt;FE67,FB66,FB67)," ")</f>
        <v xml:space="preserve"> </v>
      </c>
      <c r="FK22" s="915"/>
      <c r="FL22" s="915"/>
      <c r="FM22" s="916"/>
    </row>
    <row r="23" spans="1:169" ht="24.95" customHeight="1" thickBot="1">
      <c r="AA23" s="513">
        <v>4</v>
      </c>
      <c r="AB23" s="23"/>
      <c r="AC23" s="23" t="s">
        <v>129</v>
      </c>
      <c r="AD23" s="76"/>
      <c r="AE23" s="24">
        <v>4</v>
      </c>
      <c r="AF23" s="462"/>
      <c r="AG23" s="231"/>
      <c r="AH23" s="234">
        <v>4</v>
      </c>
      <c r="AI23" s="864"/>
      <c r="AJ23" s="866"/>
      <c r="AK23" s="77" t="s">
        <v>51</v>
      </c>
      <c r="AL23" s="78" t="str">
        <f t="shared" si="0"/>
        <v>D1</v>
      </c>
      <c r="AM23" s="220">
        <v>0</v>
      </c>
      <c r="AN23" s="517"/>
      <c r="AO23" s="630"/>
      <c r="AP23" s="637"/>
      <c r="AQ23" s="518"/>
      <c r="AR23" s="221" t="str">
        <f>IF(AM22=AM23,"résultat",IF(AM22&lt;AM23,AL22,AL23))</f>
        <v>D1</v>
      </c>
      <c r="AS23" s="220">
        <v>0</v>
      </c>
      <c r="AU23" s="510"/>
      <c r="AV23" s="510"/>
      <c r="AW23" s="510"/>
      <c r="AX23" s="510"/>
      <c r="AY23" s="510"/>
      <c r="AZ23" s="640"/>
      <c r="BA23" s="519"/>
      <c r="BB23" s="520"/>
      <c r="BC23" s="280"/>
      <c r="BE23" s="613" t="s">
        <v>300</v>
      </c>
      <c r="BF23" s="613"/>
      <c r="BG23" s="613"/>
      <c r="BH23" s="613"/>
      <c r="BI23" s="613"/>
      <c r="BJ23" s="613"/>
      <c r="BK23" s="613"/>
      <c r="BL23" s="613"/>
      <c r="BM23" s="613"/>
      <c r="BN23" s="613"/>
      <c r="BO23" s="613"/>
      <c r="BP23" s="613"/>
      <c r="BQ23" s="613"/>
      <c r="BR23" s="613"/>
      <c r="BS23" s="613"/>
      <c r="BT23" s="613"/>
      <c r="BU23" s="613"/>
      <c r="BV23" s="613"/>
      <c r="BW23" s="613"/>
      <c r="BX23" s="613"/>
      <c r="BY23" s="613"/>
      <c r="BZ23" s="613"/>
      <c r="CA23" s="613"/>
      <c r="CB23" s="613"/>
      <c r="CC23" s="613"/>
      <c r="CD23" s="613"/>
      <c r="CE23" s="613"/>
      <c r="CF23" s="614"/>
      <c r="CG23" s="624">
        <v>4</v>
      </c>
      <c r="CH23" s="521"/>
      <c r="CI23" s="707" t="str">
        <f>+BC32</f>
        <v>A4</v>
      </c>
      <c r="CJ23" s="708"/>
      <c r="CK23" s="709"/>
      <c r="CL23" s="213">
        <v>1</v>
      </c>
      <c r="CM23" s="684" t="str">
        <f>IF($CL23=$CL24,"&amp;",IF($CL23&gt;$CL24,$CI23,$CI24))</f>
        <v>A4</v>
      </c>
      <c r="CO23" s="610" t="s">
        <v>260</v>
      </c>
      <c r="CP23" s="610"/>
      <c r="CQ23" s="610"/>
      <c r="CR23" s="610"/>
      <c r="CS23" s="610"/>
      <c r="CT23" s="610"/>
      <c r="CU23" s="610"/>
      <c r="CV23" s="610"/>
      <c r="CW23" s="610"/>
      <c r="CX23" s="610"/>
      <c r="CY23" s="610"/>
      <c r="CZ23" s="610"/>
      <c r="DA23" s="610"/>
      <c r="DB23" s="610"/>
      <c r="DC23" s="610"/>
      <c r="DD23" s="610"/>
      <c r="DE23" s="610"/>
      <c r="DF23" s="610"/>
      <c r="DG23" s="610"/>
      <c r="DH23" s="610"/>
      <c r="DI23" s="610"/>
      <c r="DJ23" s="610"/>
      <c r="DK23" s="610"/>
      <c r="DL23" s="610"/>
      <c r="DM23" s="610"/>
      <c r="DN23" s="610"/>
      <c r="DO23" s="610"/>
      <c r="DP23" s="611"/>
      <c r="DQ23" s="624">
        <v>20</v>
      </c>
      <c r="DR23" s="455"/>
      <c r="DS23" s="775" t="str">
        <f>+BC69</f>
        <v>C13</v>
      </c>
      <c r="DT23" s="776"/>
      <c r="DU23" s="778"/>
      <c r="DV23" s="233">
        <v>1</v>
      </c>
      <c r="DW23" s="684" t="str">
        <f>IF($DV23=$DV24,"&amp;",IF($DV23&gt;$DV24,$DS23,$DS24))</f>
        <v>C13</v>
      </c>
      <c r="DY23" s="456" t="s">
        <v>51</v>
      </c>
      <c r="DZ23" s="703">
        <v>4</v>
      </c>
      <c r="EA23" s="738" t="str">
        <f>IF(OR($CL23=$CL24),"G. 1/32 D",IF($CL23&gt;$CL24,$CI23,$CI24))</f>
        <v>A4</v>
      </c>
      <c r="EB23" s="739"/>
      <c r="EC23" s="740"/>
      <c r="ED23" s="213">
        <v>1</v>
      </c>
      <c r="EE23" s="791" t="str">
        <f>IF($ED23=$ED24,"&amp;",IF($ED23&gt;$ED24,$EA23,$EA24))</f>
        <v>A4</v>
      </c>
      <c r="EG23" s="254"/>
      <c r="EH23" s="245"/>
      <c r="EI23" s="245"/>
      <c r="EJ23" s="227"/>
      <c r="EK23" s="214"/>
      <c r="EL23" s="214"/>
      <c r="EM23" s="452"/>
      <c r="EN23" s="551" t="s">
        <v>58</v>
      </c>
      <c r="EO23" s="703">
        <v>7</v>
      </c>
      <c r="EP23" s="796" t="str">
        <f>IF(OR(EK29=EK30),"Gagnant 1/8 C",IF(AND(EK29&gt;EK30),EH29,EH30))</f>
        <v>A5</v>
      </c>
      <c r="EQ23" s="797"/>
      <c r="ER23" s="798"/>
      <c r="ES23" s="212">
        <v>1</v>
      </c>
      <c r="EU23" s="226"/>
      <c r="EV23" s="470"/>
      <c r="EW23" s="470"/>
      <c r="EX23" s="470"/>
      <c r="EY23" s="243"/>
      <c r="EZ23" s="479"/>
      <c r="FB23" s="36"/>
      <c r="FH23" s="522">
        <v>8</v>
      </c>
      <c r="FI23" s="471"/>
      <c r="FJ23" s="917" t="str">
        <f>IF(OR(AND(FK9&gt;7,FK9&lt;9)),IF(FE66&lt;FE67,FB66,FB67)," ")</f>
        <v xml:space="preserve"> </v>
      </c>
      <c r="FK23" s="918"/>
      <c r="FL23" s="918"/>
      <c r="FM23" s="919"/>
    </row>
    <row r="24" spans="1:169" ht="24.95" customHeight="1" thickTop="1" thickBot="1">
      <c r="Z24" s="433"/>
      <c r="AA24" s="513">
        <v>5</v>
      </c>
      <c r="AB24" s="23"/>
      <c r="AC24" s="23" t="s">
        <v>84</v>
      </c>
      <c r="AD24" s="35"/>
      <c r="AE24" s="24">
        <v>5</v>
      </c>
      <c r="AF24" s="462"/>
      <c r="AG24" s="231"/>
      <c r="AH24" s="235">
        <v>5</v>
      </c>
      <c r="AI24" s="862" t="s">
        <v>22</v>
      </c>
      <c r="AJ24" s="865">
        <v>3</v>
      </c>
      <c r="AK24" s="384" t="s">
        <v>11</v>
      </c>
      <c r="AL24" s="79" t="str">
        <f t="shared" si="0"/>
        <v>A2</v>
      </c>
      <c r="AM24" s="204">
        <v>1</v>
      </c>
      <c r="AN24" s="508"/>
      <c r="AO24" s="628">
        <v>2</v>
      </c>
      <c r="AP24" s="642">
        <v>6</v>
      </c>
      <c r="AQ24" s="509"/>
      <c r="AR24" s="205" t="str">
        <f>IF(AM24=AM25,"résultat",IF(AM24&gt;AM25,AL24,AL25))</f>
        <v>A2</v>
      </c>
      <c r="AS24" s="223">
        <v>1</v>
      </c>
      <c r="AU24" s="510"/>
      <c r="AV24" s="510"/>
      <c r="AW24" s="510"/>
      <c r="AX24" s="510"/>
      <c r="AY24" s="510"/>
      <c r="AZ24" s="638">
        <v>2</v>
      </c>
      <c r="BA24" s="302">
        <v>1</v>
      </c>
      <c r="BB24" s="305"/>
      <c r="BC24" s="309" t="str">
        <f>IF($AG26+$AG27=43,IF($AS24=$AS25,"résultat",IF($AS24&gt;$AS25,$AR24,$AR25)))</f>
        <v>A2</v>
      </c>
      <c r="BE24" s="635" t="s">
        <v>320</v>
      </c>
      <c r="BF24" s="635"/>
      <c r="BG24" s="635"/>
      <c r="BH24" s="635"/>
      <c r="BI24" s="635"/>
      <c r="BJ24" s="635"/>
      <c r="BK24" s="635"/>
      <c r="BL24" s="635"/>
      <c r="BM24" s="635"/>
      <c r="BN24" s="635"/>
      <c r="BO24" s="635"/>
      <c r="BP24" s="631" t="s">
        <v>261</v>
      </c>
      <c r="BQ24" s="631"/>
      <c r="BR24" s="631"/>
      <c r="BS24" s="631"/>
      <c r="BT24" s="631"/>
      <c r="BU24" s="631"/>
      <c r="BV24" s="631"/>
      <c r="BW24" s="631"/>
      <c r="BX24" s="631"/>
      <c r="BY24" s="631"/>
      <c r="BZ24" s="631"/>
      <c r="CA24" s="631"/>
      <c r="CB24" s="631"/>
      <c r="CC24" s="631"/>
      <c r="CD24" s="631"/>
      <c r="CE24" s="631"/>
      <c r="CF24" s="632"/>
      <c r="CG24" s="625"/>
      <c r="CH24" s="523"/>
      <c r="CI24" s="658" t="str">
        <f>IF(OR(AND(J10&lt;700)),"OFFICE",IF(OR(AND(J10&gt;700,J10&lt;810)),BC82,IF(OR(AND(J10&gt;0,J10&lt;0)),0,0)))</f>
        <v>OFFICE</v>
      </c>
      <c r="CJ24" s="662"/>
      <c r="CK24" s="663"/>
      <c r="CL24" s="218">
        <v>0</v>
      </c>
      <c r="CM24" s="684"/>
      <c r="CO24" s="607" t="s">
        <v>270</v>
      </c>
      <c r="CP24" s="607"/>
      <c r="CQ24" s="607"/>
      <c r="CR24" s="607"/>
      <c r="CS24" s="607"/>
      <c r="CT24" s="607"/>
      <c r="CU24" s="607"/>
      <c r="CV24" s="607"/>
      <c r="CW24" s="607"/>
      <c r="CX24" s="607"/>
      <c r="CY24" s="607"/>
      <c r="CZ24" s="607"/>
      <c r="DA24" s="607"/>
      <c r="DB24" s="607"/>
      <c r="DC24" s="607"/>
      <c r="DD24" s="607"/>
      <c r="DE24" s="607"/>
      <c r="DF24" s="607"/>
      <c r="DG24" s="607"/>
      <c r="DH24" s="607"/>
      <c r="DI24" s="607"/>
      <c r="DJ24" s="607"/>
      <c r="DK24" s="607"/>
      <c r="DL24" s="607"/>
      <c r="DM24" s="607"/>
      <c r="DN24" s="607"/>
      <c r="DO24" s="607"/>
      <c r="DP24" s="604"/>
      <c r="DQ24" s="625"/>
      <c r="DR24" s="458"/>
      <c r="DS24" s="621" t="str">
        <f>BC50</f>
        <v>B8</v>
      </c>
      <c r="DT24" s="622"/>
      <c r="DU24" s="623"/>
      <c r="DV24" s="255">
        <v>0</v>
      </c>
      <c r="DW24" s="684"/>
      <c r="DY24" s="456" t="s">
        <v>69</v>
      </c>
      <c r="DZ24" s="704"/>
      <c r="EA24" s="713" t="str">
        <f>IF(OR(DV23=DV24),"G. 1/32 T",IF(DV23&gt;DV24,DS23,DS24))</f>
        <v>C13</v>
      </c>
      <c r="EB24" s="714"/>
      <c r="EC24" s="715"/>
      <c r="ED24" s="218">
        <v>0</v>
      </c>
      <c r="EE24" s="791"/>
      <c r="EG24" s="254"/>
      <c r="EH24" s="245"/>
      <c r="EI24" s="245"/>
      <c r="EJ24" s="227"/>
      <c r="EK24" s="214"/>
      <c r="EL24" s="214"/>
      <c r="EM24" s="452"/>
      <c r="EN24" s="551" t="s">
        <v>51</v>
      </c>
      <c r="EO24" s="704"/>
      <c r="EP24" s="681" t="str">
        <f>IF(OR(EK37=EK38),"Gagnant 1/8 D",IF(AND(EK37&gt;EK38),EH37,EH38))</f>
        <v>C10</v>
      </c>
      <c r="EQ24" s="682"/>
      <c r="ER24" s="683"/>
      <c r="ES24" s="219">
        <v>0</v>
      </c>
      <c r="EU24" s="226"/>
      <c r="EV24" s="470"/>
      <c r="EW24" s="470"/>
      <c r="EX24" s="470"/>
      <c r="EY24" s="243"/>
      <c r="EZ24" s="479"/>
      <c r="FB24" s="36"/>
    </row>
    <row r="25" spans="1:169" ht="24.95" customHeight="1" thickBot="1">
      <c r="Z25" s="469"/>
      <c r="AA25" s="513">
        <v>6</v>
      </c>
      <c r="AB25" s="23"/>
      <c r="AC25" s="23" t="s">
        <v>88</v>
      </c>
      <c r="AD25" s="35"/>
      <c r="AE25" s="24">
        <v>6</v>
      </c>
      <c r="AF25" s="462"/>
      <c r="AG25" s="231"/>
      <c r="AH25" s="236">
        <v>6</v>
      </c>
      <c r="AI25" s="863"/>
      <c r="AJ25" s="866"/>
      <c r="AK25" s="77" t="s">
        <v>12</v>
      </c>
      <c r="AL25" s="80" t="str">
        <f t="shared" si="0"/>
        <v>B2</v>
      </c>
      <c r="AM25" s="210">
        <v>0</v>
      </c>
      <c r="AN25" s="508"/>
      <c r="AO25" s="629"/>
      <c r="AP25" s="643"/>
      <c r="AQ25" s="514"/>
      <c r="AR25" s="206" t="str">
        <f>IF(AM26=AM27,"résultat",IF(AM26&gt;AM27,AL26,AL27))</f>
        <v>C2</v>
      </c>
      <c r="AS25" s="210">
        <v>0</v>
      </c>
      <c r="AT25" s="501"/>
      <c r="AU25" s="510"/>
      <c r="AV25" s="510"/>
      <c r="AW25" s="510"/>
      <c r="AX25" s="510"/>
      <c r="AY25" s="510"/>
      <c r="AZ25" s="639"/>
      <c r="BA25" s="303">
        <v>2</v>
      </c>
      <c r="BB25" s="306"/>
      <c r="BC25" s="308" t="str">
        <f>IF($AG26+$AG27=43,IF($AS24=$AS25,"résultat",IF($AS24&lt;$AS25,$AR24,$AR25)))</f>
        <v>C2</v>
      </c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0"/>
      <c r="BV25" s="280"/>
      <c r="BW25" s="280"/>
      <c r="BX25" s="280"/>
      <c r="BY25" s="376"/>
      <c r="BZ25" s="376"/>
      <c r="CA25" s="376"/>
      <c r="CB25" s="376"/>
      <c r="CC25" s="376"/>
      <c r="CD25" s="376"/>
      <c r="CE25" s="376"/>
      <c r="CF25" s="376"/>
      <c r="CG25" s="214"/>
      <c r="CH25" s="214"/>
      <c r="CI25" s="227"/>
      <c r="CJ25" s="227"/>
      <c r="CK25" s="227"/>
      <c r="CL25" s="242"/>
      <c r="CM25" s="450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376"/>
      <c r="DJ25" s="376"/>
      <c r="DK25" s="376"/>
      <c r="DL25" s="376"/>
      <c r="DM25" s="376"/>
      <c r="DN25" s="376"/>
      <c r="DO25" s="376"/>
      <c r="DP25" s="377"/>
      <c r="DQ25" s="242"/>
      <c r="DR25" s="242"/>
      <c r="DS25" s="268"/>
      <c r="DT25" s="268"/>
      <c r="DU25" s="268"/>
      <c r="DV25" s="242"/>
      <c r="DW25" s="450"/>
      <c r="DY25" s="446"/>
      <c r="DZ25" s="226"/>
      <c r="EA25" s="245"/>
      <c r="EB25" s="227"/>
      <c r="EC25" s="227"/>
      <c r="ED25" s="242"/>
      <c r="EE25" s="450"/>
      <c r="EG25" s="254"/>
      <c r="EH25" s="245"/>
      <c r="EI25" s="245"/>
      <c r="EJ25" s="227"/>
      <c r="EK25" s="214"/>
      <c r="EL25" s="214"/>
      <c r="EM25" s="481"/>
      <c r="EN25" s="453"/>
      <c r="EO25" s="208"/>
      <c r="EP25" s="512"/>
      <c r="EQ25" s="512"/>
      <c r="ER25" s="238"/>
      <c r="ES25" s="208"/>
      <c r="EU25" s="226"/>
      <c r="EV25" s="470"/>
      <c r="EW25" s="470"/>
      <c r="EX25" s="470"/>
      <c r="EY25" s="243"/>
      <c r="EZ25" s="479"/>
      <c r="FB25" s="36"/>
      <c r="FD25" s="101"/>
    </row>
    <row r="26" spans="1:169" ht="24.95" customHeight="1" thickBot="1">
      <c r="Z26" s="476"/>
      <c r="AA26" s="513">
        <v>7</v>
      </c>
      <c r="AB26" s="23"/>
      <c r="AC26" s="23" t="s">
        <v>89</v>
      </c>
      <c r="AD26" s="35"/>
      <c r="AE26" s="24">
        <v>7</v>
      </c>
      <c r="AF26" s="462"/>
      <c r="AG26" s="260" t="str">
        <f>CONCATENATE(F17,F18)</f>
        <v>43</v>
      </c>
      <c r="AH26" s="237">
        <v>7</v>
      </c>
      <c r="AI26" s="863"/>
      <c r="AJ26" s="865">
        <v>4</v>
      </c>
      <c r="AK26" s="384" t="s">
        <v>58</v>
      </c>
      <c r="AL26" s="75" t="str">
        <f t="shared" si="0"/>
        <v>C2</v>
      </c>
      <c r="AM26" s="215">
        <v>1</v>
      </c>
      <c r="AN26" s="508"/>
      <c r="AO26" s="629"/>
      <c r="AP26" s="641">
        <v>7</v>
      </c>
      <c r="AQ26" s="516"/>
      <c r="AR26" s="216" t="str">
        <f>IF(AM24=AM25,"résultat",IF(AM24&lt;AM25,AL24,AL25))</f>
        <v>B2</v>
      </c>
      <c r="AS26" s="215">
        <v>1</v>
      </c>
      <c r="AU26" s="510"/>
      <c r="AV26" s="510"/>
      <c r="AW26" s="510"/>
      <c r="AX26" s="510"/>
      <c r="AY26" s="510"/>
      <c r="AZ26" s="639"/>
      <c r="BA26" s="304">
        <v>3</v>
      </c>
      <c r="BB26" s="306"/>
      <c r="BC26" s="579" t="str">
        <f>IF($AG26+$AG27=43,IF($AS26=$AS27,"résultat",IF($AS26&gt;$AS27,$AR26,$AR27)))</f>
        <v>B2</v>
      </c>
      <c r="BE26" s="313"/>
      <c r="BF26" s="313"/>
      <c r="BG26" s="313"/>
      <c r="BH26" s="313"/>
      <c r="BI26" s="313"/>
      <c r="BJ26" s="313"/>
      <c r="BK26" s="313"/>
      <c r="BL26" s="313"/>
      <c r="BM26" s="313"/>
      <c r="BN26" s="313"/>
      <c r="BO26" s="313"/>
      <c r="BP26" s="313"/>
      <c r="BQ26" s="313"/>
      <c r="BR26" s="313"/>
      <c r="BS26" s="313"/>
      <c r="BT26" s="313"/>
      <c r="BU26" s="365"/>
      <c r="BV26" s="365"/>
      <c r="BW26" s="365"/>
      <c r="BX26" s="365"/>
      <c r="BY26" s="374"/>
      <c r="BZ26" s="374"/>
      <c r="CA26" s="374"/>
      <c r="CB26" s="374"/>
      <c r="CC26" s="374"/>
      <c r="CD26" s="374"/>
      <c r="CE26" s="374"/>
      <c r="CF26" s="374"/>
      <c r="CG26" s="229"/>
      <c r="CH26" s="229"/>
      <c r="CI26" s="232"/>
      <c r="CJ26" s="264" t="s">
        <v>52</v>
      </c>
      <c r="CK26" s="241"/>
      <c r="CL26" s="203"/>
      <c r="CM26" s="444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378"/>
      <c r="DJ26" s="378"/>
      <c r="DK26" s="374"/>
      <c r="DL26" s="374"/>
      <c r="DM26" s="374"/>
      <c r="DN26" s="374"/>
      <c r="DO26" s="374"/>
      <c r="DP26" s="379"/>
      <c r="DQ26" s="229"/>
      <c r="DR26" s="229"/>
      <c r="DS26" s="232"/>
      <c r="DT26" s="264" t="s">
        <v>158</v>
      </c>
      <c r="DU26" s="241"/>
      <c r="DV26" s="203"/>
      <c r="DW26" s="449"/>
      <c r="DY26" s="446"/>
      <c r="DZ26" s="208"/>
      <c r="EA26" s="239"/>
      <c r="EB26" s="269" t="s">
        <v>63</v>
      </c>
      <c r="EC26" s="241"/>
      <c r="ED26" s="238"/>
      <c r="EE26" s="487"/>
      <c r="EG26" s="254"/>
      <c r="EH26" s="245"/>
      <c r="EI26" s="245"/>
      <c r="EJ26" s="227"/>
      <c r="EK26" s="214"/>
      <c r="EL26" s="214"/>
      <c r="EM26" s="452"/>
      <c r="EN26" s="453"/>
      <c r="EO26" s="208"/>
      <c r="EP26" s="512"/>
      <c r="EQ26" s="512"/>
      <c r="ER26" s="238"/>
      <c r="ES26" s="208"/>
      <c r="EU26" s="226"/>
      <c r="EV26" s="470"/>
      <c r="EW26" s="470"/>
      <c r="EX26" s="470"/>
      <c r="EY26" s="243"/>
      <c r="EZ26" s="479"/>
      <c r="FA26" s="201" t="s">
        <v>239</v>
      </c>
      <c r="FB26" s="201"/>
      <c r="FC26" s="203" t="s">
        <v>237</v>
      </c>
      <c r="FD26" s="203"/>
      <c r="FE26" s="203" t="s">
        <v>238</v>
      </c>
    </row>
    <row r="27" spans="1:169" ht="24.95" customHeight="1" thickBot="1">
      <c r="AA27" s="513">
        <v>8</v>
      </c>
      <c r="AB27" s="23"/>
      <c r="AC27" s="23" t="s">
        <v>90</v>
      </c>
      <c r="AD27" s="35"/>
      <c r="AE27" s="24">
        <v>8</v>
      </c>
      <c r="AF27" s="462"/>
      <c r="AG27" s="231"/>
      <c r="AH27" s="191">
        <v>8</v>
      </c>
      <c r="AI27" s="864"/>
      <c r="AJ27" s="866"/>
      <c r="AK27" s="77" t="s">
        <v>51</v>
      </c>
      <c r="AL27" s="78" t="str">
        <f t="shared" si="0"/>
        <v>D2</v>
      </c>
      <c r="AM27" s="220">
        <v>0</v>
      </c>
      <c r="AN27" s="517"/>
      <c r="AO27" s="630"/>
      <c r="AP27" s="637"/>
      <c r="AQ27" s="518"/>
      <c r="AR27" s="221" t="str">
        <f>IF(AM26=AM27,"résultat",IF(AM26&lt;AM27,AL26,AL27))</f>
        <v>D2</v>
      </c>
      <c r="AS27" s="220">
        <v>0</v>
      </c>
      <c r="AU27" s="510"/>
      <c r="AV27" s="510"/>
      <c r="AW27" s="510"/>
      <c r="AX27" s="510"/>
      <c r="AY27" s="510"/>
      <c r="AZ27" s="640"/>
      <c r="BA27" s="200"/>
      <c r="BB27" s="524"/>
      <c r="BC27" s="280"/>
      <c r="BE27" s="613" t="s">
        <v>301</v>
      </c>
      <c r="BF27" s="613"/>
      <c r="BG27" s="613"/>
      <c r="BH27" s="613"/>
      <c r="BI27" s="613"/>
      <c r="BJ27" s="613"/>
      <c r="BK27" s="613"/>
      <c r="BL27" s="613"/>
      <c r="BM27" s="613"/>
      <c r="BN27" s="613"/>
      <c r="BO27" s="613"/>
      <c r="BP27" s="613"/>
      <c r="BQ27" s="613"/>
      <c r="BR27" s="613"/>
      <c r="BS27" s="613"/>
      <c r="BT27" s="613"/>
      <c r="BU27" s="613"/>
      <c r="BV27" s="613"/>
      <c r="BW27" s="613"/>
      <c r="BX27" s="613"/>
      <c r="BY27" s="613"/>
      <c r="BZ27" s="613"/>
      <c r="CA27" s="613"/>
      <c r="CB27" s="613"/>
      <c r="CC27" s="613"/>
      <c r="CD27" s="613"/>
      <c r="CE27" s="613"/>
      <c r="CF27" s="614"/>
      <c r="CG27" s="624">
        <v>5</v>
      </c>
      <c r="CH27" s="506"/>
      <c r="CI27" s="707" t="str">
        <f>+BC36</f>
        <v>A5</v>
      </c>
      <c r="CJ27" s="708"/>
      <c r="CK27" s="709"/>
      <c r="CL27" s="213">
        <v>1</v>
      </c>
      <c r="CM27" s="657" t="str">
        <f>IF($CL27=$CL28,"&amp;",IF($CL27&gt;$CL28,$CI27,$CI28))</f>
        <v>A5</v>
      </c>
      <c r="CO27" s="610" t="s">
        <v>259</v>
      </c>
      <c r="CP27" s="610"/>
      <c r="CQ27" s="610"/>
      <c r="CR27" s="610"/>
      <c r="CS27" s="610"/>
      <c r="CT27" s="610"/>
      <c r="CU27" s="610"/>
      <c r="CV27" s="610"/>
      <c r="CW27" s="610"/>
      <c r="CX27" s="610"/>
      <c r="CY27" s="610"/>
      <c r="CZ27" s="610"/>
      <c r="DA27" s="610"/>
      <c r="DB27" s="610"/>
      <c r="DC27" s="610"/>
      <c r="DD27" s="610"/>
      <c r="DE27" s="610"/>
      <c r="DF27" s="610"/>
      <c r="DG27" s="610"/>
      <c r="DH27" s="610"/>
      <c r="DI27" s="610"/>
      <c r="DJ27" s="610"/>
      <c r="DK27" s="610"/>
      <c r="DL27" s="610"/>
      <c r="DM27" s="610"/>
      <c r="DN27" s="610"/>
      <c r="DO27" s="610"/>
      <c r="DP27" s="611"/>
      <c r="DQ27" s="624">
        <v>21</v>
      </c>
      <c r="DR27" s="506"/>
      <c r="DS27" s="775" t="str">
        <f>+BC65</f>
        <v>C12</v>
      </c>
      <c r="DT27" s="776"/>
      <c r="DU27" s="777"/>
      <c r="DV27" s="213">
        <v>1</v>
      </c>
      <c r="DW27" s="657" t="str">
        <f>IF($DV27=$DV28,"&amp;",IF($DV27&gt;$DV28,$DS27,$DS28))</f>
        <v>C12</v>
      </c>
      <c r="DY27" s="456" t="s">
        <v>52</v>
      </c>
      <c r="DZ27" s="703">
        <v>5</v>
      </c>
      <c r="EA27" s="741" t="str">
        <f>IF(OR($CL27=$CL28),"G. 1/32 E",IF($CL27&gt;$CL28,$CI27,$CI28))</f>
        <v>A5</v>
      </c>
      <c r="EB27" s="742"/>
      <c r="EC27" s="743"/>
      <c r="ED27" s="213">
        <v>1</v>
      </c>
      <c r="EE27" s="815" t="str">
        <f>IF($ED27=$ED28,"&amp;",IF($ED27&gt;$ED28,$EA27,$EA28))</f>
        <v>A5</v>
      </c>
      <c r="EG27" s="254"/>
      <c r="EH27" s="245"/>
      <c r="EI27" s="245"/>
      <c r="EJ27" s="227"/>
      <c r="EK27" s="214"/>
      <c r="EL27" s="214"/>
      <c r="EM27" s="452"/>
      <c r="EN27" s="463"/>
      <c r="EO27" s="208"/>
      <c r="EP27" s="512"/>
      <c r="EQ27" s="512"/>
      <c r="ER27" s="238"/>
      <c r="ES27" s="208"/>
      <c r="EU27" s="226"/>
      <c r="EV27" s="470"/>
      <c r="EW27" s="470"/>
      <c r="EX27" s="470"/>
      <c r="EY27" s="243"/>
      <c r="EZ27" s="144"/>
      <c r="FA27" s="703">
        <v>1</v>
      </c>
      <c r="FB27" s="849" t="str">
        <f>IF(EY18=EY19,"G. 1/2 F. A",IF(EY18&gt;EY19,EV18,EV19))</f>
        <v>A5</v>
      </c>
      <c r="FC27" s="850"/>
      <c r="FD27" s="851"/>
      <c r="FE27" s="212">
        <v>1</v>
      </c>
    </row>
    <row r="28" spans="1:169" ht="24.95" customHeight="1" thickTop="1" thickBot="1">
      <c r="A28" s="412" t="s">
        <v>364</v>
      </c>
      <c r="B28" s="412"/>
      <c r="C28" s="412"/>
      <c r="D28" s="412"/>
      <c r="E28" s="412"/>
      <c r="AA28" s="513">
        <v>9</v>
      </c>
      <c r="AB28" s="23"/>
      <c r="AC28" s="23" t="s">
        <v>85</v>
      </c>
      <c r="AD28" s="35"/>
      <c r="AE28" s="24">
        <v>9</v>
      </c>
      <c r="AF28" s="462"/>
      <c r="AG28" s="231"/>
      <c r="AH28" s="114">
        <v>9</v>
      </c>
      <c r="AI28" s="862" t="s">
        <v>14</v>
      </c>
      <c r="AJ28" s="865">
        <v>5</v>
      </c>
      <c r="AK28" s="384" t="s">
        <v>11</v>
      </c>
      <c r="AL28" s="81" t="str">
        <f t="shared" si="0"/>
        <v>A3</v>
      </c>
      <c r="AM28" s="204">
        <v>1</v>
      </c>
      <c r="AN28" s="508"/>
      <c r="AO28" s="628">
        <v>3</v>
      </c>
      <c r="AP28" s="642">
        <v>8</v>
      </c>
      <c r="AQ28" s="509"/>
      <c r="AR28" s="205" t="str">
        <f>IF(AM28=AM29,"résultat",IF(AM28&gt;AM29,AL28,AL29))</f>
        <v>A3</v>
      </c>
      <c r="AS28" s="223">
        <v>1</v>
      </c>
      <c r="AU28" s="510"/>
      <c r="AV28" s="510"/>
      <c r="AW28" s="510"/>
      <c r="AX28" s="510"/>
      <c r="AY28" s="510"/>
      <c r="AZ28" s="638">
        <v>3</v>
      </c>
      <c r="BA28" s="302">
        <v>1</v>
      </c>
      <c r="BB28" s="305"/>
      <c r="BC28" s="309" t="str">
        <f>IF($AG30+$AG31=43,IF($AS28=$AS29,"résultat",IF($AS28&gt;$AS29,$AR28,$AR29)))</f>
        <v>A3</v>
      </c>
      <c r="BE28" s="603" t="s">
        <v>280</v>
      </c>
      <c r="BF28" s="603"/>
      <c r="BG28" s="603"/>
      <c r="BH28" s="603"/>
      <c r="BI28" s="603"/>
      <c r="BJ28" s="603"/>
      <c r="BK28" s="603"/>
      <c r="BL28" s="603"/>
      <c r="BM28" s="603"/>
      <c r="BN28" s="603"/>
      <c r="BO28" s="603"/>
      <c r="BP28" s="603"/>
      <c r="BQ28" s="603"/>
      <c r="BR28" s="603"/>
      <c r="BS28" s="631" t="s">
        <v>261</v>
      </c>
      <c r="BT28" s="631"/>
      <c r="BU28" s="631"/>
      <c r="BV28" s="631"/>
      <c r="BW28" s="631"/>
      <c r="BX28" s="631"/>
      <c r="BY28" s="631"/>
      <c r="BZ28" s="631"/>
      <c r="CA28" s="631"/>
      <c r="CB28" s="631"/>
      <c r="CC28" s="631"/>
      <c r="CD28" s="631"/>
      <c r="CE28" s="631"/>
      <c r="CF28" s="632"/>
      <c r="CG28" s="625"/>
      <c r="CH28" s="511"/>
      <c r="CI28" s="658" t="str">
        <f>IF(OR(AND(J10&lt;670)),"OFFICE",IF(OR(AND(J10&gt;670,J10&lt;810)),BC70,IF(OR(AND(J10&gt;0,J10&lt;0)),0,0)))</f>
        <v>OFFICE</v>
      </c>
      <c r="CJ28" s="659"/>
      <c r="CK28" s="660"/>
      <c r="CL28" s="255">
        <v>0</v>
      </c>
      <c r="CM28" s="657"/>
      <c r="CO28" s="607" t="s">
        <v>269</v>
      </c>
      <c r="CP28" s="607"/>
      <c r="CQ28" s="607"/>
      <c r="CR28" s="607"/>
      <c r="CS28" s="607"/>
      <c r="CT28" s="607"/>
      <c r="CU28" s="607"/>
      <c r="CV28" s="607"/>
      <c r="CW28" s="607"/>
      <c r="CX28" s="607"/>
      <c r="CY28" s="607"/>
      <c r="CZ28" s="607"/>
      <c r="DA28" s="607"/>
      <c r="DB28" s="607"/>
      <c r="DC28" s="607"/>
      <c r="DD28" s="607"/>
      <c r="DE28" s="607"/>
      <c r="DF28" s="607"/>
      <c r="DG28" s="607"/>
      <c r="DH28" s="607"/>
      <c r="DI28" s="607"/>
      <c r="DJ28" s="607"/>
      <c r="DK28" s="607"/>
      <c r="DL28" s="607"/>
      <c r="DM28" s="607"/>
      <c r="DN28" s="607"/>
      <c r="DO28" s="607"/>
      <c r="DP28" s="604"/>
      <c r="DQ28" s="625"/>
      <c r="DR28" s="511"/>
      <c r="DS28" s="621" t="str">
        <f>BC54</f>
        <v>B9</v>
      </c>
      <c r="DT28" s="622"/>
      <c r="DU28" s="623"/>
      <c r="DV28" s="218">
        <v>0</v>
      </c>
      <c r="DW28" s="657"/>
      <c r="DY28" s="456" t="s">
        <v>158</v>
      </c>
      <c r="DZ28" s="704"/>
      <c r="EA28" s="761" t="str">
        <f>IF(OR(DV27=DV28),"G. 1/32 U",IF(DV27&gt;DV28,DS27,DS28))</f>
        <v>C12</v>
      </c>
      <c r="EB28" s="762"/>
      <c r="EC28" s="763"/>
      <c r="ED28" s="218">
        <v>0</v>
      </c>
      <c r="EE28" s="815"/>
      <c r="EG28" s="209"/>
      <c r="EH28" s="239"/>
      <c r="EI28" s="240" t="s">
        <v>58</v>
      </c>
      <c r="EJ28" s="241"/>
      <c r="EK28" s="208"/>
      <c r="EL28" s="208"/>
      <c r="EM28" s="452"/>
      <c r="EN28" s="453"/>
      <c r="EO28" s="208"/>
      <c r="EP28" s="512"/>
      <c r="EQ28" s="512"/>
      <c r="ER28" s="238"/>
      <c r="ES28" s="208"/>
      <c r="EU28" s="226"/>
      <c r="EV28" s="470"/>
      <c r="EW28" s="470"/>
      <c r="EX28" s="470"/>
      <c r="EY28" s="243"/>
      <c r="EZ28" s="144"/>
      <c r="FA28" s="704"/>
      <c r="FB28" s="846" t="str">
        <f>IF(EY37=EY38,"G. 1/2 F. B",IF(EY37&gt;EY38,EV37,EV38))</f>
        <v>A13</v>
      </c>
      <c r="FC28" s="847"/>
      <c r="FD28" s="848"/>
      <c r="FE28" s="219">
        <v>0</v>
      </c>
      <c r="FG28" s="251"/>
    </row>
    <row r="29" spans="1:169" ht="24.95" customHeight="1" thickBot="1">
      <c r="A29" s="412"/>
      <c r="B29" s="412" t="s">
        <v>363</v>
      </c>
      <c r="C29" s="412"/>
      <c r="D29" s="412"/>
      <c r="E29" s="412"/>
      <c r="AA29" s="513">
        <v>10</v>
      </c>
      <c r="AB29" s="23"/>
      <c r="AC29" s="23" t="s">
        <v>91</v>
      </c>
      <c r="AD29" s="35"/>
      <c r="AE29" s="24">
        <v>10</v>
      </c>
      <c r="AF29" s="462"/>
      <c r="AG29" s="231"/>
      <c r="AH29" s="110">
        <v>10</v>
      </c>
      <c r="AI29" s="863"/>
      <c r="AJ29" s="866"/>
      <c r="AK29" s="77" t="s">
        <v>12</v>
      </c>
      <c r="AL29" s="80" t="str">
        <f t="shared" si="0"/>
        <v>B3</v>
      </c>
      <c r="AM29" s="210">
        <v>0</v>
      </c>
      <c r="AN29" s="508"/>
      <c r="AO29" s="629"/>
      <c r="AP29" s="643"/>
      <c r="AQ29" s="514"/>
      <c r="AR29" s="206" t="str">
        <f>IF(AM30=AM31,"résultat",IF(AM30&gt;AM31,AL30,AL31))</f>
        <v>C3</v>
      </c>
      <c r="AS29" s="210">
        <v>0</v>
      </c>
      <c r="AT29" s="525"/>
      <c r="AU29" s="510"/>
      <c r="AV29" s="510"/>
      <c r="AW29" s="510"/>
      <c r="AX29" s="510"/>
      <c r="AY29" s="510"/>
      <c r="AZ29" s="639"/>
      <c r="BA29" s="303">
        <v>2</v>
      </c>
      <c r="BB29" s="306"/>
      <c r="BC29" s="308" t="str">
        <f>IF($AG30+$AG31=43,IF($AS28=$AS29,"résultat",IF($AS28&lt;$AS29,$AR28,$AR29)))</f>
        <v>C3</v>
      </c>
      <c r="BE29" s="376"/>
      <c r="BF29" s="376"/>
      <c r="BG29" s="376"/>
      <c r="BH29" s="376"/>
      <c r="BI29" s="376"/>
      <c r="BJ29" s="376"/>
      <c r="BK29" s="376"/>
      <c r="BL29" s="376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6"/>
      <c r="CC29" s="376"/>
      <c r="CD29" s="376"/>
      <c r="CE29" s="376"/>
      <c r="CF29" s="376"/>
      <c r="CG29" s="214"/>
      <c r="CH29" s="214"/>
      <c r="CI29" s="227"/>
      <c r="CJ29" s="246"/>
      <c r="CK29" s="246"/>
      <c r="CL29" s="242"/>
      <c r="CM29" s="450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376"/>
      <c r="DJ29" s="376"/>
      <c r="DK29" s="376"/>
      <c r="DL29" s="376"/>
      <c r="DM29" s="376"/>
      <c r="DN29" s="376"/>
      <c r="DO29" s="376"/>
      <c r="DP29" s="377"/>
      <c r="DQ29" s="214"/>
      <c r="DR29" s="214"/>
      <c r="DS29" s="227"/>
      <c r="DT29" s="246"/>
      <c r="DU29" s="246"/>
      <c r="DV29" s="242"/>
      <c r="DW29" s="460"/>
      <c r="DY29" s="446"/>
      <c r="DZ29" s="226"/>
      <c r="EA29" s="245"/>
      <c r="EB29" s="227"/>
      <c r="EC29" s="227"/>
      <c r="ED29" s="242"/>
      <c r="EE29" s="450"/>
      <c r="EG29" s="624">
        <v>3</v>
      </c>
      <c r="EH29" s="741" t="str">
        <f>IF(ED27=ED28,"G. 1/16 L",IF(ED27&gt;ED28,EA27,EA28))</f>
        <v>A5</v>
      </c>
      <c r="EI29" s="742"/>
      <c r="EJ29" s="743"/>
      <c r="EK29" s="212">
        <v>1</v>
      </c>
      <c r="EL29" s="812" t="str">
        <f>IF(EK29=EK30,"&amp;",IF(EK29&gt;EK30,EH29,EH30))</f>
        <v>A5</v>
      </c>
      <c r="EM29" s="481"/>
      <c r="EN29" s="453"/>
      <c r="EO29" s="208"/>
      <c r="EP29" s="512"/>
      <c r="EQ29" s="512"/>
      <c r="ER29" s="238"/>
      <c r="ES29" s="208"/>
      <c r="EU29" s="226"/>
      <c r="EV29" s="470"/>
      <c r="EW29" s="470"/>
      <c r="EX29" s="470"/>
      <c r="EY29" s="243"/>
      <c r="EZ29" s="144"/>
      <c r="FB29" s="36"/>
      <c r="FD29" s="101"/>
      <c r="FG29" s="526"/>
    </row>
    <row r="30" spans="1:169" ht="24.95" customHeight="1" thickBot="1">
      <c r="A30" s="412"/>
      <c r="B30" s="412" t="s">
        <v>229</v>
      </c>
      <c r="C30" s="412"/>
      <c r="D30" s="412"/>
      <c r="E30" s="412"/>
      <c r="AA30" s="513">
        <v>11</v>
      </c>
      <c r="AB30" s="23"/>
      <c r="AC30" s="23" t="s">
        <v>92</v>
      </c>
      <c r="AD30" s="253"/>
      <c r="AE30" s="24">
        <v>11</v>
      </c>
      <c r="AF30" s="462"/>
      <c r="AG30" s="260" t="str">
        <f>CONCATENATE(G17,G18)</f>
        <v>43</v>
      </c>
      <c r="AH30" s="115">
        <v>11</v>
      </c>
      <c r="AI30" s="863"/>
      <c r="AJ30" s="865">
        <v>6</v>
      </c>
      <c r="AK30" s="384" t="s">
        <v>58</v>
      </c>
      <c r="AL30" s="75" t="str">
        <f t="shared" si="0"/>
        <v>C3</v>
      </c>
      <c r="AM30" s="215">
        <v>1</v>
      </c>
      <c r="AN30" s="508"/>
      <c r="AO30" s="629"/>
      <c r="AP30" s="641">
        <v>9</v>
      </c>
      <c r="AQ30" s="527"/>
      <c r="AR30" s="216" t="str">
        <f>IF(AM28=AM29,"résultat",IF(AM28&lt;AM29,AL28,AL29))</f>
        <v>B3</v>
      </c>
      <c r="AS30" s="215">
        <v>1</v>
      </c>
      <c r="AU30" s="510"/>
      <c r="AV30" s="510"/>
      <c r="AW30" s="510"/>
      <c r="AX30" s="510"/>
      <c r="AY30" s="510"/>
      <c r="AZ30" s="639"/>
      <c r="BA30" s="304">
        <v>3</v>
      </c>
      <c r="BB30" s="306"/>
      <c r="BC30" s="579" t="str">
        <f>IF($AG30+$AG31=43,IF($AS30=$AS31,"résultat",IF($AS30&gt;$AS31,$AR30,$AR31)))</f>
        <v>B3</v>
      </c>
      <c r="BE30" s="378"/>
      <c r="BF30" s="378"/>
      <c r="BG30" s="378"/>
      <c r="BH30" s="378"/>
      <c r="BI30" s="378"/>
      <c r="BJ30" s="378"/>
      <c r="BK30" s="378"/>
      <c r="BL30" s="378"/>
      <c r="BM30" s="378"/>
      <c r="BN30" s="378"/>
      <c r="BO30" s="378"/>
      <c r="BP30" s="378"/>
      <c r="BQ30" s="378"/>
      <c r="BR30" s="378"/>
      <c r="BS30" s="378"/>
      <c r="BT30" s="378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202"/>
      <c r="CH30" s="229"/>
      <c r="CI30" s="263"/>
      <c r="CJ30" s="264" t="s">
        <v>59</v>
      </c>
      <c r="CK30" s="241"/>
      <c r="CL30" s="247"/>
      <c r="CM30" s="460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378"/>
      <c r="DJ30" s="378"/>
      <c r="DK30" s="374"/>
      <c r="DL30" s="374"/>
      <c r="DM30" s="374"/>
      <c r="DN30" s="374"/>
      <c r="DO30" s="374"/>
      <c r="DP30" s="379"/>
      <c r="DQ30" s="202"/>
      <c r="DR30" s="229"/>
      <c r="DS30" s="263"/>
      <c r="DT30" s="264" t="s">
        <v>159</v>
      </c>
      <c r="DU30" s="241"/>
      <c r="DV30" s="247"/>
      <c r="DW30" s="460"/>
      <c r="DY30" s="446"/>
      <c r="DZ30" s="208"/>
      <c r="EA30" s="239"/>
      <c r="EB30" s="269" t="s">
        <v>62</v>
      </c>
      <c r="EC30" s="241"/>
      <c r="ED30" s="238"/>
      <c r="EE30" s="487"/>
      <c r="EG30" s="625"/>
      <c r="EH30" s="905" t="str">
        <f>IF(ED31=ED32,"G. 1/16 K",IF(ED31&gt;ED32,EA31,EA32))</f>
        <v>A6</v>
      </c>
      <c r="EI30" s="906"/>
      <c r="EJ30" s="907"/>
      <c r="EK30" s="219">
        <v>0</v>
      </c>
      <c r="EL30" s="812"/>
      <c r="EM30" s="452"/>
      <c r="EN30" s="453"/>
      <c r="EO30" s="208"/>
      <c r="EP30" s="512"/>
      <c r="EQ30" s="512"/>
      <c r="ER30" s="238"/>
      <c r="ES30" s="208"/>
      <c r="EU30" s="226"/>
      <c r="EV30" s="470"/>
      <c r="EW30" s="470"/>
      <c r="EX30" s="470"/>
      <c r="EY30" s="243"/>
      <c r="EZ30" s="144"/>
      <c r="FB30" s="36"/>
      <c r="FD30" s="101"/>
      <c r="FF30" s="251"/>
      <c r="FG30" s="526"/>
    </row>
    <row r="31" spans="1:169" ht="24.95" customHeight="1" thickBot="1">
      <c r="A31" s="412"/>
      <c r="C31" s="412"/>
      <c r="D31" s="412"/>
      <c r="E31" s="412"/>
      <c r="AA31" s="513">
        <v>12</v>
      </c>
      <c r="AB31" s="23"/>
      <c r="AC31" s="23" t="s">
        <v>93</v>
      </c>
      <c r="AD31" s="35"/>
      <c r="AE31" s="24">
        <v>12</v>
      </c>
      <c r="AF31" s="462"/>
      <c r="AG31" s="231"/>
      <c r="AH31" s="112">
        <v>12</v>
      </c>
      <c r="AI31" s="864"/>
      <c r="AJ31" s="866"/>
      <c r="AK31" s="77" t="s">
        <v>51</v>
      </c>
      <c r="AL31" s="78" t="str">
        <f t="shared" si="0"/>
        <v>D3</v>
      </c>
      <c r="AM31" s="220">
        <v>0</v>
      </c>
      <c r="AN31" s="517"/>
      <c r="AO31" s="630"/>
      <c r="AP31" s="637"/>
      <c r="AQ31" s="528"/>
      <c r="AR31" s="221" t="str">
        <f>IF(AM30=AM31,"résultat",IF(AM30&lt;AM31,AL30,AL31))</f>
        <v>D3</v>
      </c>
      <c r="AS31" s="220">
        <v>0</v>
      </c>
      <c r="AU31" s="510"/>
      <c r="AV31" s="510"/>
      <c r="AW31" s="510"/>
      <c r="AX31" s="510"/>
      <c r="AY31" s="510"/>
      <c r="AZ31" s="640"/>
      <c r="BA31" s="519"/>
      <c r="BB31" s="520"/>
      <c r="BC31" s="280"/>
      <c r="BE31" s="613" t="s">
        <v>302</v>
      </c>
      <c r="BF31" s="613"/>
      <c r="BG31" s="613"/>
      <c r="BH31" s="613"/>
      <c r="BI31" s="613"/>
      <c r="BJ31" s="613"/>
      <c r="BK31" s="613"/>
      <c r="BL31" s="613"/>
      <c r="BM31" s="613"/>
      <c r="BN31" s="613"/>
      <c r="BO31" s="613"/>
      <c r="BP31" s="613"/>
      <c r="BQ31" s="613"/>
      <c r="BR31" s="613"/>
      <c r="BS31" s="613"/>
      <c r="BT31" s="613"/>
      <c r="BU31" s="613"/>
      <c r="BV31" s="613"/>
      <c r="BW31" s="613"/>
      <c r="BX31" s="613"/>
      <c r="BY31" s="613"/>
      <c r="BZ31" s="613"/>
      <c r="CA31" s="613"/>
      <c r="CB31" s="613"/>
      <c r="CC31" s="613"/>
      <c r="CD31" s="613"/>
      <c r="CE31" s="613"/>
      <c r="CF31" s="614"/>
      <c r="CG31" s="624">
        <v>6</v>
      </c>
      <c r="CH31" s="521"/>
      <c r="CI31" s="707" t="str">
        <f>+BC40</f>
        <v>A6</v>
      </c>
      <c r="CJ31" s="708"/>
      <c r="CK31" s="709"/>
      <c r="CL31" s="213">
        <v>1</v>
      </c>
      <c r="CM31" s="823" t="str">
        <f>IF($CL31=$CL32,"&amp;",IF($CL31&gt;$CL32,$CI31,$CI32))</f>
        <v>A6</v>
      </c>
      <c r="CO31" s="610" t="s">
        <v>258</v>
      </c>
      <c r="CP31" s="610"/>
      <c r="CQ31" s="610"/>
      <c r="CR31" s="610"/>
      <c r="CS31" s="610"/>
      <c r="CT31" s="610"/>
      <c r="CU31" s="610"/>
      <c r="CV31" s="610"/>
      <c r="CW31" s="610"/>
      <c r="CX31" s="610"/>
      <c r="CY31" s="610"/>
      <c r="CZ31" s="610"/>
      <c r="DA31" s="610"/>
      <c r="DB31" s="610"/>
      <c r="DC31" s="610"/>
      <c r="DD31" s="610"/>
      <c r="DE31" s="610"/>
      <c r="DF31" s="610"/>
      <c r="DG31" s="610"/>
      <c r="DH31" s="610"/>
      <c r="DI31" s="610"/>
      <c r="DJ31" s="610"/>
      <c r="DK31" s="610"/>
      <c r="DL31" s="610"/>
      <c r="DM31" s="610"/>
      <c r="DN31" s="610"/>
      <c r="DO31" s="610"/>
      <c r="DP31" s="611"/>
      <c r="DQ31" s="624">
        <v>22</v>
      </c>
      <c r="DR31" s="455"/>
      <c r="DS31" s="775" t="str">
        <f>+BC61</f>
        <v>C11</v>
      </c>
      <c r="DT31" s="776"/>
      <c r="DU31" s="778"/>
      <c r="DV31" s="233">
        <v>1</v>
      </c>
      <c r="DW31" s="823" t="str">
        <f>IF($DV31=$DV32,"&amp;",IF($DV31&gt;$DV32,$DS31,$DS32))</f>
        <v>C11</v>
      </c>
      <c r="DY31" s="456" t="s">
        <v>59</v>
      </c>
      <c r="DZ31" s="703">
        <v>6</v>
      </c>
      <c r="EA31" s="817" t="str">
        <f>IF(OR($CL31=$CL32),"G. 1/32 F",IF($CL31&gt;$CL32,$CI31,$CI32))</f>
        <v>A6</v>
      </c>
      <c r="EB31" s="818"/>
      <c r="EC31" s="819"/>
      <c r="ED31" s="213">
        <v>1</v>
      </c>
      <c r="EE31" s="816" t="str">
        <f>IF($ED31=$ED32,"&amp;",IF($ED31&gt;$ED32,$EA31,$EA32))</f>
        <v>A6</v>
      </c>
      <c r="EG31" s="228"/>
      <c r="EH31" s="245"/>
      <c r="EI31" s="227"/>
      <c r="EJ31" s="227"/>
      <c r="EK31" s="243"/>
      <c r="EL31" s="243"/>
      <c r="EM31" s="452"/>
      <c r="EN31" s="453"/>
      <c r="EO31" s="208"/>
      <c r="EP31" s="512"/>
      <c r="EQ31" s="512"/>
      <c r="ER31" s="238"/>
      <c r="ES31" s="208"/>
      <c r="EU31" s="226"/>
      <c r="EV31" s="470"/>
      <c r="EW31" s="470"/>
      <c r="EX31" s="470"/>
      <c r="EY31" s="243"/>
      <c r="EZ31" s="144"/>
      <c r="FB31" s="36"/>
      <c r="FD31" s="101"/>
      <c r="FF31" s="526"/>
      <c r="FG31" s="526"/>
    </row>
    <row r="32" spans="1:169" ht="24.95" customHeight="1" thickTop="1" thickBot="1">
      <c r="A32" s="412" t="s">
        <v>264</v>
      </c>
      <c r="AA32" s="513">
        <v>13</v>
      </c>
      <c r="AB32" s="23"/>
      <c r="AC32" s="23" t="s">
        <v>281</v>
      </c>
      <c r="AD32" s="252"/>
      <c r="AE32" s="24">
        <v>13</v>
      </c>
      <c r="AF32" s="462"/>
      <c r="AG32" s="231"/>
      <c r="AH32" s="118">
        <v>13</v>
      </c>
      <c r="AI32" s="862" t="s">
        <v>15</v>
      </c>
      <c r="AJ32" s="865">
        <v>7</v>
      </c>
      <c r="AK32" s="384" t="s">
        <v>11</v>
      </c>
      <c r="AL32" s="75" t="str">
        <f t="shared" si="0"/>
        <v>A4</v>
      </c>
      <c r="AM32" s="204">
        <v>1</v>
      </c>
      <c r="AN32" s="508"/>
      <c r="AO32" s="628">
        <v>4</v>
      </c>
      <c r="AP32" s="642">
        <v>10</v>
      </c>
      <c r="AQ32" s="509"/>
      <c r="AR32" s="205" t="str">
        <f>IF(AM32=AM33,"résultat",IF(AM32&gt;AM33,AL32,AL33))</f>
        <v>A4</v>
      </c>
      <c r="AS32" s="223">
        <v>1</v>
      </c>
      <c r="AU32" s="529"/>
      <c r="AV32" s="530"/>
      <c r="AW32" s="530"/>
      <c r="AX32" s="531"/>
      <c r="AY32" s="530"/>
      <c r="AZ32" s="638">
        <v>4</v>
      </c>
      <c r="BA32" s="302">
        <v>1</v>
      </c>
      <c r="BB32" s="305"/>
      <c r="BC32" s="309" t="str">
        <f>IF($AG34+$AG35=43,IF($AS32=$AS33,"résultat",IF($AS32&gt;$AS33,$AR32,$AR33)))</f>
        <v>A4</v>
      </c>
      <c r="BE32" s="633" t="s">
        <v>321</v>
      </c>
      <c r="BF32" s="633"/>
      <c r="BG32" s="633"/>
      <c r="BH32" s="633"/>
      <c r="BI32" s="633"/>
      <c r="BJ32" s="633"/>
      <c r="BK32" s="633"/>
      <c r="BL32" s="633"/>
      <c r="BM32" s="633"/>
      <c r="BN32" s="633"/>
      <c r="BO32" s="633"/>
      <c r="BP32" s="633"/>
      <c r="BQ32" s="633"/>
      <c r="BR32" s="633"/>
      <c r="BS32" s="633"/>
      <c r="BT32" s="633"/>
      <c r="BU32" s="371" t="s">
        <v>320</v>
      </c>
      <c r="BV32" s="631" t="s">
        <v>261</v>
      </c>
      <c r="BW32" s="631"/>
      <c r="BX32" s="631"/>
      <c r="BY32" s="631"/>
      <c r="BZ32" s="631"/>
      <c r="CA32" s="631"/>
      <c r="CB32" s="631"/>
      <c r="CC32" s="631"/>
      <c r="CD32" s="631"/>
      <c r="CE32" s="631"/>
      <c r="CF32" s="632"/>
      <c r="CG32" s="625"/>
      <c r="CH32" s="523"/>
      <c r="CI32" s="658" t="str">
        <f>IF(OR(AND(J10&lt;640)),"OFFICE",IF(OR(AND(J10&gt;640,J10&lt;650)),BC82,IF(OR(AND(J10&gt;650,J10&lt;810)),BC85,0)))</f>
        <v>OFFICE</v>
      </c>
      <c r="CJ32" s="659"/>
      <c r="CK32" s="660"/>
      <c r="CL32" s="218">
        <v>0</v>
      </c>
      <c r="CM32" s="823"/>
      <c r="CO32" s="607" t="s">
        <v>268</v>
      </c>
      <c r="CP32" s="607"/>
      <c r="CQ32" s="607"/>
      <c r="CR32" s="607"/>
      <c r="CS32" s="607"/>
      <c r="CT32" s="607"/>
      <c r="CU32" s="607"/>
      <c r="CV32" s="607"/>
      <c r="CW32" s="607"/>
      <c r="CX32" s="607"/>
      <c r="CY32" s="607"/>
      <c r="CZ32" s="607"/>
      <c r="DA32" s="607"/>
      <c r="DB32" s="607"/>
      <c r="DC32" s="607"/>
      <c r="DD32" s="607"/>
      <c r="DE32" s="607"/>
      <c r="DF32" s="607"/>
      <c r="DG32" s="607"/>
      <c r="DH32" s="607"/>
      <c r="DI32" s="607"/>
      <c r="DJ32" s="607"/>
      <c r="DK32" s="607"/>
      <c r="DL32" s="607"/>
      <c r="DM32" s="607"/>
      <c r="DN32" s="607"/>
      <c r="DO32" s="607"/>
      <c r="DP32" s="604"/>
      <c r="DQ32" s="625"/>
      <c r="DR32" s="458"/>
      <c r="DS32" s="621" t="str">
        <f>BC58</f>
        <v>B10</v>
      </c>
      <c r="DT32" s="622"/>
      <c r="DU32" s="623"/>
      <c r="DV32" s="255">
        <v>0</v>
      </c>
      <c r="DW32" s="823"/>
      <c r="DY32" s="456" t="s">
        <v>159</v>
      </c>
      <c r="DZ32" s="704"/>
      <c r="EA32" s="722" t="str">
        <f>IF(OR(DV31=DV32),"G. 1/32 V",IF(DV31&gt;DV32,DS31,DS32))</f>
        <v>C11</v>
      </c>
      <c r="EB32" s="723"/>
      <c r="EC32" s="724"/>
      <c r="ED32" s="218">
        <v>0</v>
      </c>
      <c r="EE32" s="816"/>
      <c r="EG32" s="228"/>
      <c r="EH32" s="245"/>
      <c r="EI32" s="227"/>
      <c r="EJ32" s="227"/>
      <c r="EK32" s="243"/>
      <c r="EL32" s="243"/>
      <c r="EM32" s="452"/>
      <c r="EN32" s="453"/>
      <c r="EO32" s="208"/>
      <c r="EP32" s="512"/>
      <c r="EQ32" s="451" t="s">
        <v>58</v>
      </c>
      <c r="ER32" s="306"/>
      <c r="ES32" s="208"/>
      <c r="EU32" s="226"/>
      <c r="EV32" s="470"/>
      <c r="EW32" s="470"/>
      <c r="EX32" s="470"/>
      <c r="EY32" s="243"/>
      <c r="EZ32" s="144"/>
      <c r="FB32" s="36"/>
      <c r="FD32" s="101"/>
      <c r="FF32" s="526"/>
      <c r="FG32" s="526"/>
    </row>
    <row r="33" spans="1:169" ht="24.95" customHeight="1" thickBot="1">
      <c r="A33" s="412"/>
      <c r="B33" s="412"/>
      <c r="AA33" s="513">
        <v>14</v>
      </c>
      <c r="AB33" s="23"/>
      <c r="AC33" s="23" t="s">
        <v>94</v>
      </c>
      <c r="AD33" s="252"/>
      <c r="AE33" s="24">
        <v>14</v>
      </c>
      <c r="AF33" s="462"/>
      <c r="AG33" s="231"/>
      <c r="AH33" s="119">
        <v>14</v>
      </c>
      <c r="AI33" s="863"/>
      <c r="AJ33" s="866"/>
      <c r="AK33" s="77" t="s">
        <v>12</v>
      </c>
      <c r="AL33" s="78" t="str">
        <f t="shared" si="0"/>
        <v>B4</v>
      </c>
      <c r="AM33" s="210">
        <v>0</v>
      </c>
      <c r="AN33" s="508"/>
      <c r="AO33" s="629"/>
      <c r="AP33" s="643"/>
      <c r="AQ33" s="514"/>
      <c r="AR33" s="206" t="str">
        <f>IF(AM34=AM35,"résultat",IF(AM34&gt;AM35,AL34,AL35))</f>
        <v>C4</v>
      </c>
      <c r="AS33" s="210">
        <v>0</v>
      </c>
      <c r="AT33" s="525"/>
      <c r="AU33" s="529"/>
      <c r="AV33" s="644"/>
      <c r="AW33" s="532"/>
      <c r="AX33" s="533"/>
      <c r="AY33" s="534"/>
      <c r="AZ33" s="639"/>
      <c r="BA33" s="303">
        <v>2</v>
      </c>
      <c r="BB33" s="306"/>
      <c r="BC33" s="308" t="str">
        <f>IF($AG34+$AG35=43,IF($AS32=$AS33,"résultat",IF($AS32&lt;$AS33,$AR32,$AR33)))</f>
        <v>C4</v>
      </c>
      <c r="BE33" s="376"/>
      <c r="BF33" s="376"/>
      <c r="BG33" s="376"/>
      <c r="BH33" s="376"/>
      <c r="BI33" s="376"/>
      <c r="BJ33" s="376"/>
      <c r="BK33" s="376"/>
      <c r="BL33" s="376"/>
      <c r="BM33" s="376"/>
      <c r="BN33" s="376"/>
      <c r="BO33" s="376"/>
      <c r="BP33" s="376"/>
      <c r="BQ33" s="376"/>
      <c r="BR33" s="376"/>
      <c r="BS33" s="376"/>
      <c r="BT33" s="376"/>
      <c r="BU33" s="376"/>
      <c r="BV33" s="376"/>
      <c r="BW33" s="376"/>
      <c r="BX33" s="376"/>
      <c r="BY33" s="376"/>
      <c r="BZ33" s="376"/>
      <c r="CA33" s="376"/>
      <c r="CB33" s="376"/>
      <c r="CC33" s="376"/>
      <c r="CD33" s="376"/>
      <c r="CE33" s="376"/>
      <c r="CF33" s="376"/>
      <c r="CG33" s="214"/>
      <c r="CH33" s="214"/>
      <c r="CI33" s="227"/>
      <c r="CJ33" s="230"/>
      <c r="CK33" s="230"/>
      <c r="CL33" s="242"/>
      <c r="CM33" s="450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376"/>
      <c r="DJ33" s="376"/>
      <c r="DK33" s="376"/>
      <c r="DL33" s="376"/>
      <c r="DM33" s="376"/>
      <c r="DN33" s="376"/>
      <c r="DO33" s="376"/>
      <c r="DP33" s="377"/>
      <c r="DQ33" s="250"/>
      <c r="DR33" s="250"/>
      <c r="DS33" s="265"/>
      <c r="DT33" s="265"/>
      <c r="DU33" s="265"/>
      <c r="DV33" s="256"/>
      <c r="DW33" s="460"/>
      <c r="DY33" s="446"/>
      <c r="DZ33" s="226"/>
      <c r="EA33" s="245"/>
      <c r="EB33" s="227"/>
      <c r="EC33" s="227"/>
      <c r="ED33" s="242"/>
      <c r="EE33" s="450"/>
      <c r="EG33" s="228"/>
      <c r="EH33" s="227"/>
      <c r="EI33" s="227"/>
      <c r="EJ33" s="274"/>
      <c r="EK33" s="243"/>
      <c r="EL33" s="243"/>
      <c r="EM33" s="481"/>
      <c r="EN33" s="551" t="s">
        <v>52</v>
      </c>
      <c r="EO33" s="703">
        <v>1</v>
      </c>
      <c r="EP33" s="796" t="str">
        <f>IF(OR(EK45=EK46),"Gagnant 1/8 E",IF(AND(EK45&gt;EK46),EH45,EH46))</f>
        <v>A9</v>
      </c>
      <c r="EQ33" s="797"/>
      <c r="ER33" s="798"/>
      <c r="ES33" s="212">
        <v>1</v>
      </c>
      <c r="EU33" s="226"/>
      <c r="EV33" s="470"/>
      <c r="EW33" s="470"/>
      <c r="EX33" s="470"/>
      <c r="EY33" s="243"/>
      <c r="EZ33" s="144"/>
      <c r="FB33" s="36"/>
      <c r="FD33" s="101"/>
      <c r="FF33" s="526"/>
      <c r="FG33" s="526"/>
    </row>
    <row r="34" spans="1:169" ht="24.95" customHeight="1" thickBot="1">
      <c r="A34" s="412" t="s">
        <v>230</v>
      </c>
      <c r="AA34" s="513">
        <v>15</v>
      </c>
      <c r="AB34" s="23"/>
      <c r="AC34" s="23" t="s">
        <v>95</v>
      </c>
      <c r="AD34" s="35"/>
      <c r="AE34" s="24">
        <v>15</v>
      </c>
      <c r="AF34" s="462"/>
      <c r="AG34" s="231" t="str">
        <f>CONCATENATE(H17,H18)</f>
        <v>43</v>
      </c>
      <c r="AH34" s="120">
        <v>15</v>
      </c>
      <c r="AI34" s="863"/>
      <c r="AJ34" s="865">
        <v>8</v>
      </c>
      <c r="AK34" s="384" t="s">
        <v>58</v>
      </c>
      <c r="AL34" s="79" t="str">
        <f t="shared" si="0"/>
        <v>C4</v>
      </c>
      <c r="AM34" s="215">
        <v>1</v>
      </c>
      <c r="AN34" s="508"/>
      <c r="AO34" s="629"/>
      <c r="AP34" s="641">
        <v>11</v>
      </c>
      <c r="AQ34" s="527"/>
      <c r="AR34" s="216" t="str">
        <f>IF(AM32=AM33,"résultat",IF(AM32&lt;AM33,AL32,AL33))</f>
        <v>B4</v>
      </c>
      <c r="AS34" s="215">
        <v>1</v>
      </c>
      <c r="AU34" s="529"/>
      <c r="AV34" s="644"/>
      <c r="AW34" s="532"/>
      <c r="AX34" s="533"/>
      <c r="AY34" s="534"/>
      <c r="AZ34" s="639"/>
      <c r="BA34" s="304">
        <v>3</v>
      </c>
      <c r="BB34" s="306"/>
      <c r="BC34" s="579" t="str">
        <f>IF($AG34+$AG35=43,IF($AS34=$AS35,"résultat",IF($AS34&gt;$AS35,$AR34,$AR35)))</f>
        <v>B4</v>
      </c>
      <c r="BE34" s="378"/>
      <c r="BF34" s="378"/>
      <c r="BG34" s="378"/>
      <c r="BH34" s="378"/>
      <c r="BI34" s="378"/>
      <c r="BJ34" s="378"/>
      <c r="BK34" s="378"/>
      <c r="BL34" s="378"/>
      <c r="BM34" s="378"/>
      <c r="BN34" s="378"/>
      <c r="BO34" s="378"/>
      <c r="BP34" s="378"/>
      <c r="BQ34" s="378"/>
      <c r="BR34" s="378"/>
      <c r="BS34" s="378"/>
      <c r="BT34" s="378"/>
      <c r="BU34" s="374"/>
      <c r="BV34" s="374"/>
      <c r="BW34" s="374"/>
      <c r="BX34" s="374"/>
      <c r="BY34" s="374"/>
      <c r="BZ34" s="374"/>
      <c r="CA34" s="374"/>
      <c r="CB34" s="374"/>
      <c r="CC34" s="374"/>
      <c r="CD34" s="374"/>
      <c r="CE34" s="374"/>
      <c r="CF34" s="374"/>
      <c r="CG34" s="229"/>
      <c r="CH34" s="229"/>
      <c r="CI34" s="232"/>
      <c r="CJ34" s="264" t="s">
        <v>60</v>
      </c>
      <c r="CK34" s="241"/>
      <c r="CL34" s="203"/>
      <c r="CM34" s="444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378"/>
      <c r="DJ34" s="378"/>
      <c r="DK34" s="374"/>
      <c r="DL34" s="374"/>
      <c r="DM34" s="374"/>
      <c r="DN34" s="374"/>
      <c r="DO34" s="374"/>
      <c r="DP34" s="379"/>
      <c r="DQ34" s="202"/>
      <c r="DR34" s="202"/>
      <c r="DS34" s="263"/>
      <c r="DT34" s="264" t="s">
        <v>164</v>
      </c>
      <c r="DU34" s="241"/>
      <c r="DV34" s="203"/>
      <c r="DW34" s="444"/>
      <c r="DY34" s="446"/>
      <c r="DZ34" s="208"/>
      <c r="EA34" s="239"/>
      <c r="EB34" s="269" t="s">
        <v>161</v>
      </c>
      <c r="EC34" s="241"/>
      <c r="ED34" s="238"/>
      <c r="EE34" s="487"/>
      <c r="EG34" s="228"/>
      <c r="EH34" s="227"/>
      <c r="EI34" s="227"/>
      <c r="EJ34" s="274"/>
      <c r="EK34" s="243"/>
      <c r="EM34" s="452"/>
      <c r="EN34" s="551" t="s">
        <v>59</v>
      </c>
      <c r="EO34" s="704"/>
      <c r="EP34" s="681" t="str">
        <f>IF(OR(EK53=EK54),"Gagnant 1/8 F",IF(AND(EK53&gt;EK54),EH53,EH54))</f>
        <v>A11</v>
      </c>
      <c r="EQ34" s="682"/>
      <c r="ER34" s="683"/>
      <c r="ES34" s="219">
        <v>0</v>
      </c>
      <c r="EU34" s="226"/>
      <c r="EV34" s="470"/>
      <c r="EW34" s="470"/>
      <c r="EX34" s="470"/>
      <c r="EY34" s="243"/>
      <c r="EZ34" s="144"/>
      <c r="FB34" s="36"/>
      <c r="FD34" s="101"/>
      <c r="FF34" s="526"/>
      <c r="FG34" s="526"/>
    </row>
    <row r="35" spans="1:169" ht="24.95" customHeight="1" thickBot="1">
      <c r="A35" s="412"/>
      <c r="B35" s="412" t="s">
        <v>265</v>
      </c>
      <c r="AA35" s="513">
        <v>16</v>
      </c>
      <c r="AB35" s="23"/>
      <c r="AC35" s="23" t="s">
        <v>96</v>
      </c>
      <c r="AD35" s="35"/>
      <c r="AE35" s="24">
        <v>16</v>
      </c>
      <c r="AF35" s="462"/>
      <c r="AG35" s="231"/>
      <c r="AH35" s="121">
        <v>16</v>
      </c>
      <c r="AI35" s="864"/>
      <c r="AJ35" s="866"/>
      <c r="AK35" s="77" t="s">
        <v>51</v>
      </c>
      <c r="AL35" s="78" t="str">
        <f t="shared" si="0"/>
        <v>D4</v>
      </c>
      <c r="AM35" s="220">
        <v>0</v>
      </c>
      <c r="AN35" s="517"/>
      <c r="AO35" s="630"/>
      <c r="AP35" s="637"/>
      <c r="AQ35" s="528"/>
      <c r="AR35" s="221" t="str">
        <f>IF(AM34=AM35,"résultat",IF(AM34&lt;AM35,AL34,AL35))</f>
        <v>D4</v>
      </c>
      <c r="AS35" s="220">
        <v>0</v>
      </c>
      <c r="AU35" s="534"/>
      <c r="AV35" s="534"/>
      <c r="AW35" s="534"/>
      <c r="AX35" s="535"/>
      <c r="AY35" s="534"/>
      <c r="AZ35" s="640"/>
      <c r="BA35" s="200"/>
      <c r="BB35" s="524"/>
      <c r="BC35" s="280"/>
      <c r="BE35" s="613" t="s">
        <v>303</v>
      </c>
      <c r="BF35" s="613"/>
      <c r="BG35" s="613"/>
      <c r="BH35" s="613"/>
      <c r="BI35" s="613"/>
      <c r="BJ35" s="613"/>
      <c r="BK35" s="613"/>
      <c r="BL35" s="613"/>
      <c r="BM35" s="613"/>
      <c r="BN35" s="613"/>
      <c r="BO35" s="613"/>
      <c r="BP35" s="613"/>
      <c r="BQ35" s="613"/>
      <c r="BR35" s="613"/>
      <c r="BS35" s="613"/>
      <c r="BT35" s="613"/>
      <c r="BU35" s="613"/>
      <c r="BV35" s="613"/>
      <c r="BW35" s="613"/>
      <c r="BX35" s="613"/>
      <c r="BY35" s="613"/>
      <c r="BZ35" s="613"/>
      <c r="CA35" s="613"/>
      <c r="CB35" s="613"/>
      <c r="CC35" s="613"/>
      <c r="CD35" s="613"/>
      <c r="CE35" s="613"/>
      <c r="CF35" s="614"/>
      <c r="CG35" s="624">
        <v>7</v>
      </c>
      <c r="CH35" s="506"/>
      <c r="CI35" s="707" t="str">
        <f>+BC44</f>
        <v>A7</v>
      </c>
      <c r="CJ35" s="708"/>
      <c r="CK35" s="709"/>
      <c r="CL35" s="213">
        <v>1</v>
      </c>
      <c r="CM35" s="687" t="str">
        <f>IF($CL35=$CL36,"&amp;",IF($CL35&gt;$CL36,$CI35,$CI36))</f>
        <v>A7</v>
      </c>
      <c r="CO35" s="610" t="s">
        <v>257</v>
      </c>
      <c r="CP35" s="610"/>
      <c r="CQ35" s="610"/>
      <c r="CR35" s="610"/>
      <c r="CS35" s="610"/>
      <c r="CT35" s="610"/>
      <c r="CU35" s="610"/>
      <c r="CV35" s="610"/>
      <c r="CW35" s="610"/>
      <c r="CX35" s="610"/>
      <c r="CY35" s="610"/>
      <c r="CZ35" s="610"/>
      <c r="DA35" s="610"/>
      <c r="DB35" s="610"/>
      <c r="DC35" s="610"/>
      <c r="DD35" s="610"/>
      <c r="DE35" s="610"/>
      <c r="DF35" s="610"/>
      <c r="DG35" s="610"/>
      <c r="DH35" s="610"/>
      <c r="DI35" s="610"/>
      <c r="DJ35" s="610"/>
      <c r="DK35" s="610"/>
      <c r="DL35" s="610"/>
      <c r="DM35" s="610"/>
      <c r="DN35" s="610"/>
      <c r="DO35" s="610"/>
      <c r="DP35" s="611"/>
      <c r="DQ35" s="624">
        <v>23</v>
      </c>
      <c r="DR35" s="454"/>
      <c r="DS35" s="775" t="str">
        <f>+BC57</f>
        <v>C10</v>
      </c>
      <c r="DT35" s="776"/>
      <c r="DU35" s="777"/>
      <c r="DV35" s="213">
        <v>1</v>
      </c>
      <c r="DW35" s="687" t="str">
        <f>IF($DV35=$DV36,"&amp;",IF($DV35&gt;$DV36,$DS35,$DS36))</f>
        <v>C10</v>
      </c>
      <c r="DY35" s="456" t="s">
        <v>60</v>
      </c>
      <c r="DZ35" s="703">
        <v>7</v>
      </c>
      <c r="EA35" s="645" t="str">
        <f>IF(OR($CL35=$CL36),"G. 1/32 G",IF($CL35&gt;$CL36,$CI35,$CI36))</f>
        <v>A7</v>
      </c>
      <c r="EB35" s="646"/>
      <c r="EC35" s="647"/>
      <c r="ED35" s="213">
        <v>1</v>
      </c>
      <c r="EE35" s="675" t="str">
        <f>IF($ED35=$ED36,"&amp;",IF($ED35&gt;$ED36,$EA35,$EA36))</f>
        <v>C10</v>
      </c>
      <c r="EG35" s="228"/>
      <c r="EH35" s="227"/>
      <c r="EI35" s="227"/>
      <c r="EJ35" s="274"/>
      <c r="EK35" s="243"/>
      <c r="EM35" s="452"/>
      <c r="EN35" s="453"/>
      <c r="EO35" s="226"/>
      <c r="EP35" s="536"/>
      <c r="EQ35" s="536"/>
      <c r="ER35" s="536"/>
      <c r="ES35" s="243"/>
      <c r="EU35" s="208"/>
      <c r="EV35" s="208"/>
      <c r="EW35" s="208"/>
      <c r="EX35" s="209"/>
      <c r="EY35" s="208"/>
      <c r="EZ35" s="144"/>
      <c r="FB35" s="36"/>
      <c r="FD35" s="101"/>
      <c r="FF35" s="526"/>
      <c r="FG35" s="537"/>
    </row>
    <row r="36" spans="1:169" ht="24.95" customHeight="1" thickTop="1" thickBot="1">
      <c r="A36" s="416"/>
      <c r="AA36" s="538">
        <v>17</v>
      </c>
      <c r="AB36" s="539"/>
      <c r="AC36" s="23" t="s">
        <v>86</v>
      </c>
      <c r="AD36" s="35"/>
      <c r="AE36" s="24">
        <v>17</v>
      </c>
      <c r="AF36" s="462"/>
      <c r="AG36" s="231"/>
      <c r="AH36" s="116">
        <v>17</v>
      </c>
      <c r="AI36" s="862" t="s">
        <v>23</v>
      </c>
      <c r="AJ36" s="865">
        <v>9</v>
      </c>
      <c r="AK36" s="384" t="s">
        <v>11</v>
      </c>
      <c r="AL36" s="79" t="str">
        <f t="shared" si="0"/>
        <v>A5</v>
      </c>
      <c r="AM36" s="223">
        <v>1</v>
      </c>
      <c r="AN36" s="508"/>
      <c r="AO36" s="628">
        <v>5</v>
      </c>
      <c r="AP36" s="641">
        <v>12</v>
      </c>
      <c r="AQ36" s="540"/>
      <c r="AR36" s="205" t="str">
        <f>IF(AM36=AM37,"résultat",IF(AM36&gt;AM37,AL36,AL37))</f>
        <v>A5</v>
      </c>
      <c r="AS36" s="223">
        <v>1</v>
      </c>
      <c r="AU36" s="534"/>
      <c r="AV36" s="534"/>
      <c r="AW36" s="534"/>
      <c r="AX36" s="535"/>
      <c r="AY36" s="534"/>
      <c r="AZ36" s="638">
        <v>5</v>
      </c>
      <c r="BA36" s="302">
        <v>1</v>
      </c>
      <c r="BB36" s="305"/>
      <c r="BC36" s="309" t="str">
        <f>IF($AG38+$AG39=43,IF($AS36=$AS37,"résultat",IF($AS36&gt;$AS37,$AR36,$AR37)))</f>
        <v>A5</v>
      </c>
      <c r="BE36" s="603" t="s">
        <v>314</v>
      </c>
      <c r="BF36" s="603"/>
      <c r="BG36" s="603"/>
      <c r="BH36" s="603"/>
      <c r="BI36" s="603"/>
      <c r="BJ36" s="603"/>
      <c r="BK36" s="603"/>
      <c r="BL36" s="603"/>
      <c r="BM36" s="603"/>
      <c r="BN36" s="603"/>
      <c r="BO36" s="603"/>
      <c r="BP36" s="603"/>
      <c r="BQ36" s="603"/>
      <c r="BR36" s="603"/>
      <c r="BS36" s="603"/>
      <c r="BT36" s="603"/>
      <c r="BU36" s="603"/>
      <c r="BV36" s="603"/>
      <c r="BW36" s="603"/>
      <c r="BX36" s="631" t="s">
        <v>261</v>
      </c>
      <c r="BY36" s="631"/>
      <c r="BZ36" s="631"/>
      <c r="CA36" s="631"/>
      <c r="CB36" s="631"/>
      <c r="CC36" s="631"/>
      <c r="CD36" s="631"/>
      <c r="CE36" s="631"/>
      <c r="CF36" s="632"/>
      <c r="CG36" s="625"/>
      <c r="CH36" s="511"/>
      <c r="CI36" s="661" t="str">
        <f>IF(OR(AND(J10&lt;620)),"OFFICE",IF(OR(AND(J10&gt;620)),BC74))</f>
        <v>OFFICE</v>
      </c>
      <c r="CJ36" s="662"/>
      <c r="CK36" s="663"/>
      <c r="CL36" s="218">
        <v>0</v>
      </c>
      <c r="CM36" s="687"/>
      <c r="CO36" s="607" t="s">
        <v>267</v>
      </c>
      <c r="CP36" s="607"/>
      <c r="CQ36" s="607"/>
      <c r="CR36" s="607"/>
      <c r="CS36" s="607"/>
      <c r="CT36" s="607"/>
      <c r="CU36" s="607"/>
      <c r="CV36" s="607"/>
      <c r="CW36" s="607"/>
      <c r="CX36" s="607"/>
      <c r="CY36" s="607"/>
      <c r="CZ36" s="607"/>
      <c r="DA36" s="607"/>
      <c r="DB36" s="607"/>
      <c r="DC36" s="607"/>
      <c r="DD36" s="607"/>
      <c r="DE36" s="607"/>
      <c r="DF36" s="607"/>
      <c r="DG36" s="607"/>
      <c r="DH36" s="607"/>
      <c r="DI36" s="607"/>
      <c r="DJ36" s="607"/>
      <c r="DK36" s="607"/>
      <c r="DL36" s="607"/>
      <c r="DM36" s="607"/>
      <c r="DN36" s="607"/>
      <c r="DO36" s="607"/>
      <c r="DP36" s="604"/>
      <c r="DQ36" s="625"/>
      <c r="DR36" s="457"/>
      <c r="DS36" s="621" t="str">
        <f>BC62</f>
        <v>B11</v>
      </c>
      <c r="DT36" s="622"/>
      <c r="DU36" s="623"/>
      <c r="DV36" s="218">
        <v>0</v>
      </c>
      <c r="DW36" s="687"/>
      <c r="DY36" s="456" t="s">
        <v>164</v>
      </c>
      <c r="DZ36" s="704"/>
      <c r="EA36" s="621" t="str">
        <f>IF(OR(DV35=DV36),"G. 1/32 W",IF(DV35&gt;DV36,DS35,DS36))</f>
        <v>C10</v>
      </c>
      <c r="EB36" s="622"/>
      <c r="EC36" s="623"/>
      <c r="ED36" s="218">
        <v>2</v>
      </c>
      <c r="EE36" s="675"/>
      <c r="EG36" s="238"/>
      <c r="EH36" s="30"/>
      <c r="EI36" s="240" t="s">
        <v>51</v>
      </c>
      <c r="EJ36" s="273"/>
      <c r="EK36" s="208"/>
      <c r="EM36" s="452"/>
      <c r="EN36" s="453"/>
      <c r="EO36" s="226"/>
      <c r="EP36" s="536"/>
      <c r="EQ36" s="536"/>
      <c r="ER36" s="536"/>
      <c r="ES36" s="243"/>
      <c r="EU36" s="208"/>
      <c r="EV36" s="208"/>
      <c r="EW36" s="208"/>
      <c r="EX36" s="209"/>
      <c r="EY36" s="208"/>
      <c r="EZ36" s="144"/>
      <c r="FB36" s="36"/>
      <c r="FD36" s="101"/>
      <c r="FF36" s="526"/>
      <c r="FG36" s="537"/>
    </row>
    <row r="37" spans="1:169" ht="24.95" customHeight="1" thickBot="1">
      <c r="A37" s="594" t="s">
        <v>362</v>
      </c>
      <c r="B37" s="593"/>
      <c r="C37" s="593"/>
      <c r="AA37" s="513">
        <v>18</v>
      </c>
      <c r="AB37" s="23"/>
      <c r="AC37" s="23" t="s">
        <v>97</v>
      </c>
      <c r="AD37" s="35"/>
      <c r="AE37" s="24">
        <v>18</v>
      </c>
      <c r="AF37" s="462"/>
      <c r="AG37" s="231"/>
      <c r="AH37" s="110">
        <v>18</v>
      </c>
      <c r="AI37" s="863"/>
      <c r="AJ37" s="866"/>
      <c r="AK37" s="77" t="s">
        <v>12</v>
      </c>
      <c r="AL37" s="80" t="str">
        <f t="shared" si="0"/>
        <v>B5</v>
      </c>
      <c r="AM37" s="210">
        <v>0</v>
      </c>
      <c r="AN37" s="508"/>
      <c r="AO37" s="629"/>
      <c r="AP37" s="643"/>
      <c r="AQ37" s="514"/>
      <c r="AR37" s="206" t="str">
        <f>IF(AM38=AM39,"résultat",IF(AM38&gt;AM39,AL38,AL39))</f>
        <v>C5</v>
      </c>
      <c r="AS37" s="210">
        <v>0</v>
      </c>
      <c r="AT37" s="525"/>
      <c r="AU37" s="534"/>
      <c r="AV37" s="534"/>
      <c r="AW37" s="534"/>
      <c r="AX37" s="535"/>
      <c r="AY37" s="534"/>
      <c r="AZ37" s="639"/>
      <c r="BA37" s="303">
        <v>2</v>
      </c>
      <c r="BB37" s="306"/>
      <c r="BC37" s="308" t="str">
        <f>IF($AG38+$AG39=43,IF($AS36=$AS37,"résultat",IF($AS36&lt;$AS37,$AR36,$AR37)))</f>
        <v>C5</v>
      </c>
      <c r="BE37" s="376"/>
      <c r="BF37" s="376"/>
      <c r="BG37" s="376"/>
      <c r="BH37" s="376"/>
      <c r="BI37" s="376"/>
      <c r="BJ37" s="376"/>
      <c r="BK37" s="376"/>
      <c r="BL37" s="376"/>
      <c r="BM37" s="376"/>
      <c r="BN37" s="376"/>
      <c r="BO37" s="376"/>
      <c r="BP37" s="376"/>
      <c r="BQ37" s="376"/>
      <c r="BR37" s="376"/>
      <c r="BS37" s="376"/>
      <c r="BT37" s="376"/>
      <c r="BU37" s="376"/>
      <c r="BV37" s="376"/>
      <c r="BW37" s="376"/>
      <c r="BX37" s="376"/>
      <c r="BY37" s="376"/>
      <c r="BZ37" s="376"/>
      <c r="CA37" s="376"/>
      <c r="CB37" s="376"/>
      <c r="CC37" s="376"/>
      <c r="CD37" s="376"/>
      <c r="CE37" s="376"/>
      <c r="CF37" s="376"/>
      <c r="CG37" s="214"/>
      <c r="CH37" s="214"/>
      <c r="CI37" s="227"/>
      <c r="CJ37" s="246"/>
      <c r="CK37" s="246"/>
      <c r="CL37" s="242"/>
      <c r="CM37" s="450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376"/>
      <c r="DJ37" s="376"/>
      <c r="DK37" s="376"/>
      <c r="DL37" s="376"/>
      <c r="DM37" s="376"/>
      <c r="DN37" s="376"/>
      <c r="DO37" s="376"/>
      <c r="DP37" s="377"/>
      <c r="DQ37" s="101"/>
      <c r="DR37" s="229"/>
      <c r="DS37" s="232"/>
      <c r="DT37" s="246"/>
      <c r="DU37" s="246"/>
      <c r="DV37" s="247"/>
      <c r="DW37" s="460"/>
      <c r="DY37" s="446"/>
      <c r="DZ37" s="226"/>
      <c r="EA37" s="245"/>
      <c r="EB37" s="227"/>
      <c r="EC37" s="227"/>
      <c r="ED37" s="242"/>
      <c r="EE37" s="450"/>
      <c r="EG37" s="624">
        <v>4</v>
      </c>
      <c r="EH37" s="645" t="str">
        <f>IF(ED35=ED36,"G. 1/16 M",IF(ED35&gt;ED36,EA35,EA36))</f>
        <v>C10</v>
      </c>
      <c r="EI37" s="646"/>
      <c r="EJ37" s="647"/>
      <c r="EK37" s="212">
        <v>1</v>
      </c>
      <c r="EL37" s="791" t="str">
        <f>IF(EK37=EK38,"&amp;",IF(EK37&gt;EK38,EH37,EH38))</f>
        <v>C10</v>
      </c>
      <c r="EM37" s="541"/>
      <c r="EN37" s="463"/>
      <c r="EO37" s="208"/>
      <c r="EP37" s="512"/>
      <c r="EQ37" s="512"/>
      <c r="ER37" s="238"/>
      <c r="ES37" s="208"/>
      <c r="EU37" s="703">
        <v>2</v>
      </c>
      <c r="EV37" s="799" t="str">
        <f>IF(ES33=ES34,"résultat",IF(ES33&gt;ES34,EP33,EP34))</f>
        <v>A9</v>
      </c>
      <c r="EW37" s="800"/>
      <c r="EX37" s="801"/>
      <c r="EY37" s="212">
        <v>1</v>
      </c>
      <c r="EZ37" s="144"/>
      <c r="FB37" s="36"/>
      <c r="FD37" s="101"/>
      <c r="FF37" s="537"/>
      <c r="FG37" s="537"/>
    </row>
    <row r="38" spans="1:169" ht="24.95" customHeight="1" thickBot="1">
      <c r="AA38" s="538">
        <v>19</v>
      </c>
      <c r="AB38" s="539"/>
      <c r="AC38" s="23" t="s">
        <v>98</v>
      </c>
      <c r="AD38" s="35"/>
      <c r="AE38" s="24">
        <v>19</v>
      </c>
      <c r="AF38" s="462"/>
      <c r="AG38" s="231" t="str">
        <f>CONCATENATE(I17,I18)</f>
        <v>43</v>
      </c>
      <c r="AH38" s="110">
        <v>19</v>
      </c>
      <c r="AI38" s="863"/>
      <c r="AJ38" s="865">
        <v>10</v>
      </c>
      <c r="AK38" s="384" t="s">
        <v>58</v>
      </c>
      <c r="AL38" s="75" t="str">
        <f t="shared" si="0"/>
        <v>C5</v>
      </c>
      <c r="AM38" s="215">
        <v>1</v>
      </c>
      <c r="AN38" s="508"/>
      <c r="AO38" s="629"/>
      <c r="AP38" s="641">
        <v>13</v>
      </c>
      <c r="AQ38" s="527"/>
      <c r="AR38" s="216" t="str">
        <f>IF(AM36=AM37,"résultat",IF(AM36&lt;AM37,AL36,AL37))</f>
        <v>B5</v>
      </c>
      <c r="AS38" s="215">
        <v>1</v>
      </c>
      <c r="AU38" s="534"/>
      <c r="AV38" s="534"/>
      <c r="AW38" s="534"/>
      <c r="AX38" s="535"/>
      <c r="AY38" s="534"/>
      <c r="AZ38" s="639"/>
      <c r="BA38" s="304">
        <v>3</v>
      </c>
      <c r="BB38" s="306"/>
      <c r="BC38" s="579" t="str">
        <f>IF($AG38+$AG39=43,IF($AS38=$AS39,"résultat",IF($AS38&gt;$AS39,$AR38,$AR39)))</f>
        <v>B5</v>
      </c>
      <c r="BE38" s="378"/>
      <c r="BF38" s="378"/>
      <c r="BG38" s="378"/>
      <c r="BH38" s="378"/>
      <c r="BI38" s="378"/>
      <c r="BJ38" s="378"/>
      <c r="BK38" s="378"/>
      <c r="BL38" s="378"/>
      <c r="BM38" s="378"/>
      <c r="BN38" s="378"/>
      <c r="BO38" s="378"/>
      <c r="BP38" s="378"/>
      <c r="BQ38" s="378"/>
      <c r="BR38" s="378"/>
      <c r="BS38" s="374"/>
      <c r="BT38" s="374"/>
      <c r="BU38" s="374"/>
      <c r="BV38" s="374"/>
      <c r="BW38" s="374"/>
      <c r="BX38" s="374"/>
      <c r="BY38" s="374"/>
      <c r="BZ38" s="374"/>
      <c r="CA38" s="374"/>
      <c r="CB38" s="374"/>
      <c r="CC38" s="374"/>
      <c r="CD38" s="374"/>
      <c r="CE38" s="374"/>
      <c r="CF38" s="374"/>
      <c r="CG38" s="202"/>
      <c r="CH38" s="229"/>
      <c r="CI38" s="263"/>
      <c r="CJ38" s="264" t="s">
        <v>61</v>
      </c>
      <c r="CK38" s="241"/>
      <c r="CL38" s="247"/>
      <c r="CM38" s="460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378"/>
      <c r="DJ38" s="378"/>
      <c r="DK38" s="374"/>
      <c r="DL38" s="374"/>
      <c r="DM38" s="374"/>
      <c r="DN38" s="374"/>
      <c r="DO38" s="374"/>
      <c r="DP38" s="379"/>
      <c r="DQ38" s="203"/>
      <c r="DR38" s="202"/>
      <c r="DS38" s="263"/>
      <c r="DT38" s="264" t="s">
        <v>165</v>
      </c>
      <c r="DU38" s="241"/>
      <c r="DV38" s="247"/>
      <c r="DW38" s="460"/>
      <c r="DY38" s="446"/>
      <c r="DZ38" s="208"/>
      <c r="EA38" s="239"/>
      <c r="EB38" s="269" t="s">
        <v>160</v>
      </c>
      <c r="EC38" s="241"/>
      <c r="ED38" s="238"/>
      <c r="EE38" s="487"/>
      <c r="EG38" s="625"/>
      <c r="EH38" s="710" t="str">
        <f>IF(ED39=ED40,"C. 1/16 O",IF(ED39&gt;ED40,EA39,EA40))</f>
        <v>A8</v>
      </c>
      <c r="EI38" s="711"/>
      <c r="EJ38" s="712"/>
      <c r="EK38" s="219">
        <v>0</v>
      </c>
      <c r="EL38" s="791"/>
      <c r="EM38" s="452"/>
      <c r="EN38" s="453"/>
      <c r="EO38" s="208"/>
      <c r="EP38" s="512"/>
      <c r="EQ38" s="512"/>
      <c r="ER38" s="238"/>
      <c r="ES38" s="208"/>
      <c r="EU38" s="704"/>
      <c r="EV38" s="802" t="str">
        <f>IF(ES43=ES44,"résultat",IF(ES43&gt;ES44,EP43,EP44))</f>
        <v>A13</v>
      </c>
      <c r="EW38" s="803"/>
      <c r="EX38" s="804"/>
      <c r="EY38" s="219">
        <v>2</v>
      </c>
      <c r="EZ38" s="144"/>
      <c r="FB38" s="36"/>
      <c r="FD38" s="101"/>
      <c r="FF38" s="537"/>
      <c r="FG38" s="537"/>
    </row>
    <row r="39" spans="1:169" ht="24.95" customHeight="1" thickBot="1">
      <c r="AA39" s="513">
        <v>20</v>
      </c>
      <c r="AB39" s="23"/>
      <c r="AC39" s="23" t="s">
        <v>99</v>
      </c>
      <c r="AD39" s="35"/>
      <c r="AE39" s="24">
        <v>20</v>
      </c>
      <c r="AF39" s="462"/>
      <c r="AG39" s="231"/>
      <c r="AH39" s="111">
        <v>20</v>
      </c>
      <c r="AI39" s="864"/>
      <c r="AJ39" s="866"/>
      <c r="AK39" s="77" t="s">
        <v>51</v>
      </c>
      <c r="AL39" s="78" t="str">
        <f t="shared" si="0"/>
        <v>D5</v>
      </c>
      <c r="AM39" s="220">
        <v>0</v>
      </c>
      <c r="AN39" s="517"/>
      <c r="AO39" s="630"/>
      <c r="AP39" s="637"/>
      <c r="AQ39" s="528"/>
      <c r="AR39" s="221" t="str">
        <f>IF(AM38=AM39,"résultat",IF(AM38&lt;AM39,AL38,AL39))</f>
        <v>D5</v>
      </c>
      <c r="AS39" s="220">
        <v>0</v>
      </c>
      <c r="AU39" s="534"/>
      <c r="AV39" s="534"/>
      <c r="AW39" s="534"/>
      <c r="AX39" s="535"/>
      <c r="AY39" s="534"/>
      <c r="AZ39" s="640"/>
      <c r="BA39" s="519"/>
      <c r="BB39" s="520"/>
      <c r="BC39" s="280"/>
      <c r="BE39" s="613" t="s">
        <v>304</v>
      </c>
      <c r="BF39" s="613"/>
      <c r="BG39" s="613"/>
      <c r="BH39" s="613"/>
      <c r="BI39" s="613"/>
      <c r="BJ39" s="613"/>
      <c r="BK39" s="613"/>
      <c r="BL39" s="613"/>
      <c r="BM39" s="613"/>
      <c r="BN39" s="613"/>
      <c r="BO39" s="613"/>
      <c r="BP39" s="613"/>
      <c r="BQ39" s="613"/>
      <c r="BR39" s="613"/>
      <c r="BS39" s="613"/>
      <c r="BT39" s="613"/>
      <c r="BU39" s="613"/>
      <c r="BV39" s="613"/>
      <c r="BW39" s="613"/>
      <c r="BX39" s="613"/>
      <c r="BY39" s="613"/>
      <c r="BZ39" s="613"/>
      <c r="CA39" s="613"/>
      <c r="CB39" s="613"/>
      <c r="CC39" s="613"/>
      <c r="CD39" s="613"/>
      <c r="CE39" s="613"/>
      <c r="CF39" s="614"/>
      <c r="CG39" s="624">
        <v>8</v>
      </c>
      <c r="CH39" s="455"/>
      <c r="CI39" s="707" t="str">
        <f>+BC48</f>
        <v>A8</v>
      </c>
      <c r="CJ39" s="708"/>
      <c r="CK39" s="708"/>
      <c r="CL39" s="233">
        <v>1</v>
      </c>
      <c r="CM39" s="768" t="str">
        <f>IF($CL39=$CL40,"&amp;",IF($CL39&gt;$CL40,$CI39,$CI40))</f>
        <v>A8</v>
      </c>
      <c r="CO39" s="610" t="s">
        <v>256</v>
      </c>
      <c r="CP39" s="610"/>
      <c r="CQ39" s="610"/>
      <c r="CR39" s="610"/>
      <c r="CS39" s="610"/>
      <c r="CT39" s="610"/>
      <c r="CU39" s="610"/>
      <c r="CV39" s="610"/>
      <c r="CW39" s="610"/>
      <c r="CX39" s="610"/>
      <c r="CY39" s="610"/>
      <c r="CZ39" s="610"/>
      <c r="DA39" s="610"/>
      <c r="DB39" s="610"/>
      <c r="DC39" s="610"/>
      <c r="DD39" s="610"/>
      <c r="DE39" s="610"/>
      <c r="DF39" s="610"/>
      <c r="DG39" s="610"/>
      <c r="DH39" s="610"/>
      <c r="DI39" s="610"/>
      <c r="DJ39" s="610"/>
      <c r="DK39" s="610"/>
      <c r="DL39" s="610"/>
      <c r="DM39" s="610"/>
      <c r="DN39" s="610"/>
      <c r="DO39" s="610"/>
      <c r="DP39" s="611"/>
      <c r="DQ39" s="624">
        <v>24</v>
      </c>
      <c r="DR39" s="455"/>
      <c r="DS39" s="775" t="str">
        <f>+BC53</f>
        <v>C9</v>
      </c>
      <c r="DT39" s="776"/>
      <c r="DU39" s="777"/>
      <c r="DV39" s="213">
        <v>2</v>
      </c>
      <c r="DW39" s="768" t="str">
        <f>IF($DV39=$DV40,"&amp;",IF($DV39&gt;$DV40,$DS39,$DS40))</f>
        <v>C9</v>
      </c>
      <c r="DY39" s="456" t="s">
        <v>61</v>
      </c>
      <c r="DZ39" s="703">
        <v>8</v>
      </c>
      <c r="EA39" s="691" t="str">
        <f>IF(OR($CL39=$CL40),"G. 1/32 H",IF($CL39&gt;$CL40,$CI39,$CI40))</f>
        <v>A8</v>
      </c>
      <c r="EB39" s="692"/>
      <c r="EC39" s="693"/>
      <c r="ED39" s="213">
        <v>1</v>
      </c>
      <c r="EE39" s="674" t="str">
        <f>IF($ED39=$ED40,"&amp;",IF($ED39&gt;$ED40,$EA39,$EA40))</f>
        <v>A8</v>
      </c>
      <c r="EG39" s="228"/>
      <c r="EH39" s="227"/>
      <c r="EI39" s="227"/>
      <c r="EJ39" s="274"/>
      <c r="EK39" s="243"/>
      <c r="EM39" s="452"/>
      <c r="EN39" s="453"/>
      <c r="EO39" s="208"/>
      <c r="EP39" s="512"/>
      <c r="EQ39" s="512"/>
      <c r="ER39" s="238"/>
      <c r="ES39" s="208"/>
      <c r="EU39" s="208"/>
      <c r="EV39" s="208"/>
      <c r="EW39" s="208"/>
      <c r="EX39" s="209"/>
      <c r="EY39" s="208"/>
      <c r="EZ39" s="144"/>
      <c r="FB39" s="36"/>
      <c r="FD39" s="101"/>
      <c r="FF39" s="537"/>
      <c r="FG39" s="537"/>
    </row>
    <row r="40" spans="1:169" ht="24.95" customHeight="1" thickTop="1" thickBot="1">
      <c r="AA40" s="538">
        <v>21</v>
      </c>
      <c r="AB40" s="539"/>
      <c r="AC40" s="23" t="s">
        <v>87</v>
      </c>
      <c r="AD40" s="35"/>
      <c r="AE40" s="24">
        <v>21</v>
      </c>
      <c r="AF40" s="462"/>
      <c r="AG40" s="231"/>
      <c r="AH40" s="118">
        <v>21</v>
      </c>
      <c r="AI40" s="862" t="s">
        <v>24</v>
      </c>
      <c r="AJ40" s="865">
        <v>11</v>
      </c>
      <c r="AK40" s="384" t="s">
        <v>11</v>
      </c>
      <c r="AL40" s="81" t="str">
        <f t="shared" si="0"/>
        <v>A6</v>
      </c>
      <c r="AM40" s="223">
        <v>1</v>
      </c>
      <c r="AN40" s="508"/>
      <c r="AO40" s="628">
        <v>6</v>
      </c>
      <c r="AP40" s="642">
        <v>14</v>
      </c>
      <c r="AQ40" s="509"/>
      <c r="AR40" s="205" t="str">
        <f>IF(AM40=AM41,"résultat",IF(AM40&gt;AM41,AL40,AL41))</f>
        <v>A6</v>
      </c>
      <c r="AS40" s="223">
        <v>1</v>
      </c>
      <c r="AU40" s="534"/>
      <c r="AV40" s="534"/>
      <c r="AW40" s="534"/>
      <c r="AX40" s="535"/>
      <c r="AY40" s="534"/>
      <c r="AZ40" s="638">
        <v>6</v>
      </c>
      <c r="BA40" s="302">
        <v>1</v>
      </c>
      <c r="BB40" s="305"/>
      <c r="BC40" s="309" t="str">
        <f>IF($AG42+$AG43=43,IF($AS40=$AS41,"résultat",IF($AS40&gt;$AS41,$AR40,$AR41)))</f>
        <v>A6</v>
      </c>
      <c r="BE40" s="633" t="s">
        <v>318</v>
      </c>
      <c r="BF40" s="633"/>
      <c r="BG40" s="633"/>
      <c r="BH40" s="633"/>
      <c r="BI40" s="633"/>
      <c r="BJ40" s="633"/>
      <c r="BK40" s="633"/>
      <c r="BL40" s="633"/>
      <c r="BM40" s="633"/>
      <c r="BN40" s="633"/>
      <c r="BO40" s="633"/>
      <c r="BP40" s="633"/>
      <c r="BQ40" s="633"/>
      <c r="BR40" s="633"/>
      <c r="BS40" s="633"/>
      <c r="BT40" s="633"/>
      <c r="BU40" s="633"/>
      <c r="BV40" s="633"/>
      <c r="BW40" s="633"/>
      <c r="BX40" s="633"/>
      <c r="BY40" s="603" t="s">
        <v>314</v>
      </c>
      <c r="BZ40" s="603"/>
      <c r="CA40" s="372"/>
      <c r="CB40" s="372"/>
      <c r="CC40" s="372"/>
      <c r="CD40" s="372"/>
      <c r="CE40" s="372"/>
      <c r="CF40" s="380"/>
      <c r="CG40" s="625"/>
      <c r="CH40" s="458"/>
      <c r="CI40" s="661" t="str">
        <f>IF(OR(AND(J10&lt;590)),"OFFICE",IF(OR(AND(J10&gt;590,J10&lt;610)),BC74,IF(OR(AND(J10&gt;610,J10&lt;810)),BC81,0)))</f>
        <v>C16</v>
      </c>
      <c r="CJ40" s="662"/>
      <c r="CK40" s="663"/>
      <c r="CL40" s="255">
        <v>0</v>
      </c>
      <c r="CM40" s="768"/>
      <c r="CO40" s="612" t="s">
        <v>315</v>
      </c>
      <c r="CP40" s="612"/>
      <c r="CQ40" s="612"/>
      <c r="CR40" s="612"/>
      <c r="CS40" s="612"/>
      <c r="CT40" s="612"/>
      <c r="CU40" s="612"/>
      <c r="CV40" s="612"/>
      <c r="CW40" s="612"/>
      <c r="CX40" s="612"/>
      <c r="CY40" s="612"/>
      <c r="CZ40" s="612"/>
      <c r="DA40" s="612"/>
      <c r="DB40" s="612"/>
      <c r="DC40" s="612"/>
      <c r="DD40" s="612"/>
      <c r="DE40" s="612"/>
      <c r="DF40" s="612"/>
      <c r="DG40" s="612"/>
      <c r="DH40" s="612"/>
      <c r="DI40" s="612"/>
      <c r="DJ40" s="612"/>
      <c r="DK40" s="612"/>
      <c r="DL40" s="612"/>
      <c r="DM40" s="310"/>
      <c r="DN40" s="310" t="s">
        <v>280</v>
      </c>
      <c r="DO40" s="615" t="s">
        <v>261</v>
      </c>
      <c r="DP40" s="616"/>
      <c r="DQ40" s="625"/>
      <c r="DR40" s="458"/>
      <c r="DS40" s="664" t="str">
        <f>IF(OR(AND(J10&lt;550)),"OFFICE",IF(OR(AND(J10&gt;550,J10&lt;570)),BC70,IF(OR(AND(J10&gt;570,J10&lt;810)),BC76)))</f>
        <v>A15</v>
      </c>
      <c r="DT40" s="665"/>
      <c r="DU40" s="666"/>
      <c r="DV40" s="218">
        <v>0</v>
      </c>
      <c r="DW40" s="768"/>
      <c r="DY40" s="456" t="s">
        <v>165</v>
      </c>
      <c r="DZ40" s="704"/>
      <c r="EA40" s="670" t="str">
        <f>IF(OR(DV39=DV40),"G. 1/32 X",IF(DV39&gt;DV40,DS39,DS40))</f>
        <v>C9</v>
      </c>
      <c r="EB40" s="671"/>
      <c r="EC40" s="672"/>
      <c r="ED40" s="218">
        <v>0</v>
      </c>
      <c r="EE40" s="674"/>
      <c r="EG40" s="228"/>
      <c r="EH40" s="227"/>
      <c r="EI40" s="227"/>
      <c r="EJ40" s="274"/>
      <c r="EK40" s="243"/>
      <c r="EM40" s="251"/>
      <c r="EN40" s="453"/>
      <c r="EO40" s="208"/>
      <c r="EP40" s="512"/>
      <c r="EQ40" s="512"/>
      <c r="ER40" s="238"/>
      <c r="ES40" s="208"/>
      <c r="EU40" s="208"/>
      <c r="EV40" s="208"/>
      <c r="EW40" s="208"/>
      <c r="EX40" s="209"/>
      <c r="EY40" s="208"/>
      <c r="EZ40" s="144"/>
      <c r="FB40" s="36"/>
      <c r="FD40" s="101"/>
      <c r="FF40" s="537"/>
      <c r="FG40" s="537"/>
    </row>
    <row r="41" spans="1:169" ht="24.95" customHeight="1" thickBot="1">
      <c r="AA41" s="513">
        <v>22</v>
      </c>
      <c r="AB41" s="23"/>
      <c r="AC41" s="23" t="s">
        <v>100</v>
      </c>
      <c r="AD41" s="35"/>
      <c r="AE41" s="24">
        <v>22</v>
      </c>
      <c r="AF41" s="462"/>
      <c r="AG41" s="231"/>
      <c r="AH41" s="120">
        <v>22</v>
      </c>
      <c r="AI41" s="863"/>
      <c r="AJ41" s="866"/>
      <c r="AK41" s="77" t="s">
        <v>12</v>
      </c>
      <c r="AL41" s="80" t="str">
        <f t="shared" si="0"/>
        <v>B6</v>
      </c>
      <c r="AM41" s="210">
        <v>0</v>
      </c>
      <c r="AN41" s="508"/>
      <c r="AO41" s="629"/>
      <c r="AP41" s="643"/>
      <c r="AQ41" s="514"/>
      <c r="AR41" s="206" t="str">
        <f>IF(AM42=AM43,"résultat",IF(AM42&gt;AM43,AL42,AL43))</f>
        <v>C6</v>
      </c>
      <c r="AS41" s="210">
        <v>0</v>
      </c>
      <c r="AT41" s="525"/>
      <c r="AU41" s="534"/>
      <c r="AV41" s="534"/>
      <c r="AW41" s="534"/>
      <c r="AX41" s="535"/>
      <c r="AY41" s="534"/>
      <c r="AZ41" s="639"/>
      <c r="BA41" s="303">
        <v>2</v>
      </c>
      <c r="BB41" s="306"/>
      <c r="BC41" s="308" t="str">
        <f>IF($AG42+$AG43=43,IF($AS40=$AS41,"résultat",IF($AS40&lt;$AS41,$AR40,$AR41)))</f>
        <v>C6</v>
      </c>
      <c r="BE41" s="280"/>
      <c r="BF41" s="280"/>
      <c r="BG41" s="280"/>
      <c r="BH41" s="280"/>
      <c r="BI41" s="280"/>
      <c r="BJ41" s="280"/>
      <c r="BK41" s="280"/>
      <c r="BL41" s="280"/>
      <c r="BM41" s="280"/>
      <c r="BN41" s="280"/>
      <c r="BO41" s="280"/>
      <c r="BP41" s="280"/>
      <c r="BQ41" s="280"/>
      <c r="BR41" s="280"/>
      <c r="BS41" s="280"/>
      <c r="BT41" s="280"/>
      <c r="BU41" s="280"/>
      <c r="BV41" s="280"/>
      <c r="BW41" s="280"/>
      <c r="BX41" s="280"/>
      <c r="BY41" s="376"/>
      <c r="BZ41" s="376"/>
      <c r="CA41" s="376"/>
      <c r="CB41" s="376"/>
      <c r="CC41" s="376"/>
      <c r="CD41" s="376"/>
      <c r="CE41" s="376"/>
      <c r="CF41" s="376"/>
      <c r="CG41" s="250"/>
      <c r="CH41" s="250"/>
      <c r="CI41" s="364"/>
      <c r="CJ41" s="265"/>
      <c r="CK41" s="265"/>
      <c r="CL41" s="256"/>
      <c r="CM41" s="449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376"/>
      <c r="DJ41" s="376"/>
      <c r="DK41" s="376"/>
      <c r="DL41" s="376"/>
      <c r="DM41" s="376"/>
      <c r="DN41" s="376"/>
      <c r="DO41" s="376"/>
      <c r="DP41" s="377"/>
      <c r="DQ41" s="101"/>
      <c r="DR41" s="101"/>
      <c r="DS41" s="246"/>
      <c r="DT41" s="232"/>
      <c r="DU41" s="232"/>
      <c r="DV41" s="247"/>
      <c r="DW41" s="460"/>
      <c r="DY41" s="446"/>
      <c r="DZ41" s="251"/>
      <c r="EA41" s="271"/>
      <c r="EB41" s="271"/>
      <c r="EC41" s="271"/>
      <c r="ED41" s="251"/>
      <c r="EE41" s="542"/>
      <c r="EG41" s="228"/>
      <c r="EH41" s="227"/>
      <c r="EI41" s="227"/>
      <c r="EJ41" s="274"/>
      <c r="EK41" s="243"/>
      <c r="EN41" s="453"/>
      <c r="EO41" s="208"/>
      <c r="EP41" s="512"/>
      <c r="EQ41" s="512"/>
      <c r="ER41" s="238"/>
      <c r="ES41" s="208"/>
      <c r="EU41" s="208"/>
      <c r="EV41" s="208"/>
      <c r="EW41" s="208"/>
      <c r="EX41" s="209"/>
      <c r="EY41" s="208"/>
      <c r="EZ41" s="144"/>
      <c r="FB41" s="36"/>
      <c r="FD41" s="101"/>
      <c r="FF41" s="537"/>
      <c r="FG41" s="537"/>
      <c r="FH41" s="201"/>
      <c r="FI41" s="251"/>
      <c r="FJ41" s="201"/>
      <c r="FK41" s="201"/>
      <c r="FL41" s="201"/>
      <c r="FM41" s="251"/>
    </row>
    <row r="42" spans="1:169" ht="24.95" customHeight="1" thickBot="1">
      <c r="AA42" s="538">
        <v>23</v>
      </c>
      <c r="AB42" s="539"/>
      <c r="AC42" s="23" t="s">
        <v>101</v>
      </c>
      <c r="AD42" s="35"/>
      <c r="AE42" s="24">
        <v>23</v>
      </c>
      <c r="AF42" s="462"/>
      <c r="AG42" s="231" t="str">
        <f>CONCATENATE(J17,J18)</f>
        <v>43</v>
      </c>
      <c r="AH42" s="120">
        <v>23</v>
      </c>
      <c r="AI42" s="863"/>
      <c r="AJ42" s="865">
        <v>12</v>
      </c>
      <c r="AK42" s="384" t="s">
        <v>58</v>
      </c>
      <c r="AL42" s="75" t="str">
        <f t="shared" si="0"/>
        <v>C6</v>
      </c>
      <c r="AM42" s="215">
        <v>1</v>
      </c>
      <c r="AN42" s="508"/>
      <c r="AO42" s="629"/>
      <c r="AP42" s="641">
        <v>15</v>
      </c>
      <c r="AQ42" s="527"/>
      <c r="AR42" s="216" t="str">
        <f>IF(AM40=AM41,"résultat",IF(AM40&lt;AM41,AL40,AL41))</f>
        <v>B6</v>
      </c>
      <c r="AS42" s="215">
        <v>1</v>
      </c>
      <c r="AU42" s="534"/>
      <c r="AV42" s="534"/>
      <c r="AW42" s="534"/>
      <c r="AX42" s="535"/>
      <c r="AY42" s="534"/>
      <c r="AZ42" s="639"/>
      <c r="BA42" s="304">
        <v>3</v>
      </c>
      <c r="BB42" s="306"/>
      <c r="BC42" s="579" t="str">
        <f>IF($AG42+$AG43=43,IF($AS42=$AS43,"résultat",IF($AS42&gt;$AS43,$AR42,$AR43)))</f>
        <v>B6</v>
      </c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313"/>
      <c r="BS42" s="365"/>
      <c r="BT42" s="365"/>
      <c r="BU42" s="365"/>
      <c r="BV42" s="365"/>
      <c r="BW42" s="365"/>
      <c r="BX42" s="365"/>
      <c r="BY42" s="374"/>
      <c r="BZ42" s="374"/>
      <c r="CA42" s="374"/>
      <c r="CB42" s="374"/>
      <c r="CC42" s="374"/>
      <c r="CD42" s="374"/>
      <c r="CE42" s="374"/>
      <c r="CF42" s="374"/>
      <c r="CG42" s="202"/>
      <c r="CH42" s="229"/>
      <c r="CI42" s="263"/>
      <c r="CJ42" s="264" t="s">
        <v>160</v>
      </c>
      <c r="CK42" s="266"/>
      <c r="CL42" s="247"/>
      <c r="CM42" s="444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378"/>
      <c r="DJ42" s="378"/>
      <c r="DK42" s="374"/>
      <c r="DL42" s="374"/>
      <c r="DM42" s="374"/>
      <c r="DN42" s="374"/>
      <c r="DO42" s="374"/>
      <c r="DP42" s="379"/>
      <c r="DQ42" s="229"/>
      <c r="DR42" s="229"/>
      <c r="DS42" s="232"/>
      <c r="DT42" s="264" t="s">
        <v>166</v>
      </c>
      <c r="DU42" s="241"/>
      <c r="DV42" s="203"/>
      <c r="DW42" s="444"/>
      <c r="DY42" s="460"/>
      <c r="DZ42" s="201" t="s">
        <v>239</v>
      </c>
      <c r="EA42" s="272"/>
      <c r="EB42" s="269" t="s">
        <v>61</v>
      </c>
      <c r="EC42" s="241"/>
      <c r="ED42" s="203" t="s">
        <v>238</v>
      </c>
      <c r="EE42" s="543"/>
      <c r="EG42" s="228"/>
      <c r="EH42" s="227"/>
      <c r="EI42" s="227"/>
      <c r="EJ42" s="274"/>
      <c r="EK42" s="243"/>
      <c r="EM42" s="35"/>
      <c r="EN42" s="453"/>
      <c r="EO42" s="208"/>
      <c r="EP42" s="512"/>
      <c r="EQ42" s="451" t="s">
        <v>51</v>
      </c>
      <c r="ER42" s="306"/>
      <c r="ES42" s="208"/>
      <c r="EU42" s="208"/>
      <c r="EV42" s="208"/>
      <c r="EW42" s="208"/>
      <c r="EX42" s="209"/>
      <c r="EY42" s="208"/>
      <c r="EZ42" s="144"/>
      <c r="FB42" s="36"/>
      <c r="FD42" s="101"/>
      <c r="FF42" s="537"/>
      <c r="FG42" s="537"/>
      <c r="FH42" s="243"/>
      <c r="FI42" s="243"/>
      <c r="FJ42" s="243"/>
      <c r="FK42" s="201"/>
      <c r="FL42" s="201"/>
      <c r="FM42" s="201"/>
    </row>
    <row r="43" spans="1:169" ht="24.95" customHeight="1" thickBot="1">
      <c r="AA43" s="513">
        <v>24</v>
      </c>
      <c r="AB43" s="23"/>
      <c r="AC43" s="23" t="s">
        <v>102</v>
      </c>
      <c r="AD43" s="35"/>
      <c r="AE43" s="24">
        <v>24</v>
      </c>
      <c r="AF43" s="462"/>
      <c r="AG43" s="231"/>
      <c r="AH43" s="121">
        <v>24</v>
      </c>
      <c r="AI43" s="864"/>
      <c r="AJ43" s="866"/>
      <c r="AK43" s="77" t="s">
        <v>51</v>
      </c>
      <c r="AL43" s="78" t="str">
        <f t="shared" si="0"/>
        <v>D6</v>
      </c>
      <c r="AM43" s="220">
        <v>0</v>
      </c>
      <c r="AN43" s="517"/>
      <c r="AO43" s="630"/>
      <c r="AP43" s="637"/>
      <c r="AQ43" s="528"/>
      <c r="AR43" s="221" t="str">
        <f>IF(AM42=AM43,"résultat",IF(AM42&lt;AM43,AL42,AL43))</f>
        <v>D6</v>
      </c>
      <c r="AS43" s="220">
        <v>0</v>
      </c>
      <c r="AU43" s="534"/>
      <c r="AV43" s="534"/>
      <c r="AW43" s="534"/>
      <c r="AX43" s="535"/>
      <c r="AY43" s="534"/>
      <c r="AZ43" s="640"/>
      <c r="BA43" s="200"/>
      <c r="BB43" s="524"/>
      <c r="BC43" s="280"/>
      <c r="BE43" s="613" t="s">
        <v>305</v>
      </c>
      <c r="BF43" s="613"/>
      <c r="BG43" s="613"/>
      <c r="BH43" s="613"/>
      <c r="BI43" s="613"/>
      <c r="BJ43" s="613"/>
      <c r="BK43" s="613"/>
      <c r="BL43" s="613"/>
      <c r="BM43" s="613"/>
      <c r="BN43" s="613"/>
      <c r="BO43" s="613"/>
      <c r="BP43" s="613"/>
      <c r="BQ43" s="613"/>
      <c r="BR43" s="613"/>
      <c r="BS43" s="613"/>
      <c r="BT43" s="613"/>
      <c r="BU43" s="613"/>
      <c r="BV43" s="613"/>
      <c r="BW43" s="613"/>
      <c r="BX43" s="613"/>
      <c r="BY43" s="613"/>
      <c r="BZ43" s="613"/>
      <c r="CA43" s="613"/>
      <c r="CB43" s="613"/>
      <c r="CC43" s="613"/>
      <c r="CD43" s="613"/>
      <c r="CE43" s="613"/>
      <c r="CF43" s="614"/>
      <c r="CG43" s="624">
        <v>9</v>
      </c>
      <c r="CH43" s="455"/>
      <c r="CI43" s="707" t="str">
        <f>+BC52</f>
        <v>A9</v>
      </c>
      <c r="CJ43" s="708"/>
      <c r="CK43" s="767"/>
      <c r="CL43" s="233">
        <v>1</v>
      </c>
      <c r="CM43" s="706" t="str">
        <f>IF($CL43=$CL44,"&amp;",IF($CL43&gt;$CL44,$CI43,$CI44))</f>
        <v>A9</v>
      </c>
      <c r="CN43" s="618"/>
      <c r="CO43" s="610" t="s">
        <v>255</v>
      </c>
      <c r="CP43" s="610"/>
      <c r="CQ43" s="610"/>
      <c r="CR43" s="610"/>
      <c r="CS43" s="610"/>
      <c r="CT43" s="610"/>
      <c r="CU43" s="610"/>
      <c r="CV43" s="610"/>
      <c r="CW43" s="610"/>
      <c r="CX43" s="610"/>
      <c r="CY43" s="610"/>
      <c r="CZ43" s="610"/>
      <c r="DA43" s="610"/>
      <c r="DB43" s="610"/>
      <c r="DC43" s="610"/>
      <c r="DD43" s="610"/>
      <c r="DE43" s="610"/>
      <c r="DF43" s="610"/>
      <c r="DG43" s="610"/>
      <c r="DH43" s="610"/>
      <c r="DI43" s="610"/>
      <c r="DJ43" s="610"/>
      <c r="DK43" s="610"/>
      <c r="DL43" s="610"/>
      <c r="DM43" s="610"/>
      <c r="DN43" s="610"/>
      <c r="DO43" s="610"/>
      <c r="DP43" s="611"/>
      <c r="DQ43" s="624">
        <v>25</v>
      </c>
      <c r="DR43" s="506"/>
      <c r="DS43" s="775" t="str">
        <f>+BC49</f>
        <v>C8</v>
      </c>
      <c r="DT43" s="776"/>
      <c r="DU43" s="777"/>
      <c r="DV43" s="213">
        <v>1</v>
      </c>
      <c r="DW43" s="706" t="str">
        <f>IF($DV43=$DV44,"&amp;",IF($DV43&gt;$DV44,$DS43,$DS44))</f>
        <v>C8</v>
      </c>
      <c r="DY43" s="456" t="s">
        <v>160</v>
      </c>
      <c r="DZ43" s="624">
        <v>9</v>
      </c>
      <c r="EA43" s="694" t="str">
        <f>IF(OR(CL43=CL44),"G. 1/32 I",IF(CL43&gt;CL44,CI43,CI44))</f>
        <v>A9</v>
      </c>
      <c r="EB43" s="695"/>
      <c r="EC43" s="696"/>
      <c r="ED43" s="213">
        <v>1</v>
      </c>
      <c r="EE43" s="827" t="str">
        <f>IF($ED43=$ED44,"&amp;",IF($ED43&gt;$ED44,$EA43,$EA44))</f>
        <v>A9</v>
      </c>
      <c r="EG43" s="228"/>
      <c r="EH43" s="227"/>
      <c r="EI43" s="227"/>
      <c r="EJ43" s="274"/>
      <c r="EK43" s="243"/>
      <c r="EM43" s="35"/>
      <c r="EN43" s="598" t="s">
        <v>60</v>
      </c>
      <c r="EO43" s="703">
        <v>3</v>
      </c>
      <c r="EP43" s="796" t="str">
        <f>IF(OR(EK61=EK62),"Gagnant 1/8 G",IF(AND(EK61&gt;EK62),EH61,EH62))</f>
        <v>A13</v>
      </c>
      <c r="EQ43" s="797"/>
      <c r="ER43" s="798"/>
      <c r="ES43" s="212">
        <v>1</v>
      </c>
      <c r="EU43" s="208"/>
      <c r="EV43" s="208"/>
      <c r="EW43" s="208"/>
      <c r="EX43" s="209"/>
      <c r="EY43" s="208"/>
      <c r="EZ43" s="144"/>
      <c r="FB43" s="36"/>
      <c r="FD43" s="101"/>
      <c r="FF43" s="537"/>
      <c r="FG43" s="537"/>
      <c r="FH43" s="243"/>
      <c r="FI43" s="243"/>
      <c r="FJ43" s="243"/>
      <c r="FK43" s="201"/>
      <c r="FL43" s="201"/>
      <c r="FM43" s="201"/>
    </row>
    <row r="44" spans="1:169" ht="24.95" customHeight="1" thickTop="1" thickBot="1">
      <c r="AA44" s="538">
        <v>25</v>
      </c>
      <c r="AB44" s="539"/>
      <c r="AC44" s="23" t="s">
        <v>103</v>
      </c>
      <c r="AD44" s="35"/>
      <c r="AE44" s="24">
        <v>25</v>
      </c>
      <c r="AF44" s="462"/>
      <c r="AG44" s="231"/>
      <c r="AH44" s="116">
        <v>25</v>
      </c>
      <c r="AI44" s="862" t="s">
        <v>25</v>
      </c>
      <c r="AJ44" s="865">
        <v>13</v>
      </c>
      <c r="AK44" s="384" t="s">
        <v>11</v>
      </c>
      <c r="AL44" s="75" t="str">
        <f t="shared" si="0"/>
        <v>A7</v>
      </c>
      <c r="AM44" s="223">
        <v>1</v>
      </c>
      <c r="AN44" s="508"/>
      <c r="AO44" s="628">
        <v>7</v>
      </c>
      <c r="AP44" s="642">
        <v>16</v>
      </c>
      <c r="AQ44" s="509"/>
      <c r="AR44" s="205" t="str">
        <f>IF(AM44=AM45,"résultat",IF(AM44&gt;AM45,AL44,AL45))</f>
        <v>A7</v>
      </c>
      <c r="AS44" s="223">
        <v>1</v>
      </c>
      <c r="AU44" s="534"/>
      <c r="AV44" s="534"/>
      <c r="AW44" s="534"/>
      <c r="AX44" s="535"/>
      <c r="AY44" s="534"/>
      <c r="AZ44" s="638">
        <v>7</v>
      </c>
      <c r="BA44" s="302">
        <v>1</v>
      </c>
      <c r="BB44" s="305"/>
      <c r="BC44" s="309" t="str">
        <f>IF($AG46+$AG47=43,IF($AS44=$AS45,"résultat",IF($AS44&gt;$AS45,$AR44,$AR45)))</f>
        <v>A7</v>
      </c>
      <c r="BE44" s="633" t="s">
        <v>316</v>
      </c>
      <c r="BF44" s="633"/>
      <c r="BG44" s="633"/>
      <c r="BH44" s="633"/>
      <c r="BI44" s="633"/>
      <c r="BJ44" s="633"/>
      <c r="BK44" s="633"/>
      <c r="BL44" s="633"/>
      <c r="BM44" s="633"/>
      <c r="BN44" s="633"/>
      <c r="BO44" s="633"/>
      <c r="BP44" s="633"/>
      <c r="BQ44" s="633"/>
      <c r="BR44" s="633"/>
      <c r="BS44" s="633"/>
      <c r="BT44" s="633"/>
      <c r="BU44" s="633"/>
      <c r="BV44" s="633"/>
      <c r="BW44" s="633"/>
      <c r="BX44" s="633"/>
      <c r="BY44" s="633"/>
      <c r="BZ44" s="633"/>
      <c r="CA44" s="633"/>
      <c r="CB44" s="633"/>
      <c r="CC44" s="371" t="s">
        <v>314</v>
      </c>
      <c r="CD44" s="372"/>
      <c r="CE44" s="372"/>
      <c r="CF44" s="380" t="s">
        <v>261</v>
      </c>
      <c r="CG44" s="625"/>
      <c r="CH44" s="458"/>
      <c r="CI44" s="661" t="str">
        <f>IF(OR(AND(J10&lt;560)),"OFFICE",IF(OR(AND(J10&gt;560,J10&lt;570)),BC74,IF(OR(AND(J10&gt;570)),BC77,0)))</f>
        <v>C15</v>
      </c>
      <c r="CJ44" s="662"/>
      <c r="CK44" s="663"/>
      <c r="CL44" s="255">
        <v>0</v>
      </c>
      <c r="CM44" s="706"/>
      <c r="CN44" s="618"/>
      <c r="CO44" s="599" t="s">
        <v>325</v>
      </c>
      <c r="CP44" s="599"/>
      <c r="CQ44" s="599"/>
      <c r="CR44" s="599"/>
      <c r="CS44" s="599"/>
      <c r="CT44" s="599"/>
      <c r="CU44" s="599"/>
      <c r="CV44" s="599"/>
      <c r="CW44" s="599"/>
      <c r="CX44" s="599"/>
      <c r="CY44" s="599"/>
      <c r="CZ44" s="599"/>
      <c r="DA44" s="635" t="s">
        <v>320</v>
      </c>
      <c r="DB44" s="840"/>
      <c r="DC44" s="381"/>
      <c r="DD44" s="381"/>
      <c r="DE44" s="381"/>
      <c r="DF44" s="381" t="s">
        <v>280</v>
      </c>
      <c r="DG44" s="381"/>
      <c r="DH44" s="381"/>
      <c r="DI44" s="381"/>
      <c r="DJ44" s="381"/>
      <c r="DK44" s="381"/>
      <c r="DL44" s="615" t="s">
        <v>261</v>
      </c>
      <c r="DM44" s="615"/>
      <c r="DN44" s="615"/>
      <c r="DO44" s="615"/>
      <c r="DP44" s="616"/>
      <c r="DQ44" s="625"/>
      <c r="DR44" s="511"/>
      <c r="DS44" s="658" t="str">
        <f>IF(OR(AND(J10&lt;580)),"OFFICE",IF(OR(AND(J10&gt;580,J10&lt;670)),BC70,IF(OR(AND(J10&gt;670,J10&lt;690)),BC82,IF(OR(AND(J10&gt;690,J10&lt;810)),BC88,0))))</f>
        <v>B13</v>
      </c>
      <c r="DT44" s="659"/>
      <c r="DU44" s="660"/>
      <c r="DV44" s="218">
        <v>0</v>
      </c>
      <c r="DW44" s="706"/>
      <c r="DY44" s="456" t="s">
        <v>166</v>
      </c>
      <c r="DZ44" s="625"/>
      <c r="EA44" s="697" t="str">
        <f>IF(OR(DV43=DV44),"G. 1/32 Y",IF(DV43&gt;DV44,DS43,DS44))</f>
        <v>C8</v>
      </c>
      <c r="EB44" s="698"/>
      <c r="EC44" s="699"/>
      <c r="ED44" s="218">
        <v>0</v>
      </c>
      <c r="EE44" s="827"/>
      <c r="EG44" s="209"/>
      <c r="EH44" s="239"/>
      <c r="EI44" s="240" t="s">
        <v>52</v>
      </c>
      <c r="EJ44" s="241"/>
      <c r="EK44" s="208"/>
      <c r="EL44" s="208"/>
      <c r="EM44" s="242"/>
      <c r="EN44" s="551" t="s">
        <v>61</v>
      </c>
      <c r="EO44" s="704"/>
      <c r="EP44" s="681" t="str">
        <f>IF(OR(EK69=EK70),"Gagnant 1/8 H",IF(AND(EK69&gt;EK70),EH69,EH70))</f>
        <v>CQ 1_</v>
      </c>
      <c r="EQ44" s="682"/>
      <c r="ER44" s="683"/>
      <c r="ES44" s="219">
        <v>0</v>
      </c>
      <c r="EU44" s="208"/>
      <c r="EV44" s="208"/>
      <c r="EW44" s="208"/>
      <c r="EX44" s="209"/>
      <c r="EY44" s="208"/>
      <c r="EZ44" s="144"/>
      <c r="FB44" s="36"/>
      <c r="FD44" s="101"/>
      <c r="FF44" s="537"/>
      <c r="FG44" s="537"/>
      <c r="FH44" s="201"/>
    </row>
    <row r="45" spans="1:169" ht="24.95" customHeight="1" thickBot="1">
      <c r="AA45" s="513">
        <v>26</v>
      </c>
      <c r="AB45" s="23"/>
      <c r="AC45" s="23" t="s">
        <v>104</v>
      </c>
      <c r="AD45" s="35"/>
      <c r="AE45" s="24">
        <v>26</v>
      </c>
      <c r="AF45" s="462"/>
      <c r="AG45" s="231"/>
      <c r="AH45" s="110">
        <v>26</v>
      </c>
      <c r="AI45" s="863"/>
      <c r="AJ45" s="866"/>
      <c r="AK45" s="77" t="s">
        <v>12</v>
      </c>
      <c r="AL45" s="78" t="str">
        <f t="shared" si="0"/>
        <v>B7</v>
      </c>
      <c r="AM45" s="210">
        <v>0</v>
      </c>
      <c r="AN45" s="508"/>
      <c r="AO45" s="629"/>
      <c r="AP45" s="643"/>
      <c r="AQ45" s="514"/>
      <c r="AR45" s="206" t="str">
        <f>IF(AM46=AM47,"résultat",IF(AM46&gt;AM47,AL46,AL47))</f>
        <v>C7</v>
      </c>
      <c r="AS45" s="210">
        <v>0</v>
      </c>
      <c r="AT45" s="525"/>
      <c r="AU45" s="534"/>
      <c r="AV45" s="534"/>
      <c r="AW45" s="534"/>
      <c r="AX45" s="535"/>
      <c r="AY45" s="534"/>
      <c r="AZ45" s="639"/>
      <c r="BA45" s="303">
        <v>2</v>
      </c>
      <c r="BB45" s="306"/>
      <c r="BC45" s="308" t="str">
        <f>IF($AG46+$AG47=43,IF($AS44=$AS45,"résultat",IF($AS44&lt;$AS45,$AR44,$AR45)))</f>
        <v>C7</v>
      </c>
      <c r="BE45" s="376"/>
      <c r="BF45" s="376"/>
      <c r="BG45" s="376"/>
      <c r="BH45" s="376"/>
      <c r="BI45" s="376"/>
      <c r="BJ45" s="376"/>
      <c r="BK45" s="376"/>
      <c r="BL45" s="376"/>
      <c r="BM45" s="376"/>
      <c r="BN45" s="376"/>
      <c r="BO45" s="376"/>
      <c r="BP45" s="376"/>
      <c r="BQ45" s="376"/>
      <c r="BR45" s="376"/>
      <c r="BS45" s="376"/>
      <c r="BT45" s="376"/>
      <c r="BU45" s="376"/>
      <c r="BV45" s="376"/>
      <c r="BW45" s="376"/>
      <c r="BX45" s="376"/>
      <c r="BY45" s="376"/>
      <c r="BZ45" s="376"/>
      <c r="CA45" s="376"/>
      <c r="CB45" s="376"/>
      <c r="CC45" s="376"/>
      <c r="CD45" s="376"/>
      <c r="CE45" s="376"/>
      <c r="CF45" s="376"/>
      <c r="CG45" s="202"/>
      <c r="CH45" s="202"/>
      <c r="CI45" s="263"/>
      <c r="CJ45" s="267"/>
      <c r="CK45" s="267"/>
      <c r="CL45" s="203"/>
      <c r="CM45" s="460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376"/>
      <c r="DJ45" s="376"/>
      <c r="DK45" s="376"/>
      <c r="DL45" s="376"/>
      <c r="DM45" s="376"/>
      <c r="DN45" s="376"/>
      <c r="DO45" s="376"/>
      <c r="DP45" s="377"/>
      <c r="DQ45" s="229"/>
      <c r="DR45" s="229"/>
      <c r="DS45" s="232"/>
      <c r="DT45" s="246"/>
      <c r="DU45" s="246"/>
      <c r="DV45" s="247"/>
      <c r="DW45" s="460"/>
      <c r="DY45" s="446"/>
      <c r="DZ45" s="238"/>
      <c r="EA45" s="239"/>
      <c r="EB45" s="239"/>
      <c r="EC45" s="239"/>
      <c r="ED45" s="209"/>
      <c r="EE45" s="544"/>
      <c r="EG45" s="624">
        <v>5</v>
      </c>
      <c r="EH45" s="694" t="str">
        <f>IF(ED43=ED44,"G. 1/16 H",IF(ED43&gt;ED44,EA43,EA44))</f>
        <v>A9</v>
      </c>
      <c r="EI45" s="695"/>
      <c r="EJ45" s="696"/>
      <c r="EK45" s="212">
        <v>1</v>
      </c>
      <c r="EL45" s="815" t="str">
        <f>IF(EK45=EK46,"&amp;",IF(EK45&gt;EK46,EH45,EH46))</f>
        <v>A9</v>
      </c>
      <c r="EM45" s="545"/>
      <c r="EN45" s="453"/>
      <c r="EO45" s="208"/>
      <c r="EP45" s="208"/>
      <c r="EQ45" s="208"/>
      <c r="ER45" s="209"/>
      <c r="ES45" s="208"/>
      <c r="EU45" s="208"/>
      <c r="EV45" s="208"/>
      <c r="EW45" s="208"/>
      <c r="EX45" s="209"/>
      <c r="EY45" s="208"/>
      <c r="EZ45" s="144"/>
      <c r="FB45" s="36"/>
      <c r="FD45" s="101"/>
      <c r="FF45" s="537"/>
      <c r="FG45" s="537"/>
      <c r="FH45" s="201"/>
    </row>
    <row r="46" spans="1:169" ht="24.95" customHeight="1" thickBot="1">
      <c r="AA46" s="538">
        <v>27</v>
      </c>
      <c r="AB46" s="539"/>
      <c r="AC46" s="23" t="s">
        <v>105</v>
      </c>
      <c r="AD46" s="35"/>
      <c r="AE46" s="24">
        <v>27</v>
      </c>
      <c r="AF46" s="462"/>
      <c r="AG46" s="231" t="str">
        <f>CONCATENATE(K17,K18)</f>
        <v>43</v>
      </c>
      <c r="AH46" s="110">
        <v>27</v>
      </c>
      <c r="AI46" s="863"/>
      <c r="AJ46" s="865">
        <v>14</v>
      </c>
      <c r="AK46" s="384" t="s">
        <v>58</v>
      </c>
      <c r="AL46" s="79" t="str">
        <f t="shared" si="0"/>
        <v>C7</v>
      </c>
      <c r="AM46" s="215">
        <v>1</v>
      </c>
      <c r="AN46" s="508"/>
      <c r="AO46" s="629"/>
      <c r="AP46" s="641">
        <v>17</v>
      </c>
      <c r="AQ46" s="527"/>
      <c r="AR46" s="216" t="str">
        <f>IF(AM44=AM45,"résultat",IF(AM44&lt;AM45,AL44,AL45))</f>
        <v>B7</v>
      </c>
      <c r="AS46" s="215">
        <v>1</v>
      </c>
      <c r="AU46" s="534"/>
      <c r="AV46" s="534"/>
      <c r="AW46" s="534"/>
      <c r="AX46" s="535"/>
      <c r="AY46" s="534"/>
      <c r="AZ46" s="639"/>
      <c r="BA46" s="304">
        <v>3</v>
      </c>
      <c r="BB46" s="306"/>
      <c r="BC46" s="579" t="str">
        <f>IF($AG46+$AG47=43,IF($AS46=$AS47,"résultat",IF($AS46&gt;$AS47,$AR46,$AR47)))</f>
        <v>B7</v>
      </c>
      <c r="BE46" s="378"/>
      <c r="BF46" s="378"/>
      <c r="BG46" s="378"/>
      <c r="BH46" s="378"/>
      <c r="BI46" s="378"/>
      <c r="BJ46" s="378"/>
      <c r="BK46" s="378"/>
      <c r="BL46" s="378"/>
      <c r="BM46" s="378"/>
      <c r="BN46" s="378"/>
      <c r="BO46" s="378"/>
      <c r="BP46" s="378"/>
      <c r="BQ46" s="378"/>
      <c r="BR46" s="378"/>
      <c r="BS46" s="374"/>
      <c r="BT46" s="374"/>
      <c r="BU46" s="374"/>
      <c r="BV46" s="374"/>
      <c r="BW46" s="374"/>
      <c r="BX46" s="374"/>
      <c r="BY46" s="374"/>
      <c r="BZ46" s="374"/>
      <c r="CA46" s="374"/>
      <c r="CB46" s="374"/>
      <c r="CC46" s="374"/>
      <c r="CD46" s="374"/>
      <c r="CE46" s="374"/>
      <c r="CF46" s="374"/>
      <c r="CG46" s="202"/>
      <c r="CH46" s="202"/>
      <c r="CI46" s="263"/>
      <c r="CJ46" s="264" t="s">
        <v>161</v>
      </c>
      <c r="CK46" s="266"/>
      <c r="CL46" s="203"/>
      <c r="CM46" s="460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378"/>
      <c r="DJ46" s="378"/>
      <c r="DK46" s="374"/>
      <c r="DL46" s="374"/>
      <c r="DM46" s="374"/>
      <c r="DN46" s="374"/>
      <c r="DO46" s="374"/>
      <c r="DP46" s="379"/>
      <c r="DQ46" s="202"/>
      <c r="DR46" s="229"/>
      <c r="DS46" s="263"/>
      <c r="DT46" s="264" t="s">
        <v>167</v>
      </c>
      <c r="DU46" s="241"/>
      <c r="DV46" s="247"/>
      <c r="DW46" s="460"/>
      <c r="DY46" s="446"/>
      <c r="DZ46" s="238"/>
      <c r="EA46" s="239"/>
      <c r="EB46" s="269" t="s">
        <v>60</v>
      </c>
      <c r="EC46" s="246"/>
      <c r="ED46" s="101"/>
      <c r="EE46" s="546"/>
      <c r="EG46" s="625"/>
      <c r="EH46" s="834" t="str">
        <f>IF(ED47=ED48,"G. 1/16 G",IF(ED47&gt;ED48,EA47,EA48))</f>
        <v>A10</v>
      </c>
      <c r="EI46" s="805"/>
      <c r="EJ46" s="806"/>
      <c r="EK46" s="219">
        <v>0</v>
      </c>
      <c r="EL46" s="815"/>
      <c r="EM46" s="242"/>
      <c r="EN46" s="443"/>
      <c r="EO46" s="208"/>
      <c r="EP46" s="208"/>
      <c r="EQ46" s="208"/>
      <c r="ER46" s="209"/>
      <c r="ES46" s="208"/>
      <c r="EU46" s="208"/>
      <c r="EV46" s="208"/>
      <c r="EW46" s="208"/>
      <c r="EX46" s="209"/>
      <c r="EY46" s="208"/>
      <c r="EZ46" s="144"/>
      <c r="FB46" s="36"/>
      <c r="FD46" s="101"/>
      <c r="FF46" s="537"/>
      <c r="FG46" s="537"/>
      <c r="FH46" s="201"/>
    </row>
    <row r="47" spans="1:169" ht="24.95" customHeight="1" thickBot="1">
      <c r="AA47" s="513">
        <v>28</v>
      </c>
      <c r="AB47" s="23"/>
      <c r="AC47" s="23" t="s">
        <v>106</v>
      </c>
      <c r="AD47" s="35"/>
      <c r="AE47" s="24">
        <v>28</v>
      </c>
      <c r="AF47" s="462"/>
      <c r="AG47" s="231"/>
      <c r="AH47" s="111">
        <v>28</v>
      </c>
      <c r="AI47" s="864"/>
      <c r="AJ47" s="866"/>
      <c r="AK47" s="77" t="s">
        <v>51</v>
      </c>
      <c r="AL47" s="78" t="str">
        <f t="shared" si="0"/>
        <v>D7</v>
      </c>
      <c r="AM47" s="220">
        <v>0</v>
      </c>
      <c r="AN47" s="517"/>
      <c r="AO47" s="630"/>
      <c r="AP47" s="637"/>
      <c r="AQ47" s="528"/>
      <c r="AR47" s="221" t="str">
        <f>IF(AM46=AM47,"résultat",IF(AM46&lt;AM47,AL46,AL47))</f>
        <v>D7</v>
      </c>
      <c r="AS47" s="220">
        <v>0</v>
      </c>
      <c r="AU47" s="534"/>
      <c r="AV47" s="534"/>
      <c r="AW47" s="534"/>
      <c r="AX47" s="535"/>
      <c r="AY47" s="534"/>
      <c r="AZ47" s="640"/>
      <c r="BA47" s="519"/>
      <c r="BB47" s="520"/>
      <c r="BC47" s="280"/>
      <c r="BE47" s="613" t="s">
        <v>306</v>
      </c>
      <c r="BF47" s="613"/>
      <c r="BG47" s="613"/>
      <c r="BH47" s="613"/>
      <c r="BI47" s="613"/>
      <c r="BJ47" s="613"/>
      <c r="BK47" s="613"/>
      <c r="BL47" s="613"/>
      <c r="BM47" s="613"/>
      <c r="BN47" s="613"/>
      <c r="BO47" s="613"/>
      <c r="BP47" s="613"/>
      <c r="BQ47" s="613"/>
      <c r="BR47" s="613"/>
      <c r="BS47" s="613"/>
      <c r="BT47" s="613"/>
      <c r="BU47" s="613"/>
      <c r="BV47" s="613"/>
      <c r="BW47" s="613"/>
      <c r="BX47" s="613"/>
      <c r="BY47" s="613"/>
      <c r="BZ47" s="613"/>
      <c r="CA47" s="613"/>
      <c r="CB47" s="613"/>
      <c r="CC47" s="613"/>
      <c r="CD47" s="613"/>
      <c r="CE47" s="613"/>
      <c r="CF47" s="614"/>
      <c r="CG47" s="624">
        <v>10</v>
      </c>
      <c r="CH47" s="455"/>
      <c r="CI47" s="707" t="str">
        <f>+BC56</f>
        <v>A10</v>
      </c>
      <c r="CJ47" s="708"/>
      <c r="CK47" s="767"/>
      <c r="CL47" s="233">
        <v>1</v>
      </c>
      <c r="CM47" s="807" t="str">
        <f>IF($CL47=$CL48,"&amp;",IF($CL47&gt;$CL48,$CI47,$CI48))</f>
        <v>A10</v>
      </c>
      <c r="CO47" s="610" t="s">
        <v>254</v>
      </c>
      <c r="CP47" s="610"/>
      <c r="CQ47" s="610"/>
      <c r="CR47" s="610"/>
      <c r="CS47" s="610"/>
      <c r="CT47" s="610"/>
      <c r="CU47" s="610"/>
      <c r="CV47" s="610"/>
      <c r="CW47" s="610"/>
      <c r="CX47" s="610"/>
      <c r="CY47" s="610"/>
      <c r="CZ47" s="610"/>
      <c r="DA47" s="610"/>
      <c r="DB47" s="610"/>
      <c r="DC47" s="610"/>
      <c r="DD47" s="610"/>
      <c r="DE47" s="610"/>
      <c r="DF47" s="610"/>
      <c r="DG47" s="610"/>
      <c r="DH47" s="610"/>
      <c r="DI47" s="610"/>
      <c r="DJ47" s="610"/>
      <c r="DK47" s="610"/>
      <c r="DL47" s="610"/>
      <c r="DM47" s="610"/>
      <c r="DN47" s="610"/>
      <c r="DO47" s="610"/>
      <c r="DP47" s="611"/>
      <c r="DQ47" s="624">
        <v>26</v>
      </c>
      <c r="DR47" s="521"/>
      <c r="DS47" s="775" t="str">
        <f>BC45</f>
        <v>C7</v>
      </c>
      <c r="DT47" s="776"/>
      <c r="DU47" s="777"/>
      <c r="DV47" s="213">
        <v>1</v>
      </c>
      <c r="DW47" s="807" t="str">
        <f>IF($DV47=$DV48,"&amp;",IF($DV47&gt;$DV48,$DS47,$DS48))</f>
        <v>C7</v>
      </c>
      <c r="DY47" s="456" t="s">
        <v>161</v>
      </c>
      <c r="DZ47" s="624">
        <v>10</v>
      </c>
      <c r="EA47" s="764" t="str">
        <f>IF(OR(CL47=CL48),"G. 1/32 J",IF(CL47&gt;CL48,CI47,CI48))</f>
        <v>A10</v>
      </c>
      <c r="EB47" s="765"/>
      <c r="EC47" s="766"/>
      <c r="ED47" s="213">
        <v>1</v>
      </c>
      <c r="EE47" s="831" t="str">
        <f>IF($ED47=$ED48,"&amp;",IF($ED47&gt;$ED48,$EA47,$EA48))</f>
        <v>A10</v>
      </c>
      <c r="EG47" s="228"/>
      <c r="EH47" s="245"/>
      <c r="EI47" s="227"/>
      <c r="EJ47" s="227"/>
      <c r="EK47" s="243"/>
      <c r="EL47" s="243"/>
      <c r="EM47" s="242"/>
      <c r="EN47" s="443"/>
      <c r="EO47" s="208"/>
      <c r="EP47" s="208"/>
      <c r="EQ47" s="208"/>
      <c r="ER47" s="209"/>
      <c r="ES47" s="208"/>
      <c r="EU47" s="208"/>
      <c r="EV47" s="209"/>
      <c r="EW47" s="208"/>
      <c r="EX47" s="144"/>
      <c r="FB47" s="101"/>
      <c r="FD47" s="537"/>
      <c r="FE47" s="537"/>
      <c r="FF47" s="537"/>
      <c r="FG47" s="537"/>
      <c r="FH47" s="201"/>
    </row>
    <row r="48" spans="1:169" ht="24.95" customHeight="1" thickTop="1" thickBot="1">
      <c r="AA48" s="538">
        <v>29</v>
      </c>
      <c r="AB48" s="539"/>
      <c r="AC48" s="23" t="s">
        <v>107</v>
      </c>
      <c r="AD48" s="35"/>
      <c r="AE48" s="24">
        <v>29</v>
      </c>
      <c r="AF48" s="462"/>
      <c r="AG48" s="231"/>
      <c r="AH48" s="118">
        <v>29</v>
      </c>
      <c r="AI48" s="862" t="s">
        <v>26</v>
      </c>
      <c r="AJ48" s="865">
        <v>15</v>
      </c>
      <c r="AK48" s="384" t="s">
        <v>11</v>
      </c>
      <c r="AL48" s="79" t="str">
        <f t="shared" si="0"/>
        <v>A8</v>
      </c>
      <c r="AM48" s="223">
        <v>1</v>
      </c>
      <c r="AN48" s="508"/>
      <c r="AO48" s="628">
        <v>8</v>
      </c>
      <c r="AP48" s="642">
        <v>18</v>
      </c>
      <c r="AQ48" s="547"/>
      <c r="AR48" s="205" t="str">
        <f>IF(AM48=AM49,"résultat",IF(AM48&gt;AM49,AL48,AL49))</f>
        <v>A8</v>
      </c>
      <c r="AS48" s="223">
        <v>1</v>
      </c>
      <c r="AU48" s="534"/>
      <c r="AV48" s="534"/>
      <c r="AW48" s="534"/>
      <c r="AX48" s="535"/>
      <c r="AY48" s="534"/>
      <c r="AZ48" s="638">
        <v>8</v>
      </c>
      <c r="BA48" s="302">
        <v>1</v>
      </c>
      <c r="BB48" s="305"/>
      <c r="BC48" s="309" t="str">
        <f>IF($AG50+$AG51=43,IF($AS48=$AS49,"résultat",IF($AS48&gt;$AS49,$AR48,$AR49)))</f>
        <v>A8</v>
      </c>
      <c r="BE48" s="607" t="s">
        <v>279</v>
      </c>
      <c r="BF48" s="607"/>
      <c r="BG48" s="607"/>
      <c r="BH48" s="607"/>
      <c r="BI48" s="607"/>
      <c r="BJ48" s="607"/>
      <c r="BK48" s="607"/>
      <c r="BL48" s="607"/>
      <c r="BM48" s="607"/>
      <c r="BN48" s="607"/>
      <c r="BO48" s="607"/>
      <c r="BP48" s="607"/>
      <c r="BQ48" s="607"/>
      <c r="BR48" s="607"/>
      <c r="BS48" s="607"/>
      <c r="BT48" s="607"/>
      <c r="BU48" s="607"/>
      <c r="BV48" s="607"/>
      <c r="BW48" s="607"/>
      <c r="BX48" s="824" t="s">
        <v>261</v>
      </c>
      <c r="BY48" s="824"/>
      <c r="BZ48" s="824"/>
      <c r="CA48" s="824"/>
      <c r="CB48" s="824"/>
      <c r="CC48" s="824"/>
      <c r="CD48" s="824"/>
      <c r="CE48" s="824"/>
      <c r="CF48" s="632"/>
      <c r="CG48" s="625"/>
      <c r="CH48" s="458"/>
      <c r="CI48" s="621" t="str">
        <f>IF(OR(J10&lt;540),"OFFICE",IF(AND(J10&gt;540),BC66))</f>
        <v>B12</v>
      </c>
      <c r="CJ48" s="622"/>
      <c r="CK48" s="623"/>
      <c r="CL48" s="255">
        <v>0</v>
      </c>
      <c r="CM48" s="807"/>
      <c r="CO48" s="599" t="s">
        <v>317</v>
      </c>
      <c r="CP48" s="599"/>
      <c r="CQ48" s="599"/>
      <c r="CR48" s="599"/>
      <c r="CS48" s="599"/>
      <c r="CT48" s="599"/>
      <c r="CU48" s="599"/>
      <c r="CV48" s="599"/>
      <c r="CW48" s="599"/>
      <c r="CX48" s="599"/>
      <c r="CY48" s="599"/>
      <c r="CZ48" s="599"/>
      <c r="DA48" s="599"/>
      <c r="DB48" s="599"/>
      <c r="DC48" s="599"/>
      <c r="DD48" s="599"/>
      <c r="DE48" s="599"/>
      <c r="DF48" s="599"/>
      <c r="DG48" s="599"/>
      <c r="DH48" s="599"/>
      <c r="DI48" s="310" t="s">
        <v>319</v>
      </c>
      <c r="DJ48" s="615" t="s">
        <v>261</v>
      </c>
      <c r="DK48" s="615"/>
      <c r="DL48" s="615"/>
      <c r="DM48" s="615"/>
      <c r="DN48" s="615"/>
      <c r="DO48" s="615"/>
      <c r="DP48" s="616"/>
      <c r="DQ48" s="625"/>
      <c r="DR48" s="523"/>
      <c r="DS48" s="661" t="str">
        <f>IF(OR(AND(J10&lt;600)),"OFFICE",IF(OR(AND(J10&gt;600,J10&lt;610)),BC78,IF(OR(AND(J10&gt;610,J10&lt;810)),BC80)))</f>
        <v>A16</v>
      </c>
      <c r="DT48" s="662"/>
      <c r="DU48" s="663"/>
      <c r="DV48" s="218">
        <v>0</v>
      </c>
      <c r="DW48" s="807"/>
      <c r="DY48" s="456" t="s">
        <v>167</v>
      </c>
      <c r="DZ48" s="625"/>
      <c r="EA48" s="688" t="str">
        <f>IF(DV47=DV48,"G 1/32 Z",IF(DV47&gt;DV48,DS47,DS48))</f>
        <v>C7</v>
      </c>
      <c r="EB48" s="689"/>
      <c r="EC48" s="690"/>
      <c r="ED48" s="218">
        <v>0</v>
      </c>
      <c r="EE48" s="831"/>
      <c r="EG48" s="228"/>
      <c r="EH48" s="245"/>
      <c r="EI48" s="227"/>
      <c r="EJ48" s="227"/>
      <c r="EK48" s="243"/>
      <c r="EL48" s="243"/>
      <c r="EM48" s="242"/>
      <c r="EN48" s="548"/>
      <c r="EO48" s="201"/>
      <c r="EP48" s="201"/>
      <c r="EQ48" s="201"/>
      <c r="ER48" s="202"/>
      <c r="EU48" s="208"/>
      <c r="EV48" s="209"/>
      <c r="EW48" s="208"/>
      <c r="EX48" s="144"/>
      <c r="FB48" s="101"/>
      <c r="FD48" s="537"/>
      <c r="FE48" s="537"/>
      <c r="FF48" s="537"/>
      <c r="FG48" s="537"/>
    </row>
    <row r="49" spans="15:164" ht="24.95" customHeight="1" thickBot="1">
      <c r="AA49" s="513">
        <v>30</v>
      </c>
      <c r="AB49" s="23"/>
      <c r="AC49" s="23" t="s">
        <v>108</v>
      </c>
      <c r="AD49" s="35"/>
      <c r="AE49" s="24">
        <v>30</v>
      </c>
      <c r="AF49" s="462"/>
      <c r="AG49" s="231"/>
      <c r="AH49" s="120">
        <v>30</v>
      </c>
      <c r="AI49" s="863"/>
      <c r="AJ49" s="866"/>
      <c r="AK49" s="77" t="s">
        <v>12</v>
      </c>
      <c r="AL49" s="80" t="str">
        <f t="shared" si="0"/>
        <v>B8</v>
      </c>
      <c r="AM49" s="210">
        <v>0</v>
      </c>
      <c r="AN49" s="508"/>
      <c r="AO49" s="629"/>
      <c r="AP49" s="643"/>
      <c r="AQ49" s="549"/>
      <c r="AR49" s="206" t="str">
        <f>IF(AM50=AM51,"résultat",IF(AM50&gt;AM51,AL50,AL51))</f>
        <v>C8</v>
      </c>
      <c r="AS49" s="210">
        <v>0</v>
      </c>
      <c r="AT49" s="525"/>
      <c r="AU49" s="534"/>
      <c r="AV49" s="534"/>
      <c r="AW49" s="534"/>
      <c r="AX49" s="535"/>
      <c r="AY49" s="534"/>
      <c r="AZ49" s="639"/>
      <c r="BA49" s="303">
        <v>2</v>
      </c>
      <c r="BB49" s="306"/>
      <c r="BC49" s="308" t="str">
        <f>IF($AG50+$AG51=43,IF($AS48=$AS49,"résultat",IF($AS48&lt;$AS49,$AR48,$AR49)))</f>
        <v>C8</v>
      </c>
      <c r="BE49" s="376"/>
      <c r="BF49" s="376"/>
      <c r="BG49" s="376"/>
      <c r="BH49" s="376"/>
      <c r="BI49" s="376"/>
      <c r="BJ49" s="376"/>
      <c r="BK49" s="376"/>
      <c r="BL49" s="376"/>
      <c r="BM49" s="376"/>
      <c r="BN49" s="376"/>
      <c r="BO49" s="376"/>
      <c r="BP49" s="376"/>
      <c r="BQ49" s="376"/>
      <c r="BR49" s="376"/>
      <c r="BS49" s="376"/>
      <c r="BT49" s="376"/>
      <c r="BU49" s="376"/>
      <c r="BV49" s="376"/>
      <c r="BW49" s="376"/>
      <c r="BX49" s="376"/>
      <c r="BY49" s="376"/>
      <c r="BZ49" s="376"/>
      <c r="CA49" s="376"/>
      <c r="CB49" s="376"/>
      <c r="CC49" s="376"/>
      <c r="CD49" s="376"/>
      <c r="CE49" s="376"/>
      <c r="CF49" s="376"/>
      <c r="CG49" s="101"/>
      <c r="CH49" s="101"/>
      <c r="CI49" s="276"/>
      <c r="CJ49" s="129"/>
      <c r="CK49" s="129"/>
      <c r="CL49" s="247"/>
      <c r="CM49" s="460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376"/>
      <c r="DJ49" s="376"/>
      <c r="DK49" s="376"/>
      <c r="DL49" s="376"/>
      <c r="DM49" s="376"/>
      <c r="DN49" s="376"/>
      <c r="DO49" s="376"/>
      <c r="DP49" s="377"/>
      <c r="DQ49" s="214"/>
      <c r="DR49" s="214"/>
      <c r="DS49" s="227"/>
      <c r="DT49" s="227"/>
      <c r="DU49" s="227"/>
      <c r="DV49" s="242"/>
      <c r="DW49" s="450"/>
      <c r="DY49" s="446"/>
      <c r="DZ49" s="257"/>
      <c r="EA49" s="245"/>
      <c r="EB49" s="245"/>
      <c r="EC49" s="227"/>
      <c r="ED49" s="214"/>
      <c r="EE49" s="214"/>
      <c r="EG49" s="228"/>
      <c r="EH49" s="245"/>
      <c r="EI49" s="227"/>
      <c r="EJ49" s="227"/>
      <c r="EK49" s="243"/>
      <c r="EL49" s="243"/>
      <c r="EM49" s="35"/>
      <c r="EN49" s="548"/>
      <c r="EO49" s="242"/>
      <c r="EP49" s="242"/>
      <c r="EQ49" s="201"/>
      <c r="ER49" s="202"/>
      <c r="ES49" s="201"/>
      <c r="ET49" s="208"/>
      <c r="EU49" s="144"/>
      <c r="EV49" s="208"/>
      <c r="EW49" s="208"/>
      <c r="EX49" s="208"/>
      <c r="EY49" s="209"/>
      <c r="EZ49" s="208"/>
      <c r="FA49" s="144"/>
      <c r="FB49" s="36"/>
      <c r="FE49" s="101"/>
    </row>
    <row r="50" spans="15:164" ht="24.95" customHeight="1" thickBot="1">
      <c r="AA50" s="538">
        <v>31</v>
      </c>
      <c r="AB50" s="539"/>
      <c r="AC50" s="23" t="s">
        <v>109</v>
      </c>
      <c r="AD50" s="35"/>
      <c r="AE50" s="24">
        <v>31</v>
      </c>
      <c r="AF50" s="462"/>
      <c r="AG50" s="231" t="str">
        <f>CONCATENATE(L17,L18)</f>
        <v>43</v>
      </c>
      <c r="AH50" s="120">
        <v>31</v>
      </c>
      <c r="AI50" s="863"/>
      <c r="AJ50" s="865">
        <v>16</v>
      </c>
      <c r="AK50" s="384" t="s">
        <v>58</v>
      </c>
      <c r="AL50" s="75" t="str">
        <f t="shared" si="0"/>
        <v>C8</v>
      </c>
      <c r="AM50" s="215">
        <v>1</v>
      </c>
      <c r="AN50" s="508"/>
      <c r="AO50" s="629"/>
      <c r="AP50" s="641">
        <v>19</v>
      </c>
      <c r="AQ50" s="527"/>
      <c r="AR50" s="216" t="str">
        <f>IF(AM48=AM49,"résultat",IF(AM48&lt;AM49,AL48,AL49))</f>
        <v>B8</v>
      </c>
      <c r="AS50" s="215">
        <v>1</v>
      </c>
      <c r="AU50" s="534"/>
      <c r="AV50" s="534"/>
      <c r="AW50" s="534"/>
      <c r="AX50" s="535"/>
      <c r="AY50" s="534"/>
      <c r="AZ50" s="639"/>
      <c r="BA50" s="304">
        <v>3</v>
      </c>
      <c r="BB50" s="306"/>
      <c r="BC50" s="579" t="str">
        <f>IF($AG50+$AG51=43,IF($AS50=$AS51,"résultat",IF($AS50&gt;$AS51,$AR50,$AR51)))</f>
        <v>B8</v>
      </c>
      <c r="BE50" s="378"/>
      <c r="BF50" s="378"/>
      <c r="BG50" s="378"/>
      <c r="BH50" s="378"/>
      <c r="BI50" s="378"/>
      <c r="BJ50" s="378"/>
      <c r="BK50" s="378"/>
      <c r="BL50" s="378"/>
      <c r="BM50" s="378"/>
      <c r="BN50" s="378"/>
      <c r="BO50" s="378"/>
      <c r="BP50" s="378"/>
      <c r="BQ50" s="378"/>
      <c r="BR50" s="378"/>
      <c r="BS50" s="374"/>
      <c r="BT50" s="374"/>
      <c r="BU50" s="374"/>
      <c r="BV50" s="374"/>
      <c r="BW50" s="374"/>
      <c r="BX50" s="374"/>
      <c r="BY50" s="374"/>
      <c r="BZ50" s="374"/>
      <c r="CA50" s="374"/>
      <c r="CB50" s="374"/>
      <c r="CC50" s="374"/>
      <c r="CD50" s="374"/>
      <c r="CE50" s="374"/>
      <c r="CF50" s="374"/>
      <c r="CG50" s="202"/>
      <c r="CH50" s="202"/>
      <c r="CI50" s="263"/>
      <c r="CJ50" s="264" t="s">
        <v>62</v>
      </c>
      <c r="CK50" s="266"/>
      <c r="CL50" s="203"/>
      <c r="CM50" s="444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378"/>
      <c r="DJ50" s="378"/>
      <c r="DK50" s="378"/>
      <c r="DL50" s="378"/>
      <c r="DM50" s="378"/>
      <c r="DN50" s="378"/>
      <c r="DO50" s="374"/>
      <c r="DP50" s="379"/>
      <c r="DQ50" s="229"/>
      <c r="DR50" s="229"/>
      <c r="DS50" s="232"/>
      <c r="DT50" s="264" t="s">
        <v>168</v>
      </c>
      <c r="DU50" s="241"/>
      <c r="DV50" s="203"/>
      <c r="DW50" s="444"/>
      <c r="DY50" s="446"/>
      <c r="DZ50" s="238"/>
      <c r="EA50" s="239"/>
      <c r="EB50" s="269" t="s">
        <v>59</v>
      </c>
      <c r="EC50" s="241"/>
      <c r="ED50" s="209"/>
      <c r="EE50" s="544"/>
      <c r="EG50" s="228"/>
      <c r="EH50" s="245"/>
      <c r="EI50" s="227"/>
      <c r="EJ50" s="227"/>
      <c r="EK50" s="243"/>
      <c r="EL50" s="243"/>
      <c r="EM50" s="35"/>
      <c r="EN50" s="450"/>
      <c r="EO50" s="35"/>
      <c r="EP50" s="35"/>
      <c r="ER50" s="101"/>
      <c r="ET50" s="208"/>
      <c r="EU50" s="550"/>
      <c r="EV50" s="208"/>
      <c r="EW50" s="208"/>
      <c r="EX50" s="208"/>
      <c r="EY50" s="209"/>
      <c r="EZ50" s="550"/>
      <c r="FA50" s="852" t="s">
        <v>247</v>
      </c>
      <c r="FB50" s="853"/>
      <c r="FC50" s="853"/>
      <c r="FD50" s="853"/>
      <c r="FE50" s="854"/>
    </row>
    <row r="51" spans="15:164" ht="24.95" customHeight="1" thickBot="1">
      <c r="AA51" s="513">
        <v>32</v>
      </c>
      <c r="AB51" s="23"/>
      <c r="AC51" s="23" t="s">
        <v>110</v>
      </c>
      <c r="AD51" s="35"/>
      <c r="AE51" s="24">
        <v>32</v>
      </c>
      <c r="AF51" s="462"/>
      <c r="AG51" s="231"/>
      <c r="AH51" s="121">
        <v>32</v>
      </c>
      <c r="AI51" s="864"/>
      <c r="AJ51" s="866"/>
      <c r="AK51" s="77" t="s">
        <v>51</v>
      </c>
      <c r="AL51" s="78" t="str">
        <f t="shared" si="0"/>
        <v>D8</v>
      </c>
      <c r="AM51" s="220">
        <v>0</v>
      </c>
      <c r="AN51" s="517"/>
      <c r="AO51" s="630"/>
      <c r="AP51" s="637"/>
      <c r="AQ51" s="528"/>
      <c r="AR51" s="221" t="str">
        <f>IF(AM50=AM51,"résultat",IF(AM50&lt;AM51,AL50,AL51))</f>
        <v>D8</v>
      </c>
      <c r="AS51" s="220">
        <v>0</v>
      </c>
      <c r="AU51" s="534"/>
      <c r="AV51" s="534"/>
      <c r="AW51" s="534"/>
      <c r="AX51" s="535"/>
      <c r="AY51" s="534"/>
      <c r="AZ51" s="640"/>
      <c r="BA51" s="200"/>
      <c r="BB51" s="524"/>
      <c r="BC51" s="280"/>
      <c r="BE51" s="613" t="s">
        <v>307</v>
      </c>
      <c r="BF51" s="613"/>
      <c r="BG51" s="613"/>
      <c r="BH51" s="613"/>
      <c r="BI51" s="613"/>
      <c r="BJ51" s="613"/>
      <c r="BK51" s="613"/>
      <c r="BL51" s="613"/>
      <c r="BM51" s="613"/>
      <c r="BN51" s="613"/>
      <c r="BO51" s="613"/>
      <c r="BP51" s="613"/>
      <c r="BQ51" s="613"/>
      <c r="BR51" s="613"/>
      <c r="BS51" s="613"/>
      <c r="BT51" s="613"/>
      <c r="BU51" s="613"/>
      <c r="BV51" s="613"/>
      <c r="BW51" s="613"/>
      <c r="BX51" s="613"/>
      <c r="BY51" s="613"/>
      <c r="BZ51" s="613"/>
      <c r="CA51" s="613"/>
      <c r="CB51" s="613"/>
      <c r="CC51" s="613"/>
      <c r="CD51" s="613"/>
      <c r="CE51" s="613"/>
      <c r="CF51" s="614"/>
      <c r="CG51" s="624">
        <v>11</v>
      </c>
      <c r="CH51" s="455"/>
      <c r="CI51" s="707" t="str">
        <f>+BC60</f>
        <v>A11</v>
      </c>
      <c r="CJ51" s="708"/>
      <c r="CK51" s="767"/>
      <c r="CL51" s="233">
        <v>1</v>
      </c>
      <c r="CM51" s="811" t="str">
        <f>IF($CL51=$CL52,"&amp;",IF($CL51&gt;$CL52,$CI51,$CI52))</f>
        <v>A11</v>
      </c>
      <c r="CO51" s="610" t="s">
        <v>253</v>
      </c>
      <c r="CP51" s="610"/>
      <c r="CQ51" s="610"/>
      <c r="CR51" s="610"/>
      <c r="CS51" s="610"/>
      <c r="CT51" s="610"/>
      <c r="CU51" s="610"/>
      <c r="CV51" s="610"/>
      <c r="CW51" s="610"/>
      <c r="CX51" s="610"/>
      <c r="CY51" s="610"/>
      <c r="CZ51" s="610"/>
      <c r="DA51" s="610"/>
      <c r="DB51" s="610"/>
      <c r="DC51" s="610"/>
      <c r="DD51" s="610"/>
      <c r="DE51" s="610"/>
      <c r="DF51" s="610"/>
      <c r="DG51" s="610"/>
      <c r="DH51" s="610"/>
      <c r="DI51" s="610"/>
      <c r="DJ51" s="610"/>
      <c r="DK51" s="610"/>
      <c r="DL51" s="610"/>
      <c r="DM51" s="610"/>
      <c r="DN51" s="610"/>
      <c r="DO51" s="610"/>
      <c r="DP51" s="611"/>
      <c r="DQ51" s="624">
        <v>27</v>
      </c>
      <c r="DR51" s="506"/>
      <c r="DS51" s="828" t="str">
        <f>BC41</f>
        <v>C6</v>
      </c>
      <c r="DT51" s="829"/>
      <c r="DU51" s="830"/>
      <c r="DV51" s="213">
        <v>1</v>
      </c>
      <c r="DW51" s="811" t="str">
        <f>IF($DV51=$DV52,"&amp;",IF($DV51&gt;$DV52,$DS51,$DS52))</f>
        <v>C6</v>
      </c>
      <c r="DY51" s="551" t="s">
        <v>62</v>
      </c>
      <c r="DZ51" s="624">
        <v>11</v>
      </c>
      <c r="EA51" s="700" t="str">
        <f>IF(CL51=CL52,"G 1/32 K",IF(CL51&gt;CL52,CI51,CI52))</f>
        <v>A11</v>
      </c>
      <c r="EB51" s="701"/>
      <c r="EC51" s="702"/>
      <c r="ED51" s="213">
        <v>1</v>
      </c>
      <c r="EE51" s="832" t="str">
        <f>IF($ED51=$ED52,"&amp;",IF($ED51&gt;$ED52,$EA51,$EA52))</f>
        <v>A11</v>
      </c>
      <c r="EG51" s="228"/>
      <c r="EH51" s="245"/>
      <c r="EI51" s="227"/>
      <c r="EJ51" s="227"/>
      <c r="EK51" s="243"/>
      <c r="EL51" s="243"/>
      <c r="EM51" s="35"/>
      <c r="EN51" s="450"/>
      <c r="EO51" s="450"/>
      <c r="EP51" s="450"/>
      <c r="EQ51" s="450"/>
      <c r="ER51" s="450"/>
      <c r="ES51" s="242"/>
      <c r="ET51" s="101"/>
      <c r="EU51" s="550"/>
      <c r="EV51" s="277"/>
      <c r="EW51" s="277"/>
      <c r="EX51" s="277"/>
      <c r="EY51" s="552"/>
      <c r="EZ51" s="277"/>
      <c r="FA51" s="550"/>
      <c r="FB51" s="277"/>
      <c r="FC51" s="277"/>
      <c r="FD51" s="277"/>
      <c r="FE51" s="552"/>
      <c r="FG51" s="537"/>
      <c r="FH51" s="201"/>
    </row>
    <row r="52" spans="15:164" ht="24.95" customHeight="1" thickTop="1" thickBot="1">
      <c r="AA52" s="538">
        <v>33</v>
      </c>
      <c r="AB52" s="539"/>
      <c r="AC52" s="23" t="s">
        <v>111</v>
      </c>
      <c r="AD52" s="35"/>
      <c r="AE52" s="24">
        <v>33</v>
      </c>
      <c r="AF52" s="462"/>
      <c r="AG52" s="231"/>
      <c r="AH52" s="116">
        <v>33</v>
      </c>
      <c r="AI52" s="862" t="s">
        <v>27</v>
      </c>
      <c r="AJ52" s="865">
        <v>17</v>
      </c>
      <c r="AK52" s="384" t="s">
        <v>11</v>
      </c>
      <c r="AL52" s="81" t="str">
        <f t="shared" si="0"/>
        <v>A9</v>
      </c>
      <c r="AM52" s="223">
        <v>1</v>
      </c>
      <c r="AN52" s="508"/>
      <c r="AO52" s="628">
        <v>9</v>
      </c>
      <c r="AP52" s="642">
        <v>20</v>
      </c>
      <c r="AQ52" s="509"/>
      <c r="AR52" s="205" t="str">
        <f>IF(AM52=AM53,"résultat",IF(AM52&gt;AM53,AL52,AL53))</f>
        <v>A9</v>
      </c>
      <c r="AS52" s="223">
        <v>1</v>
      </c>
      <c r="AU52" s="534"/>
      <c r="AV52" s="534"/>
      <c r="AW52" s="534"/>
      <c r="AX52" s="535"/>
      <c r="AY52" s="534"/>
      <c r="AZ52" s="638">
        <v>9</v>
      </c>
      <c r="BA52" s="302">
        <v>1</v>
      </c>
      <c r="BB52" s="305"/>
      <c r="BC52" s="309" t="str">
        <f>IF($AG54+$AG55=43,IF($AS52=$AS53,"résultat",IF($AS52&gt;$AS53,$AR52,$AR53)))</f>
        <v>A9</v>
      </c>
      <c r="BE52" s="620" t="s">
        <v>277</v>
      </c>
      <c r="BF52" s="620"/>
      <c r="BG52" s="620"/>
      <c r="BH52" s="620"/>
      <c r="BI52" s="620"/>
      <c r="BJ52" s="620"/>
      <c r="BK52" s="620"/>
      <c r="BL52" s="620"/>
      <c r="BM52" s="620"/>
      <c r="BN52" s="620"/>
      <c r="BO52" s="620"/>
      <c r="BP52" s="620"/>
      <c r="BQ52" s="620"/>
      <c r="BR52" s="620"/>
      <c r="BS52" s="620"/>
      <c r="BT52" s="620"/>
      <c r="BU52" s="620"/>
      <c r="BV52" s="620"/>
      <c r="BW52" s="620"/>
      <c r="BX52" s="620"/>
      <c r="BY52" s="620"/>
      <c r="BZ52" s="620"/>
      <c r="CA52" s="620"/>
      <c r="CB52" s="620"/>
      <c r="CC52" s="620"/>
      <c r="CD52" s="620"/>
      <c r="CE52" s="620"/>
      <c r="CF52" s="609"/>
      <c r="CG52" s="625"/>
      <c r="CH52" s="458"/>
      <c r="CI52" s="713" t="str">
        <f>BC10</f>
        <v>CQ 5_</v>
      </c>
      <c r="CJ52" s="714"/>
      <c r="CK52" s="715"/>
      <c r="CL52" s="255">
        <v>0</v>
      </c>
      <c r="CM52" s="811"/>
      <c r="CO52" s="599" t="s">
        <v>322</v>
      </c>
      <c r="CP52" s="599"/>
      <c r="CQ52" s="599"/>
      <c r="CR52" s="599"/>
      <c r="CS52" s="599"/>
      <c r="CT52" s="599"/>
      <c r="CU52" s="599"/>
      <c r="CV52" s="599"/>
      <c r="CW52" s="599"/>
      <c r="CX52" s="599"/>
      <c r="CY52" s="599"/>
      <c r="CZ52" s="599"/>
      <c r="DA52" s="599"/>
      <c r="DB52" s="599"/>
      <c r="DC52" s="599"/>
      <c r="DD52" s="599"/>
      <c r="DE52" s="673" t="s">
        <v>319</v>
      </c>
      <c r="DF52" s="673"/>
      <c r="DG52" s="615" t="s">
        <v>261</v>
      </c>
      <c r="DH52" s="615"/>
      <c r="DI52" s="615"/>
      <c r="DJ52" s="615"/>
      <c r="DK52" s="615"/>
      <c r="DL52" s="615"/>
      <c r="DM52" s="615"/>
      <c r="DN52" s="615"/>
      <c r="DO52" s="615"/>
      <c r="DP52" s="616"/>
      <c r="DQ52" s="625"/>
      <c r="DR52" s="511"/>
      <c r="DS52" s="661" t="str">
        <f>IF(OR(AND(J10&lt;630)),"OFFICE",IF(OR(AND(J10&gt;630,J10&lt;650)),BC78,IF(OR(AND(J10&gt;650,J10&lt;810)),BC84,0)))</f>
        <v>OFFICE</v>
      </c>
      <c r="DT52" s="662"/>
      <c r="DU52" s="663"/>
      <c r="DV52" s="255">
        <v>0</v>
      </c>
      <c r="DW52" s="811"/>
      <c r="DY52" s="551" t="s">
        <v>168</v>
      </c>
      <c r="DZ52" s="625"/>
      <c r="EA52" s="735" t="str">
        <f>IF(DV51=DV52,"G 1/32 AA",IF(DV51&gt;DV52,DS51,DS52))</f>
        <v>C6</v>
      </c>
      <c r="EB52" s="736"/>
      <c r="EC52" s="737"/>
      <c r="ED52" s="218">
        <v>0</v>
      </c>
      <c r="EE52" s="832"/>
      <c r="EG52" s="209"/>
      <c r="EH52" s="239"/>
      <c r="EI52" s="240" t="s">
        <v>59</v>
      </c>
      <c r="EJ52" s="241"/>
      <c r="EK52" s="208"/>
      <c r="EL52" s="208"/>
      <c r="EM52" s="35"/>
      <c r="EN52" s="450"/>
      <c r="EO52" s="450"/>
      <c r="EP52" s="450"/>
      <c r="EQ52" s="450"/>
      <c r="ER52" s="450"/>
      <c r="ES52" s="35"/>
      <c r="EU52" s="277"/>
      <c r="EV52" s="277"/>
      <c r="EW52" s="277"/>
      <c r="EX52" s="552"/>
      <c r="EY52" s="277"/>
      <c r="EZ52" s="550"/>
      <c r="FA52" s="703">
        <v>2</v>
      </c>
      <c r="FB52" s="855" t="str">
        <f>IF(OR(AND(FK9&gt;2,FK9&lt;9)),IF(EY18&lt;EY19,EV18,EV19),IF(AND(EY18=EY19),"Perdant 1/2 Finale A"," "))</f>
        <v>A2</v>
      </c>
      <c r="FC52" s="856"/>
      <c r="FD52" s="857"/>
      <c r="FE52" s="212">
        <v>1</v>
      </c>
      <c r="FF52" s="537"/>
      <c r="FG52" s="201"/>
    </row>
    <row r="53" spans="15:164" ht="24.95" customHeight="1" thickBot="1">
      <c r="AA53" s="513">
        <v>34</v>
      </c>
      <c r="AB53" s="23"/>
      <c r="AC53" s="23" t="s">
        <v>112</v>
      </c>
      <c r="AD53" s="35"/>
      <c r="AE53" s="24">
        <v>34</v>
      </c>
      <c r="AF53" s="462"/>
      <c r="AG53" s="231"/>
      <c r="AH53" s="110">
        <v>34</v>
      </c>
      <c r="AI53" s="863"/>
      <c r="AJ53" s="866"/>
      <c r="AK53" s="77" t="s">
        <v>12</v>
      </c>
      <c r="AL53" s="80" t="str">
        <f t="shared" si="0"/>
        <v>B9</v>
      </c>
      <c r="AM53" s="210">
        <v>0</v>
      </c>
      <c r="AN53" s="508"/>
      <c r="AO53" s="629"/>
      <c r="AP53" s="643"/>
      <c r="AQ53" s="514"/>
      <c r="AR53" s="206" t="str">
        <f>IF(AM54=AM55,"résultat",IF(AM54&gt;AM55,AL54,AL55))</f>
        <v>C9</v>
      </c>
      <c r="AS53" s="210">
        <v>0</v>
      </c>
      <c r="AT53" s="525"/>
      <c r="AU53" s="534"/>
      <c r="AV53" s="534"/>
      <c r="AW53" s="534"/>
      <c r="AX53" s="535"/>
      <c r="AY53" s="534"/>
      <c r="AZ53" s="639"/>
      <c r="BA53" s="303">
        <v>2</v>
      </c>
      <c r="BB53" s="306"/>
      <c r="BC53" s="308" t="str">
        <f>IF($AG54+$AG55=43,IF($AS52=$AS53,"résultat",IF($AS52&lt;$AS53,$AR52,$AR53)))</f>
        <v>C9</v>
      </c>
      <c r="BE53" s="376"/>
      <c r="BF53" s="376"/>
      <c r="BG53" s="376"/>
      <c r="BH53" s="376"/>
      <c r="BI53" s="376"/>
      <c r="BJ53" s="376"/>
      <c r="BK53" s="376"/>
      <c r="BL53" s="376"/>
      <c r="BM53" s="376"/>
      <c r="BN53" s="376"/>
      <c r="BO53" s="376"/>
      <c r="BP53" s="376"/>
      <c r="BQ53" s="376"/>
      <c r="BR53" s="376"/>
      <c r="BS53" s="376"/>
      <c r="BT53" s="376"/>
      <c r="BU53" s="376"/>
      <c r="BV53" s="376"/>
      <c r="BW53" s="376"/>
      <c r="BX53" s="376"/>
      <c r="BY53" s="376"/>
      <c r="BZ53" s="376"/>
      <c r="CA53" s="376"/>
      <c r="CB53" s="376"/>
      <c r="CC53" s="376"/>
      <c r="CD53" s="376"/>
      <c r="CE53" s="376"/>
      <c r="CF53" s="376"/>
      <c r="CG53" s="101"/>
      <c r="CH53" s="101"/>
      <c r="CI53" s="276"/>
      <c r="CJ53" s="129"/>
      <c r="CK53" s="129"/>
      <c r="CL53" s="247"/>
      <c r="CM53" s="460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376"/>
      <c r="DJ53" s="376"/>
      <c r="DK53" s="376"/>
      <c r="DL53" s="376"/>
      <c r="DM53" s="376"/>
      <c r="DN53" s="376"/>
      <c r="DO53" s="376"/>
      <c r="DP53" s="377"/>
      <c r="DQ53" s="214"/>
      <c r="DR53" s="214"/>
      <c r="DS53" s="227"/>
      <c r="DT53" s="246"/>
      <c r="DU53" s="246"/>
      <c r="DV53" s="242"/>
      <c r="DW53" s="450"/>
      <c r="DY53" s="397"/>
      <c r="DZ53" s="228"/>
      <c r="EA53" s="245"/>
      <c r="EB53" s="227"/>
      <c r="EC53" s="227"/>
      <c r="ED53" s="242"/>
      <c r="EE53" s="242"/>
      <c r="EG53" s="624">
        <v>6</v>
      </c>
      <c r="EH53" s="700" t="str">
        <f>IF(ED51=ED52,"G. 1/16 F",IF(ED51&gt;ED52,EA51,EA52))</f>
        <v>A11</v>
      </c>
      <c r="EI53" s="701"/>
      <c r="EJ53" s="702"/>
      <c r="EK53" s="212">
        <v>1</v>
      </c>
      <c r="EL53" s="816" t="str">
        <f>IF(EK53=EK54,"&amp;",IF(EK53&gt;EK54,EH53,EH54))</f>
        <v>A11</v>
      </c>
      <c r="EN53" s="450"/>
      <c r="EO53" s="450"/>
      <c r="EP53" s="450"/>
      <c r="EQ53" s="450"/>
      <c r="ER53" s="450"/>
      <c r="ES53" s="242"/>
      <c r="EU53" s="208"/>
      <c r="EV53" s="208"/>
      <c r="EW53" s="208"/>
      <c r="EX53" s="209"/>
      <c r="EY53" s="208"/>
      <c r="EZ53" s="550"/>
      <c r="FA53" s="704"/>
      <c r="FB53" s="859" t="str">
        <f>IF(OR(AND(FK9&gt;2,FK9&lt;9)),IF(EY37&lt;EY38,EV37,EV38),IF(AND(,EY37=EY38),"Perdant 1/2 Finale B"," "))</f>
        <v>A9</v>
      </c>
      <c r="FC53" s="860"/>
      <c r="FD53" s="861"/>
      <c r="FE53" s="219">
        <v>0</v>
      </c>
      <c r="FG53" s="201"/>
      <c r="FH53" s="201"/>
    </row>
    <row r="54" spans="15:164" ht="24.95" customHeight="1" thickBot="1">
      <c r="AA54" s="538">
        <v>35</v>
      </c>
      <c r="AB54" s="539"/>
      <c r="AC54" s="23" t="s">
        <v>113</v>
      </c>
      <c r="AD54" s="35"/>
      <c r="AE54" s="24">
        <v>35</v>
      </c>
      <c r="AF54" s="462"/>
      <c r="AG54" s="260" t="str">
        <f>CONCATENATE(M17,M18)</f>
        <v>43</v>
      </c>
      <c r="AH54" s="110">
        <v>35</v>
      </c>
      <c r="AI54" s="863"/>
      <c r="AJ54" s="865">
        <v>18</v>
      </c>
      <c r="AK54" s="384" t="s">
        <v>58</v>
      </c>
      <c r="AL54" s="75" t="str">
        <f t="shared" si="0"/>
        <v>C9</v>
      </c>
      <c r="AM54" s="215">
        <v>1</v>
      </c>
      <c r="AN54" s="508"/>
      <c r="AO54" s="629"/>
      <c r="AP54" s="641">
        <v>21</v>
      </c>
      <c r="AQ54" s="527"/>
      <c r="AR54" s="216" t="str">
        <f>IF(AM52=AM53,"résultat",IF(AM52&lt;AM53,AL52,AL53))</f>
        <v>B9</v>
      </c>
      <c r="AS54" s="215">
        <v>1</v>
      </c>
      <c r="AU54" s="534"/>
      <c r="AV54" s="534"/>
      <c r="AW54" s="534"/>
      <c r="AX54" s="535"/>
      <c r="AY54" s="534"/>
      <c r="AZ54" s="639"/>
      <c r="BA54" s="304">
        <v>3</v>
      </c>
      <c r="BB54" s="306"/>
      <c r="BC54" s="579" t="str">
        <f>IF($AG54+$AG55=43,IF($AS54=$AS55,"résultat",IF($AS54&gt;$AS55,$AR54,$AR55)))</f>
        <v>B9</v>
      </c>
      <c r="BE54" s="378"/>
      <c r="BF54" s="378"/>
      <c r="BG54" s="378"/>
      <c r="BH54" s="378"/>
      <c r="BI54" s="378"/>
      <c r="BJ54" s="378"/>
      <c r="BK54" s="378"/>
      <c r="BL54" s="378"/>
      <c r="BM54" s="378"/>
      <c r="BN54" s="378"/>
      <c r="BO54" s="378"/>
      <c r="BP54" s="378"/>
      <c r="BQ54" s="378"/>
      <c r="BR54" s="378"/>
      <c r="BS54" s="374"/>
      <c r="BT54" s="374"/>
      <c r="BU54" s="374"/>
      <c r="BV54" s="374"/>
      <c r="BW54" s="374"/>
      <c r="BX54" s="374"/>
      <c r="BY54" s="374"/>
      <c r="BZ54" s="374"/>
      <c r="CA54" s="374"/>
      <c r="CB54" s="374"/>
      <c r="CC54" s="374"/>
      <c r="CD54" s="374"/>
      <c r="CE54" s="374"/>
      <c r="CF54" s="374"/>
      <c r="CG54" s="202"/>
      <c r="CH54" s="202"/>
      <c r="CI54" s="263"/>
      <c r="CJ54" s="264" t="s">
        <v>63</v>
      </c>
      <c r="CK54" s="266"/>
      <c r="CL54" s="203"/>
      <c r="CM54" s="460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378"/>
      <c r="DJ54" s="378"/>
      <c r="DK54" s="378"/>
      <c r="DL54" s="378"/>
      <c r="DM54" s="378"/>
      <c r="DN54" s="378"/>
      <c r="DO54" s="374"/>
      <c r="DP54" s="379"/>
      <c r="DQ54" s="202"/>
      <c r="DR54" s="229"/>
      <c r="DS54" s="263"/>
      <c r="DT54" s="264" t="s">
        <v>169</v>
      </c>
      <c r="DU54" s="241"/>
      <c r="DV54" s="247"/>
      <c r="DW54" s="460"/>
      <c r="DY54" s="397"/>
      <c r="DZ54" s="238"/>
      <c r="EA54" s="239"/>
      <c r="EB54" s="269" t="s">
        <v>52</v>
      </c>
      <c r="EC54" s="241"/>
      <c r="ED54" s="209"/>
      <c r="EE54" s="544"/>
      <c r="EF54" s="228"/>
      <c r="EG54" s="625"/>
      <c r="EH54" s="837" t="str">
        <f>IF(ED55=ED56,"G.1/16 E",IF(ED55&gt;ED56,EA55,EA56))</f>
        <v>A12</v>
      </c>
      <c r="EI54" s="838"/>
      <c r="EJ54" s="839"/>
      <c r="EK54" s="219">
        <v>0</v>
      </c>
      <c r="EL54" s="816"/>
      <c r="EM54" s="450"/>
      <c r="EN54" s="35"/>
      <c r="EO54" s="35"/>
      <c r="EP54" s="35"/>
      <c r="EQ54" s="35"/>
      <c r="ER54" s="35"/>
      <c r="ES54" s="242"/>
      <c r="ET54" s="242"/>
      <c r="EU54" s="208"/>
      <c r="EV54" s="208"/>
      <c r="EW54" s="208"/>
      <c r="EX54" s="209"/>
      <c r="EY54" s="208"/>
      <c r="EZ54" s="550"/>
      <c r="FA54" s="277"/>
      <c r="FB54" s="277"/>
      <c r="FC54" s="277"/>
      <c r="FD54" s="552"/>
      <c r="FE54" s="277"/>
      <c r="FF54" s="201"/>
      <c r="FG54" s="201"/>
    </row>
    <row r="55" spans="15:164" ht="24.95" customHeight="1" thickBot="1">
      <c r="AA55" s="513">
        <v>36</v>
      </c>
      <c r="AB55" s="23"/>
      <c r="AC55" s="23" t="s">
        <v>114</v>
      </c>
      <c r="AD55" s="35"/>
      <c r="AE55" s="24">
        <v>36</v>
      </c>
      <c r="AF55" s="462"/>
      <c r="AG55" s="231"/>
      <c r="AH55" s="111">
        <v>36</v>
      </c>
      <c r="AI55" s="864"/>
      <c r="AJ55" s="866"/>
      <c r="AK55" s="77" t="s">
        <v>51</v>
      </c>
      <c r="AL55" s="78" t="str">
        <f t="shared" si="0"/>
        <v>D9</v>
      </c>
      <c r="AM55" s="220">
        <v>0</v>
      </c>
      <c r="AN55" s="517"/>
      <c r="AO55" s="630"/>
      <c r="AP55" s="637"/>
      <c r="AQ55" s="528"/>
      <c r="AR55" s="221" t="str">
        <f>IF(AM54=AM55,"résultat",IF(AM54&lt;AM55,AL54,AL55))</f>
        <v>D9</v>
      </c>
      <c r="AS55" s="220">
        <v>0</v>
      </c>
      <c r="AU55" s="534"/>
      <c r="AV55" s="534"/>
      <c r="AW55" s="534"/>
      <c r="AX55" s="535"/>
      <c r="AY55" s="534"/>
      <c r="AZ55" s="640"/>
      <c r="BA55" s="519">
        <v>3</v>
      </c>
      <c r="BB55" s="520"/>
      <c r="BC55" s="280"/>
      <c r="BE55" s="613" t="s">
        <v>308</v>
      </c>
      <c r="BF55" s="613"/>
      <c r="BG55" s="613"/>
      <c r="BH55" s="613"/>
      <c r="BI55" s="613"/>
      <c r="BJ55" s="613"/>
      <c r="BK55" s="613"/>
      <c r="BL55" s="613"/>
      <c r="BM55" s="613"/>
      <c r="BN55" s="613"/>
      <c r="BO55" s="613"/>
      <c r="BP55" s="613"/>
      <c r="BQ55" s="613"/>
      <c r="BR55" s="613"/>
      <c r="BS55" s="613"/>
      <c r="BT55" s="613"/>
      <c r="BU55" s="613"/>
      <c r="BV55" s="613"/>
      <c r="BW55" s="613"/>
      <c r="BX55" s="613"/>
      <c r="BY55" s="613"/>
      <c r="BZ55" s="613"/>
      <c r="CA55" s="613"/>
      <c r="CB55" s="613"/>
      <c r="CC55" s="613"/>
      <c r="CD55" s="613"/>
      <c r="CE55" s="613"/>
      <c r="CF55" s="614"/>
      <c r="CG55" s="624">
        <v>12</v>
      </c>
      <c r="CH55" s="455"/>
      <c r="CI55" s="707" t="str">
        <f>+BC64</f>
        <v>A12</v>
      </c>
      <c r="CJ55" s="708"/>
      <c r="CK55" s="767"/>
      <c r="CL55" s="233">
        <v>1</v>
      </c>
      <c r="CM55" s="684" t="str">
        <f>IF($CL55=$CL56,"&amp;",IF($CL55&gt;$CL56,$CI55,$CI56))</f>
        <v>A12</v>
      </c>
      <c r="CO55" s="610" t="s">
        <v>252</v>
      </c>
      <c r="CP55" s="610"/>
      <c r="CQ55" s="610"/>
      <c r="CR55" s="610"/>
      <c r="CS55" s="610"/>
      <c r="CT55" s="610"/>
      <c r="CU55" s="610"/>
      <c r="CV55" s="610"/>
      <c r="CW55" s="610"/>
      <c r="CX55" s="610"/>
      <c r="CY55" s="610"/>
      <c r="CZ55" s="610"/>
      <c r="DA55" s="610"/>
      <c r="DB55" s="610"/>
      <c r="DC55" s="610"/>
      <c r="DD55" s="610"/>
      <c r="DE55" s="610"/>
      <c r="DF55" s="610"/>
      <c r="DG55" s="610"/>
      <c r="DH55" s="610"/>
      <c r="DI55" s="610"/>
      <c r="DJ55" s="610"/>
      <c r="DK55" s="610"/>
      <c r="DL55" s="610"/>
      <c r="DM55" s="610"/>
      <c r="DN55" s="610"/>
      <c r="DO55" s="610"/>
      <c r="DP55" s="611"/>
      <c r="DQ55" s="624">
        <v>28</v>
      </c>
      <c r="DR55" s="521"/>
      <c r="DS55" s="775" t="str">
        <f>BC37</f>
        <v>C5</v>
      </c>
      <c r="DT55" s="776"/>
      <c r="DU55" s="777"/>
      <c r="DV55" s="213">
        <v>1</v>
      </c>
      <c r="DW55" s="684" t="str">
        <f>IF($DV55=$DV56,"&amp;",IF($DV55&gt;$DV56,$DS55,$DS56))</f>
        <v>C5</v>
      </c>
      <c r="DY55" s="456" t="s">
        <v>63</v>
      </c>
      <c r="DZ55" s="624">
        <v>12</v>
      </c>
      <c r="EA55" s="738" t="str">
        <f>IF(CL55=CL56,"G 1/32 L",IF(CL55&gt;CL56,CI55,CI56))</f>
        <v>A12</v>
      </c>
      <c r="EB55" s="739"/>
      <c r="EC55" s="740"/>
      <c r="ED55" s="213">
        <v>1</v>
      </c>
      <c r="EE55" s="833" t="str">
        <f>IF($ED55=$ED56,"&amp;",IF($ED55&gt;$ED56,$EA55,$EA56))</f>
        <v>A12</v>
      </c>
      <c r="EF55" s="228"/>
      <c r="EG55" s="228"/>
      <c r="EH55" s="245"/>
      <c r="EI55" s="227"/>
      <c r="EJ55" s="227"/>
      <c r="EK55" s="243"/>
      <c r="EL55" s="243"/>
      <c r="EM55" s="548"/>
      <c r="EN55" s="242"/>
      <c r="EO55" s="242"/>
      <c r="EP55" s="242"/>
      <c r="EQ55" s="242"/>
      <c r="ER55" s="242"/>
      <c r="ES55" s="242"/>
      <c r="ET55" s="101"/>
      <c r="EU55" s="208"/>
      <c r="EV55" s="208"/>
      <c r="EW55" s="208"/>
      <c r="EX55" s="209"/>
      <c r="EY55" s="208"/>
      <c r="EZ55" s="550"/>
      <c r="FA55" s="277"/>
      <c r="FB55" s="277"/>
      <c r="FC55" s="277"/>
      <c r="FD55" s="552"/>
      <c r="FE55" s="277"/>
      <c r="FF55" s="201"/>
    </row>
    <row r="56" spans="15:164" ht="24.95" customHeight="1" thickTop="1" thickBot="1">
      <c r="AA56" s="538">
        <v>37</v>
      </c>
      <c r="AB56" s="539"/>
      <c r="AC56" s="23" t="s">
        <v>115</v>
      </c>
      <c r="AD56" s="35"/>
      <c r="AE56" s="24">
        <v>37</v>
      </c>
      <c r="AF56" s="462"/>
      <c r="AG56" s="231"/>
      <c r="AH56" s="118">
        <v>37</v>
      </c>
      <c r="AI56" s="862" t="s">
        <v>28</v>
      </c>
      <c r="AJ56" s="865">
        <v>19</v>
      </c>
      <c r="AK56" s="384" t="s">
        <v>11</v>
      </c>
      <c r="AL56" s="75" t="str">
        <f t="shared" si="0"/>
        <v>A10</v>
      </c>
      <c r="AM56" s="223">
        <v>1</v>
      </c>
      <c r="AN56" s="508"/>
      <c r="AO56" s="628">
        <v>10</v>
      </c>
      <c r="AP56" s="642">
        <v>22</v>
      </c>
      <c r="AQ56" s="547"/>
      <c r="AR56" s="205" t="str">
        <f>IF(AM56=AM57,"résultat",IF(AM56&gt;AM57,AL56,AL57))</f>
        <v>A10</v>
      </c>
      <c r="AS56" s="223">
        <v>1</v>
      </c>
      <c r="AU56" s="534"/>
      <c r="AV56" s="534"/>
      <c r="AW56" s="534"/>
      <c r="AX56" s="535"/>
      <c r="AY56" s="534"/>
      <c r="AZ56" s="638">
        <v>10</v>
      </c>
      <c r="BA56" s="302">
        <v>1</v>
      </c>
      <c r="BB56" s="305"/>
      <c r="BC56" s="309" t="str">
        <f>IF($AG58+$AH143=43,IF($AS56=$AS57,"résultat",IF($AS56&gt;$AS57,$AR56,$AR57)))</f>
        <v>A10</v>
      </c>
      <c r="BE56" s="620" t="s">
        <v>311</v>
      </c>
      <c r="BF56" s="620"/>
      <c r="BG56" s="620"/>
      <c r="BH56" s="620"/>
      <c r="BI56" s="620"/>
      <c r="BJ56" s="620"/>
      <c r="BK56" s="620"/>
      <c r="BL56" s="620"/>
      <c r="BM56" s="620"/>
      <c r="BN56" s="620"/>
      <c r="BO56" s="620"/>
      <c r="BP56" s="620"/>
      <c r="BQ56" s="620"/>
      <c r="BR56" s="620"/>
      <c r="BS56" s="620"/>
      <c r="BT56" s="620"/>
      <c r="BU56" s="620"/>
      <c r="BV56" s="620"/>
      <c r="BW56" s="620"/>
      <c r="BX56" s="620"/>
      <c r="BY56" s="620"/>
      <c r="BZ56" s="620"/>
      <c r="CA56" s="620"/>
      <c r="CB56" s="620"/>
      <c r="CC56" s="620"/>
      <c r="CD56" s="620"/>
      <c r="CE56" s="620"/>
      <c r="CF56" s="609"/>
      <c r="CG56" s="625"/>
      <c r="CH56" s="458"/>
      <c r="CI56" s="713" t="str">
        <f>BC12</f>
        <v>CQ 6_</v>
      </c>
      <c r="CJ56" s="714"/>
      <c r="CK56" s="715"/>
      <c r="CL56" s="255">
        <v>0</v>
      </c>
      <c r="CM56" s="684"/>
      <c r="CO56" s="673" t="s">
        <v>319</v>
      </c>
      <c r="CP56" s="673"/>
      <c r="CQ56" s="673"/>
      <c r="CR56" s="673"/>
      <c r="CS56" s="673"/>
      <c r="CT56" s="673"/>
      <c r="CU56" s="673"/>
      <c r="CV56" s="673"/>
      <c r="CW56" s="673"/>
      <c r="CX56" s="673"/>
      <c r="CY56" s="673"/>
      <c r="CZ56" s="673"/>
      <c r="DA56" s="673"/>
      <c r="DB56" s="673"/>
      <c r="DC56" s="673"/>
      <c r="DD56" s="615" t="s">
        <v>261</v>
      </c>
      <c r="DE56" s="615"/>
      <c r="DF56" s="615"/>
      <c r="DG56" s="615"/>
      <c r="DH56" s="615"/>
      <c r="DI56" s="615"/>
      <c r="DJ56" s="615"/>
      <c r="DK56" s="615"/>
      <c r="DL56" s="615"/>
      <c r="DM56" s="615"/>
      <c r="DN56" s="615"/>
      <c r="DO56" s="615"/>
      <c r="DP56" s="616"/>
      <c r="DQ56" s="625"/>
      <c r="DR56" s="523"/>
      <c r="DS56" s="658" t="str">
        <f>IF(OR(AND(J10&lt;660)),"OFFICE",IF(OR(AND(J10&gt;660,J10&lt;810)),BC78,0))</f>
        <v>OFFICE</v>
      </c>
      <c r="DT56" s="659"/>
      <c r="DU56" s="660"/>
      <c r="DV56" s="218">
        <v>0</v>
      </c>
      <c r="DW56" s="684"/>
      <c r="DY56" s="456" t="s">
        <v>169</v>
      </c>
      <c r="DZ56" s="625"/>
      <c r="EA56" s="837" t="str">
        <f>IF(DV55=DV56,"G 1/32 AB",IF(DV55&gt;DV56,DS55,DS56))</f>
        <v>C5</v>
      </c>
      <c r="EB56" s="838"/>
      <c r="EC56" s="839"/>
      <c r="ED56" s="218">
        <v>0</v>
      </c>
      <c r="EE56" s="833"/>
      <c r="EF56" s="228"/>
      <c r="EG56" s="228"/>
      <c r="EH56" s="245"/>
      <c r="EI56" s="227"/>
      <c r="EJ56" s="227"/>
      <c r="EK56" s="243"/>
      <c r="EL56" s="243"/>
      <c r="EM56" s="548"/>
      <c r="EN56" s="35"/>
      <c r="EO56" s="35"/>
      <c r="EP56" s="35"/>
      <c r="EQ56" s="35"/>
      <c r="ER56" s="35"/>
      <c r="ES56" s="242"/>
      <c r="ET56" s="101"/>
      <c r="EU56" s="858" t="s">
        <v>240</v>
      </c>
      <c r="EV56" s="858"/>
      <c r="EW56" s="858"/>
      <c r="EX56" s="858"/>
      <c r="EY56" s="858"/>
      <c r="EZ56" s="858"/>
      <c r="FA56" s="858"/>
      <c r="FB56" s="858"/>
      <c r="FC56" s="858"/>
      <c r="FD56" s="858"/>
      <c r="FE56" s="858"/>
      <c r="FF56" s="201"/>
    </row>
    <row r="57" spans="15:164" ht="24.95" customHeight="1" thickBot="1">
      <c r="AA57" s="513">
        <v>38</v>
      </c>
      <c r="AB57" s="23"/>
      <c r="AC57" s="23" t="s">
        <v>116</v>
      </c>
      <c r="AD57" s="35"/>
      <c r="AE57" s="24">
        <v>38</v>
      </c>
      <c r="AF57" s="462"/>
      <c r="AG57" s="231"/>
      <c r="AH57" s="120">
        <v>38</v>
      </c>
      <c r="AI57" s="863"/>
      <c r="AJ57" s="866"/>
      <c r="AK57" s="77" t="s">
        <v>12</v>
      </c>
      <c r="AL57" s="78" t="str">
        <f t="shared" si="0"/>
        <v>B10</v>
      </c>
      <c r="AM57" s="210">
        <v>0</v>
      </c>
      <c r="AN57" s="508"/>
      <c r="AO57" s="629"/>
      <c r="AP57" s="643"/>
      <c r="AQ57" s="549"/>
      <c r="AR57" s="206" t="str">
        <f>IF(AM58=AM59,"résultat",IF(AM58&gt;AM59,AL58,AL59))</f>
        <v>C10</v>
      </c>
      <c r="AS57" s="210">
        <v>0</v>
      </c>
      <c r="AT57" s="525"/>
      <c r="AU57" s="534"/>
      <c r="AV57" s="534"/>
      <c r="AW57" s="534"/>
      <c r="AX57" s="535"/>
      <c r="AY57" s="534"/>
      <c r="AZ57" s="639"/>
      <c r="BA57" s="303">
        <v>2</v>
      </c>
      <c r="BB57" s="306"/>
      <c r="BC57" s="308" t="str">
        <f>IF($AG58+$AH143=43,IF($AS56=$AS57,"résultat",IF($AS56&lt;$AS57,$AR56,$AR57)))</f>
        <v>C10</v>
      </c>
      <c r="BE57" s="280"/>
      <c r="BF57" s="280"/>
      <c r="BG57" s="280"/>
      <c r="BH57" s="280"/>
      <c r="BI57" s="280"/>
      <c r="BJ57" s="280"/>
      <c r="BK57" s="280"/>
      <c r="BL57" s="280"/>
      <c r="BM57" s="280"/>
      <c r="BN57" s="280"/>
      <c r="BO57" s="280"/>
      <c r="BP57" s="280"/>
      <c r="BQ57" s="280"/>
      <c r="BR57" s="280"/>
      <c r="BS57" s="280"/>
      <c r="BT57" s="280"/>
      <c r="BU57" s="280"/>
      <c r="BV57" s="280"/>
      <c r="BW57" s="280"/>
      <c r="BX57" s="280"/>
      <c r="BY57" s="376"/>
      <c r="BZ57" s="376"/>
      <c r="CA57" s="376"/>
      <c r="CB57" s="376"/>
      <c r="CC57" s="376"/>
      <c r="CD57" s="376"/>
      <c r="CE57" s="376"/>
      <c r="CF57" s="376"/>
      <c r="CG57" s="101"/>
      <c r="CH57" s="101"/>
      <c r="CI57" s="276"/>
      <c r="CJ57" s="129"/>
      <c r="CK57" s="129"/>
      <c r="CL57" s="247"/>
      <c r="CM57" s="450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376"/>
      <c r="DJ57" s="376"/>
      <c r="DK57" s="376"/>
      <c r="DL57" s="376"/>
      <c r="DM57" s="376"/>
      <c r="DN57" s="376"/>
      <c r="DO57" s="376"/>
      <c r="DP57" s="377"/>
      <c r="DQ57" s="214"/>
      <c r="DR57" s="214"/>
      <c r="DS57" s="227"/>
      <c r="DT57" s="230"/>
      <c r="DU57" s="230"/>
      <c r="DV57" s="242"/>
      <c r="DW57" s="450"/>
      <c r="DY57" s="397"/>
      <c r="DZ57" s="228"/>
      <c r="EA57" s="245"/>
      <c r="EB57" s="227"/>
      <c r="EC57" s="227"/>
      <c r="ED57" s="242"/>
      <c r="EE57" s="242"/>
      <c r="EF57" s="228"/>
      <c r="EG57" s="228"/>
      <c r="EH57" s="245"/>
      <c r="EI57" s="227"/>
      <c r="EJ57" s="227"/>
      <c r="EK57" s="243"/>
      <c r="EL57" s="243"/>
      <c r="EM57" s="548"/>
      <c r="EN57" s="35"/>
      <c r="EO57" s="35"/>
      <c r="EP57" s="35"/>
      <c r="EQ57" s="35"/>
      <c r="ER57" s="35"/>
      <c r="ES57" s="545"/>
      <c r="ET57" s="101"/>
      <c r="EU57" s="201"/>
      <c r="EV57" s="201"/>
      <c r="EW57" s="201"/>
      <c r="EX57" s="202"/>
      <c r="EY57" s="201"/>
      <c r="EZ57" s="550"/>
      <c r="FA57" s="277"/>
      <c r="FB57" s="277"/>
      <c r="FC57" s="277"/>
      <c r="FD57" s="552"/>
      <c r="FE57" s="277"/>
    </row>
    <row r="58" spans="15:164" ht="24.95" customHeight="1" thickBot="1">
      <c r="AA58" s="538">
        <v>39</v>
      </c>
      <c r="AB58" s="539"/>
      <c r="AC58" s="23" t="s">
        <v>117</v>
      </c>
      <c r="AD58" s="35"/>
      <c r="AE58" s="24">
        <v>39</v>
      </c>
      <c r="AF58" s="462"/>
      <c r="AG58" s="260" t="str">
        <f>CONCATENATE(N17,N18)</f>
        <v>43</v>
      </c>
      <c r="AH58" s="120">
        <v>39</v>
      </c>
      <c r="AI58" s="863"/>
      <c r="AJ58" s="865">
        <v>20</v>
      </c>
      <c r="AK58" s="384" t="s">
        <v>58</v>
      </c>
      <c r="AL58" s="79" t="str">
        <f t="shared" si="0"/>
        <v>C10</v>
      </c>
      <c r="AM58" s="215">
        <v>1</v>
      </c>
      <c r="AN58" s="508"/>
      <c r="AO58" s="629"/>
      <c r="AP58" s="641">
        <v>23</v>
      </c>
      <c r="AQ58" s="527"/>
      <c r="AR58" s="216" t="str">
        <f>IF(AM56=AM57,"résultat",IF(AM56&lt;AM57,AL56,AL57))</f>
        <v>B10</v>
      </c>
      <c r="AS58" s="215">
        <v>1</v>
      </c>
      <c r="AU58" s="534"/>
      <c r="AV58" s="534"/>
      <c r="AW58" s="534"/>
      <c r="AX58" s="535"/>
      <c r="AY58" s="534"/>
      <c r="AZ58" s="639"/>
      <c r="BA58" s="304">
        <v>3</v>
      </c>
      <c r="BB58" s="306"/>
      <c r="BC58" s="579" t="str">
        <f>IF($AG58+$AH143=43,IF($AS58=$AS59,"résultat",IF($AS58&gt;$AS59,$AR58,$AR59)))</f>
        <v>B10</v>
      </c>
      <c r="BE58" s="313"/>
      <c r="BF58" s="313"/>
      <c r="BG58" s="313"/>
      <c r="BH58" s="313"/>
      <c r="BI58" s="313"/>
      <c r="BJ58" s="313"/>
      <c r="BK58" s="313"/>
      <c r="BL58" s="313"/>
      <c r="BM58" s="313"/>
      <c r="BN58" s="313"/>
      <c r="BO58" s="313"/>
      <c r="BP58" s="313"/>
      <c r="BQ58" s="313"/>
      <c r="BR58" s="313"/>
      <c r="BS58" s="365"/>
      <c r="BT58" s="365"/>
      <c r="BU58" s="365"/>
      <c r="BV58" s="365"/>
      <c r="BW58" s="365"/>
      <c r="BX58" s="365"/>
      <c r="BY58" s="374"/>
      <c r="BZ58" s="374"/>
      <c r="CA58" s="374"/>
      <c r="CB58" s="374"/>
      <c r="CC58" s="374"/>
      <c r="CD58" s="374"/>
      <c r="CE58" s="374"/>
      <c r="CF58" s="374"/>
      <c r="CG58" s="202"/>
      <c r="CH58" s="202"/>
      <c r="CI58" s="263"/>
      <c r="CJ58" s="264" t="s">
        <v>64</v>
      </c>
      <c r="CK58" s="266"/>
      <c r="CL58" s="203"/>
      <c r="CM58" s="444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378"/>
      <c r="DJ58" s="378"/>
      <c r="DK58" s="378"/>
      <c r="DL58" s="378"/>
      <c r="DM58" s="378"/>
      <c r="DN58" s="378"/>
      <c r="DO58" s="374"/>
      <c r="DP58" s="379"/>
      <c r="DQ58" s="229"/>
      <c r="DR58" s="229"/>
      <c r="DS58" s="232"/>
      <c r="DT58" s="264" t="s">
        <v>170</v>
      </c>
      <c r="DU58" s="241"/>
      <c r="DV58" s="203"/>
      <c r="DW58" s="444"/>
      <c r="DY58" s="397"/>
      <c r="DZ58" s="238"/>
      <c r="EA58" s="239"/>
      <c r="EB58" s="269" t="s">
        <v>51</v>
      </c>
      <c r="EC58" s="241"/>
      <c r="ED58" s="209"/>
      <c r="EE58" s="544"/>
      <c r="EF58" s="228"/>
      <c r="EG58" s="228"/>
      <c r="EH58" s="245"/>
      <c r="EI58" s="227"/>
      <c r="EJ58" s="227"/>
      <c r="EK58" s="243"/>
      <c r="EL58" s="243"/>
      <c r="EM58" s="548"/>
      <c r="EN58" s="35"/>
      <c r="EO58" s="35"/>
      <c r="EP58" s="35"/>
      <c r="EQ58" s="35"/>
      <c r="ER58" s="35"/>
      <c r="ES58" s="242"/>
      <c r="ET58" s="101"/>
      <c r="EU58" s="278"/>
      <c r="EV58" s="725" t="s">
        <v>224</v>
      </c>
      <c r="EW58" s="725"/>
      <c r="EX58" s="725"/>
      <c r="EY58" s="278"/>
      <c r="EZ58" s="550"/>
      <c r="FA58" s="667" t="s">
        <v>241</v>
      </c>
      <c r="FB58" s="668"/>
      <c r="FC58" s="668"/>
      <c r="FD58" s="668"/>
      <c r="FE58" s="669"/>
    </row>
    <row r="59" spans="15:164" ht="24.95" customHeight="1" thickBot="1">
      <c r="AA59" s="513">
        <v>40</v>
      </c>
      <c r="AB59" s="23"/>
      <c r="AC59" s="23" t="s">
        <v>118</v>
      </c>
      <c r="AD59" s="35"/>
      <c r="AE59" s="24">
        <v>40</v>
      </c>
      <c r="AF59" s="462"/>
      <c r="AG59" s="30"/>
      <c r="AH59" s="121">
        <v>40</v>
      </c>
      <c r="AI59" s="864"/>
      <c r="AJ59" s="866"/>
      <c r="AK59" s="77" t="s">
        <v>51</v>
      </c>
      <c r="AL59" s="78" t="str">
        <f t="shared" si="0"/>
        <v>D10</v>
      </c>
      <c r="AM59" s="220">
        <v>0</v>
      </c>
      <c r="AN59" s="517"/>
      <c r="AO59" s="630"/>
      <c r="AP59" s="637"/>
      <c r="AQ59" s="528"/>
      <c r="AR59" s="221" t="str">
        <f>IF(AM58=AM59,"résultat",IF(AM58&lt;AM59,AL58,AL59))</f>
        <v>D10</v>
      </c>
      <c r="AS59" s="220">
        <v>0</v>
      </c>
      <c r="AU59" s="534"/>
      <c r="AV59" s="534"/>
      <c r="AW59" s="534"/>
      <c r="AX59" s="535"/>
      <c r="AY59" s="534"/>
      <c r="AZ59" s="640"/>
      <c r="BA59" s="200"/>
      <c r="BB59" s="524"/>
      <c r="BC59" s="280"/>
      <c r="BE59" s="613" t="s">
        <v>309</v>
      </c>
      <c r="BF59" s="613"/>
      <c r="BG59" s="613"/>
      <c r="BH59" s="613"/>
      <c r="BI59" s="613"/>
      <c r="BJ59" s="613"/>
      <c r="BK59" s="613"/>
      <c r="BL59" s="613"/>
      <c r="BM59" s="613"/>
      <c r="BN59" s="613"/>
      <c r="BO59" s="613"/>
      <c r="BP59" s="613"/>
      <c r="BQ59" s="613"/>
      <c r="BR59" s="613"/>
      <c r="BS59" s="613"/>
      <c r="BT59" s="613"/>
      <c r="BU59" s="613"/>
      <c r="BV59" s="613"/>
      <c r="BW59" s="613"/>
      <c r="BX59" s="613"/>
      <c r="BY59" s="613"/>
      <c r="BZ59" s="613"/>
      <c r="CA59" s="613"/>
      <c r="CB59" s="613"/>
      <c r="CC59" s="613"/>
      <c r="CD59" s="613"/>
      <c r="CE59" s="613"/>
      <c r="CF59" s="614"/>
      <c r="CG59" s="624">
        <v>13</v>
      </c>
      <c r="CH59" s="455"/>
      <c r="CI59" s="707" t="str">
        <f>+BC68</f>
        <v>A13</v>
      </c>
      <c r="CJ59" s="708"/>
      <c r="CK59" s="767"/>
      <c r="CL59" s="233">
        <v>1</v>
      </c>
      <c r="CM59" s="657" t="str">
        <f>IF($CL59=$CL60,"&amp;",IF($CL59&gt;$CL60,$CI59,$CI60))</f>
        <v>A13</v>
      </c>
      <c r="CO59" s="610" t="s">
        <v>251</v>
      </c>
      <c r="CP59" s="610"/>
      <c r="CQ59" s="610"/>
      <c r="CR59" s="610"/>
      <c r="CS59" s="610"/>
      <c r="CT59" s="610"/>
      <c r="CU59" s="610"/>
      <c r="CV59" s="610"/>
      <c r="CW59" s="610"/>
      <c r="CX59" s="610"/>
      <c r="CY59" s="610"/>
      <c r="CZ59" s="610"/>
      <c r="DA59" s="610"/>
      <c r="DB59" s="610"/>
      <c r="DC59" s="610"/>
      <c r="DD59" s="610"/>
      <c r="DE59" s="610"/>
      <c r="DF59" s="610"/>
      <c r="DG59" s="610"/>
      <c r="DH59" s="610"/>
      <c r="DI59" s="610"/>
      <c r="DJ59" s="610"/>
      <c r="DK59" s="610"/>
      <c r="DL59" s="610"/>
      <c r="DM59" s="610"/>
      <c r="DN59" s="610"/>
      <c r="DO59" s="610"/>
      <c r="DP59" s="611"/>
      <c r="DQ59" s="624">
        <v>29</v>
      </c>
      <c r="DR59" s="506"/>
      <c r="DS59" s="775" t="str">
        <f>BC33</f>
        <v>C4</v>
      </c>
      <c r="DT59" s="776"/>
      <c r="DU59" s="777"/>
      <c r="DV59" s="213">
        <v>1</v>
      </c>
      <c r="DW59" s="657" t="str">
        <f>IF($DV59=$DV60,"&amp;",IF($DV59&gt;$DV60,$DS59,$DS60))</f>
        <v>C4</v>
      </c>
      <c r="DY59" s="456" t="s">
        <v>64</v>
      </c>
      <c r="DZ59" s="624">
        <v>13</v>
      </c>
      <c r="EA59" s="741" t="str">
        <f>IF(CL59=CL60,"G 1/32 M",IF(CL59&gt;CL60,CI59,CI60))</f>
        <v>A13</v>
      </c>
      <c r="EB59" s="742"/>
      <c r="EC59" s="743"/>
      <c r="ED59" s="213">
        <v>1</v>
      </c>
      <c r="EE59" s="835" t="str">
        <f>IF($ED59=$ED60,"&amp;",IF($ED59&gt;$ED60,$EA59,$EA60))</f>
        <v>A13</v>
      </c>
      <c r="EF59" s="228"/>
      <c r="EG59" s="228"/>
      <c r="EH59" s="245"/>
      <c r="EI59" s="227"/>
      <c r="EJ59" s="227"/>
      <c r="EK59" s="243"/>
      <c r="EL59" s="243"/>
      <c r="EM59" s="443"/>
      <c r="EN59" s="35"/>
      <c r="EO59" s="35"/>
      <c r="EP59" s="35"/>
      <c r="EQ59" s="35"/>
      <c r="ER59" s="35"/>
      <c r="ES59" s="35"/>
      <c r="EU59" s="278" t="s">
        <v>6</v>
      </c>
      <c r="EV59" s="278"/>
      <c r="EW59" s="278"/>
      <c r="EX59" s="553"/>
      <c r="EY59" s="278" t="s">
        <v>5</v>
      </c>
      <c r="EZ59" s="550"/>
      <c r="FA59" s="278" t="s">
        <v>6</v>
      </c>
      <c r="FB59" s="278"/>
      <c r="FC59" s="278"/>
      <c r="FD59" s="553"/>
      <c r="FE59" s="278" t="s">
        <v>5</v>
      </c>
    </row>
    <row r="60" spans="15:164" ht="24.95" customHeight="1" thickTop="1" thickBot="1">
      <c r="AA60" s="538">
        <v>41</v>
      </c>
      <c r="AB60" s="539"/>
      <c r="AC60" s="23" t="s">
        <v>119</v>
      </c>
      <c r="AD60" s="35"/>
      <c r="AE60" s="24">
        <v>41</v>
      </c>
      <c r="AF60" s="462"/>
      <c r="AG60" s="30"/>
      <c r="AH60" s="116">
        <v>41</v>
      </c>
      <c r="AI60" s="899" t="s">
        <v>29</v>
      </c>
      <c r="AJ60" s="865">
        <v>21</v>
      </c>
      <c r="AK60" s="384" t="s">
        <v>11</v>
      </c>
      <c r="AL60" s="79" t="str">
        <f t="shared" si="0"/>
        <v>A11</v>
      </c>
      <c r="AM60" s="204">
        <v>1</v>
      </c>
      <c r="AN60" s="508"/>
      <c r="AO60" s="629">
        <v>11</v>
      </c>
      <c r="AP60" s="836">
        <v>24</v>
      </c>
      <c r="AQ60" s="554"/>
      <c r="AR60" s="205" t="str">
        <f>IF(AM60=AM61,"résultat",IF(AM60&gt;AM61,AL60,AL61))</f>
        <v>A11</v>
      </c>
      <c r="AS60" s="207">
        <v>1</v>
      </c>
      <c r="AU60" s="534"/>
      <c r="AV60" s="534"/>
      <c r="AW60" s="534"/>
      <c r="AX60" s="535"/>
      <c r="AY60" s="534"/>
      <c r="AZ60" s="636">
        <v>11</v>
      </c>
      <c r="BA60" s="302">
        <v>1</v>
      </c>
      <c r="BB60" s="305"/>
      <c r="BC60" s="309" t="str">
        <f>IF($AG61+$AG62=43,IF($AS60=$AS61,"résultat",IF($AS60&gt;$AS61,$AR60,$AR61)))</f>
        <v>A11</v>
      </c>
      <c r="BE60" s="603" t="s">
        <v>267</v>
      </c>
      <c r="BF60" s="603"/>
      <c r="BG60" s="603"/>
      <c r="BH60" s="603"/>
      <c r="BI60" s="603"/>
      <c r="BJ60" s="603"/>
      <c r="BK60" s="603"/>
      <c r="BL60" s="603"/>
      <c r="BM60" s="603"/>
      <c r="BN60" s="603"/>
      <c r="BO60" s="603"/>
      <c r="BP60" s="603"/>
      <c r="BQ60" s="603"/>
      <c r="BR60" s="603"/>
      <c r="BS60" s="603"/>
      <c r="BT60" s="603"/>
      <c r="BU60" s="603"/>
      <c r="BV60" s="603"/>
      <c r="BW60" s="603"/>
      <c r="BX60" s="603"/>
      <c r="BY60" s="603"/>
      <c r="BZ60" s="603"/>
      <c r="CA60" s="603"/>
      <c r="CB60" s="603"/>
      <c r="CC60" s="603"/>
      <c r="CD60" s="603"/>
      <c r="CE60" s="603"/>
      <c r="CF60" s="604"/>
      <c r="CG60" s="625"/>
      <c r="CH60" s="458"/>
      <c r="CI60" s="621" t="str">
        <f>BC22</f>
        <v>B1</v>
      </c>
      <c r="CJ60" s="622"/>
      <c r="CK60" s="623"/>
      <c r="CL60" s="255">
        <v>0</v>
      </c>
      <c r="CM60" s="657"/>
      <c r="CO60" s="600" t="s">
        <v>324</v>
      </c>
      <c r="CP60" s="600"/>
      <c r="CQ60" s="600"/>
      <c r="CR60" s="600"/>
      <c r="CS60" s="600"/>
      <c r="CT60" s="600"/>
      <c r="CU60" s="600"/>
      <c r="CV60" s="600"/>
      <c r="CW60" s="600"/>
      <c r="CX60" s="600"/>
      <c r="CY60" s="600"/>
      <c r="CZ60" s="600"/>
      <c r="DA60" s="586" t="s">
        <v>323</v>
      </c>
      <c r="DB60" s="382"/>
      <c r="DC60" s="382"/>
      <c r="DD60" s="382"/>
      <c r="DE60" s="382"/>
      <c r="DF60" s="382"/>
      <c r="DG60" s="382" t="s">
        <v>261</v>
      </c>
      <c r="DH60" s="382"/>
      <c r="DI60" s="382"/>
      <c r="DJ60" s="382"/>
      <c r="DK60" s="382"/>
      <c r="DL60" s="382"/>
      <c r="DM60" s="382"/>
      <c r="DN60" s="382"/>
      <c r="DO60" s="382"/>
      <c r="DP60" s="380"/>
      <c r="DQ60" s="625"/>
      <c r="DR60" s="511"/>
      <c r="DS60" s="661" t="str">
        <f>IF(OR(AND(J10&lt;680)),"OFFICE",IF(OR(AND(J10&gt;680,J10&lt;690)),BC86,IF(OR(AND(J10&gt;690,J10&lt;810)),BC89,0)))</f>
        <v>OFFICE</v>
      </c>
      <c r="DT60" s="662"/>
      <c r="DU60" s="663"/>
      <c r="DV60" s="218">
        <v>0</v>
      </c>
      <c r="DW60" s="657"/>
      <c r="DY60" s="456" t="s">
        <v>170</v>
      </c>
      <c r="DZ60" s="625"/>
      <c r="EA60" s="744" t="str">
        <f>IF(DV59=DV60,"G 1/32 AC",IF(DV59&gt;DV60,DS59,DS60))</f>
        <v>C4</v>
      </c>
      <c r="EB60" s="745"/>
      <c r="EC60" s="746"/>
      <c r="ED60" s="218">
        <v>0</v>
      </c>
      <c r="EE60" s="835"/>
      <c r="EF60" s="228"/>
      <c r="EG60" s="209"/>
      <c r="EH60" s="239"/>
      <c r="EI60" s="240" t="s">
        <v>60</v>
      </c>
      <c r="EJ60" s="241"/>
      <c r="EK60" s="208"/>
      <c r="EL60" s="208"/>
      <c r="EM60" s="478"/>
      <c r="ES60" s="101"/>
      <c r="EU60" s="844">
        <v>3</v>
      </c>
      <c r="EV60" s="755" t="str">
        <f>IF(OR(AND($FK9&gt;0,$FK9&lt;5))," ",IF($ES13=$ES14,"Perdant 1/4 A",IF(AND($FK9&gt;4,$FK9&lt;9),IF($ES13&lt;$ES14,$EP13,$EP14)," ")))</f>
        <v xml:space="preserve"> </v>
      </c>
      <c r="EW60" s="756"/>
      <c r="EX60" s="757"/>
      <c r="EY60" s="212">
        <v>1</v>
      </c>
      <c r="EZ60" s="555"/>
      <c r="FA60" s="753">
        <v>3</v>
      </c>
      <c r="FB60" s="755" t="str">
        <f>IF(OR(AND($FK9&gt;0,$FK9&lt;5))," ",IF(EY60=EY61,"Perdant 1/4 A",IF(AND($FK9&gt;4,$FK9&lt;9),IF(EY60&gt;EY61,EV60,EV61)," ")))</f>
        <v xml:space="preserve"> </v>
      </c>
      <c r="FC60" s="756"/>
      <c r="FD60" s="757"/>
      <c r="FE60" s="212">
        <v>1</v>
      </c>
    </row>
    <row r="61" spans="15:164" ht="24.95" customHeight="1" thickBot="1">
      <c r="AA61" s="513">
        <v>42</v>
      </c>
      <c r="AB61" s="23"/>
      <c r="AC61" s="23" t="s">
        <v>120</v>
      </c>
      <c r="AD61" s="35"/>
      <c r="AE61" s="24">
        <v>42</v>
      </c>
      <c r="AF61" s="462"/>
      <c r="AG61" s="231" t="str">
        <f>CONCATENATE(O17,O18)</f>
        <v>43</v>
      </c>
      <c r="AH61" s="110">
        <v>42</v>
      </c>
      <c r="AI61" s="900"/>
      <c r="AJ61" s="866"/>
      <c r="AK61" s="77" t="s">
        <v>12</v>
      </c>
      <c r="AL61" s="80" t="str">
        <f t="shared" si="0"/>
        <v>B11</v>
      </c>
      <c r="AM61" s="210">
        <v>0</v>
      </c>
      <c r="AN61" s="508"/>
      <c r="AO61" s="629"/>
      <c r="AP61" s="627"/>
      <c r="AQ61" s="556"/>
      <c r="AR61" s="206" t="str">
        <f>IF(AM62=AM63,"résultat",IF(AM62&gt;AM63,AL62,AL63))</f>
        <v>C11</v>
      </c>
      <c r="AS61" s="211">
        <v>0</v>
      </c>
      <c r="AU61" s="534"/>
      <c r="AV61" s="534"/>
      <c r="AW61" s="534"/>
      <c r="AX61" s="535"/>
      <c r="AY61" s="534"/>
      <c r="AZ61" s="636"/>
      <c r="BA61" s="303">
        <v>2</v>
      </c>
      <c r="BB61" s="306"/>
      <c r="BC61" s="308" t="str">
        <f>IF($AG61+$AG62=43,IF(AS60=AS61,"résultat",IF(AS60&lt;AS61,AR60,AR61)))</f>
        <v>C11</v>
      </c>
      <c r="BE61" s="376"/>
      <c r="BF61" s="376"/>
      <c r="BG61" s="376"/>
      <c r="BH61" s="376"/>
      <c r="BI61" s="376"/>
      <c r="BJ61" s="376"/>
      <c r="BK61" s="376"/>
      <c r="BL61" s="376"/>
      <c r="BM61" s="376"/>
      <c r="BN61" s="376"/>
      <c r="BO61" s="376"/>
      <c r="BP61" s="376"/>
      <c r="BQ61" s="376"/>
      <c r="BR61" s="376"/>
      <c r="BS61" s="376"/>
      <c r="BT61" s="376"/>
      <c r="BU61" s="376"/>
      <c r="BV61" s="376"/>
      <c r="BW61" s="376"/>
      <c r="BX61" s="376"/>
      <c r="BY61" s="376"/>
      <c r="BZ61" s="376"/>
      <c r="CA61" s="376"/>
      <c r="CB61" s="376"/>
      <c r="CC61" s="376"/>
      <c r="CD61" s="376"/>
      <c r="CE61" s="376"/>
      <c r="CF61" s="376"/>
      <c r="CG61" s="242"/>
      <c r="CH61" s="242"/>
      <c r="CI61" s="268"/>
      <c r="CJ61" s="268"/>
      <c r="CK61" s="268"/>
      <c r="CL61" s="242"/>
      <c r="CM61" s="450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376"/>
      <c r="DJ61" s="376"/>
      <c r="DK61" s="376"/>
      <c r="DL61" s="376"/>
      <c r="DM61" s="376"/>
      <c r="DN61" s="376"/>
      <c r="DO61" s="376"/>
      <c r="DP61" s="377"/>
      <c r="DQ61" s="214"/>
      <c r="DR61" s="214"/>
      <c r="DS61" s="227"/>
      <c r="DT61" s="246"/>
      <c r="DU61" s="246"/>
      <c r="DV61" s="242"/>
      <c r="DW61" s="450"/>
      <c r="DY61" s="397"/>
      <c r="DZ61" s="228"/>
      <c r="EA61" s="245"/>
      <c r="EB61" s="227"/>
      <c r="EC61" s="227"/>
      <c r="ED61" s="242"/>
      <c r="EE61" s="242"/>
      <c r="EF61" s="228"/>
      <c r="EG61" s="624">
        <v>7</v>
      </c>
      <c r="EH61" s="741" t="str">
        <f>IF(ED59=ED60,"G. 1/16 J",IF(ED59&gt;ED60,EA59,EA60))</f>
        <v>A13</v>
      </c>
      <c r="EI61" s="742"/>
      <c r="EJ61" s="743"/>
      <c r="EK61" s="212">
        <v>1</v>
      </c>
      <c r="EL61" s="675" t="str">
        <f>IF(EK61=EK62,"&amp;",IF(EK61&gt;EK62,EH61,EH62))</f>
        <v>A13</v>
      </c>
      <c r="EM61" s="443"/>
      <c r="EN61" s="243"/>
      <c r="EO61" s="243"/>
      <c r="EP61" s="243"/>
      <c r="EQ61" s="243"/>
      <c r="ER61" s="243"/>
      <c r="ES61" s="243"/>
      <c r="EU61" s="845"/>
      <c r="EV61" s="729" t="str">
        <f>IF(OR(AND($FK9&gt;0,$FK9&lt;5))," ",IF($ES23=$ES24,"Perdant 1/4 B",IF(AND($FK9&gt;4,$FK9&lt;9),IF($ES23&lt;$ES24,$EP23,$EP24)," ")))</f>
        <v xml:space="preserve"> </v>
      </c>
      <c r="EW61" s="730"/>
      <c r="EX61" s="731"/>
      <c r="EY61" s="219">
        <v>0</v>
      </c>
      <c r="EZ61" s="555"/>
      <c r="FA61" s="754"/>
      <c r="FB61" s="729" t="str">
        <f>IF(OR(AND($FK9&gt;0,$FK9&lt;5))," ",IF(EY66=EY67,"Perdant 1/4 B",IF(AND($FK9&gt;4,$FK9&lt;9),IF(EY66&gt;EY67,EV66,EV67)," ")))</f>
        <v xml:space="preserve"> </v>
      </c>
      <c r="FC61" s="730"/>
      <c r="FD61" s="731"/>
      <c r="FE61" s="219">
        <v>2</v>
      </c>
    </row>
    <row r="62" spans="15:164" ht="24.95" customHeight="1" thickBot="1">
      <c r="AA62" s="538">
        <v>43</v>
      </c>
      <c r="AB62" s="539"/>
      <c r="AC62" s="23" t="s">
        <v>121</v>
      </c>
      <c r="AD62" s="35"/>
      <c r="AE62" s="24">
        <v>43</v>
      </c>
      <c r="AF62" s="462"/>
      <c r="AG62" s="261"/>
      <c r="AH62" s="110">
        <v>43</v>
      </c>
      <c r="AI62" s="900"/>
      <c r="AJ62" s="865">
        <v>22</v>
      </c>
      <c r="AK62" s="384" t="s">
        <v>58</v>
      </c>
      <c r="AL62" s="75" t="str">
        <f t="shared" si="0"/>
        <v>C11</v>
      </c>
      <c r="AM62" s="215">
        <v>1</v>
      </c>
      <c r="AN62" s="508"/>
      <c r="AO62" s="629"/>
      <c r="AP62" s="788">
        <v>25</v>
      </c>
      <c r="AQ62" s="557"/>
      <c r="AR62" s="216" t="str">
        <f>IF(AM60=AM61,"résultat",IF(AM60&lt;AM61,AL60,AL61))</f>
        <v>B11</v>
      </c>
      <c r="AS62" s="217">
        <v>1</v>
      </c>
      <c r="AU62" s="534"/>
      <c r="AV62" s="534"/>
      <c r="AW62" s="534"/>
      <c r="AX62" s="535"/>
      <c r="AY62" s="534"/>
      <c r="AZ62" s="636"/>
      <c r="BA62" s="304">
        <v>3</v>
      </c>
      <c r="BB62" s="306"/>
      <c r="BC62" s="579" t="str">
        <f>IF($AG61+$AG62=43,IF(AS62=AS63,"résultat",IF(AS62&gt;AS63,AR62,AR63)))</f>
        <v>B11</v>
      </c>
      <c r="BE62" s="378"/>
      <c r="BF62" s="378"/>
      <c r="BG62" s="378"/>
      <c r="BH62" s="378"/>
      <c r="BI62" s="378"/>
      <c r="BJ62" s="378"/>
      <c r="BK62" s="378"/>
      <c r="BL62" s="378"/>
      <c r="BM62" s="378"/>
      <c r="BN62" s="378"/>
      <c r="BO62" s="378"/>
      <c r="BP62" s="378"/>
      <c r="BQ62" s="378"/>
      <c r="BR62" s="378"/>
      <c r="BS62" s="374"/>
      <c r="BT62" s="374"/>
      <c r="BU62" s="374"/>
      <c r="BV62" s="374"/>
      <c r="BW62" s="374"/>
      <c r="BX62" s="374"/>
      <c r="BY62" s="374"/>
      <c r="BZ62" s="374"/>
      <c r="CA62" s="374"/>
      <c r="CB62" s="374"/>
      <c r="CC62" s="374"/>
      <c r="CD62" s="374"/>
      <c r="CE62" s="374"/>
      <c r="CF62" s="374"/>
      <c r="CG62" s="202"/>
      <c r="CH62" s="202"/>
      <c r="CI62" s="263"/>
      <c r="CJ62" s="264" t="s">
        <v>65</v>
      </c>
      <c r="CK62" s="266"/>
      <c r="CL62" s="203"/>
      <c r="CM62" s="460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378"/>
      <c r="DJ62" s="378"/>
      <c r="DK62" s="378"/>
      <c r="DL62" s="378"/>
      <c r="DM62" s="378"/>
      <c r="DN62" s="378"/>
      <c r="DO62" s="374"/>
      <c r="DP62" s="379"/>
      <c r="DQ62" s="202"/>
      <c r="DR62" s="229"/>
      <c r="DS62" s="263"/>
      <c r="DT62" s="264" t="s">
        <v>171</v>
      </c>
      <c r="DU62" s="241"/>
      <c r="DV62" s="247"/>
      <c r="DW62" s="460"/>
      <c r="DY62" s="397"/>
      <c r="DZ62" s="238"/>
      <c r="EA62" s="239"/>
      <c r="EB62" s="269" t="s">
        <v>58</v>
      </c>
      <c r="EC62" s="241"/>
      <c r="ED62" s="209"/>
      <c r="EE62" s="544"/>
      <c r="EF62" s="228"/>
      <c r="EG62" s="625"/>
      <c r="EH62" s="902" t="str">
        <f>IF(ED63=ED64,"G. 1/16 L",IF(ED63&gt;ED64,EA63,EA64))</f>
        <v>A14</v>
      </c>
      <c r="EI62" s="903"/>
      <c r="EJ62" s="904"/>
      <c r="EK62" s="219">
        <v>0</v>
      </c>
      <c r="EL62" s="675"/>
      <c r="EM62" s="443"/>
      <c r="EU62" s="278"/>
      <c r="EV62" s="278"/>
      <c r="EW62" s="543"/>
      <c r="EX62" s="546"/>
      <c r="EY62" s="278" t="s">
        <v>146</v>
      </c>
      <c r="EZ62" s="555"/>
      <c r="FA62" s="558"/>
      <c r="FB62" s="558"/>
      <c r="FC62" s="277"/>
      <c r="FD62" s="552"/>
      <c r="FE62" s="559"/>
    </row>
    <row r="63" spans="15:164" ht="24.95" customHeight="1" thickBot="1">
      <c r="O63"/>
      <c r="P63"/>
      <c r="Q63"/>
      <c r="R63"/>
      <c r="AA63" s="513">
        <v>44</v>
      </c>
      <c r="AB63" s="23"/>
      <c r="AC63" s="23" t="s">
        <v>122</v>
      </c>
      <c r="AD63" s="35"/>
      <c r="AE63" s="24">
        <v>44</v>
      </c>
      <c r="AF63" s="462"/>
      <c r="AG63" s="261"/>
      <c r="AH63" s="111">
        <f>IF(O17+O16=4,44," ")</f>
        <v>44</v>
      </c>
      <c r="AI63" s="901"/>
      <c r="AJ63" s="866"/>
      <c r="AK63" s="77" t="s">
        <v>51</v>
      </c>
      <c r="AL63" s="78" t="str">
        <f t="shared" si="0"/>
        <v>D11</v>
      </c>
      <c r="AM63" s="220">
        <v>0</v>
      </c>
      <c r="AN63" s="517"/>
      <c r="AO63" s="630"/>
      <c r="AP63" s="789"/>
      <c r="AQ63" s="560"/>
      <c r="AR63" s="221" t="str">
        <f>IF(AM62=AM63,"résultat",IF(AM62&lt;AM63,AL62,AL63))</f>
        <v>D11</v>
      </c>
      <c r="AS63" s="222">
        <v>0</v>
      </c>
      <c r="AU63" s="200" t="s">
        <v>236</v>
      </c>
      <c r="AV63" s="200" t="s">
        <v>83</v>
      </c>
      <c r="AW63" s="200"/>
      <c r="AX63" s="502" t="s">
        <v>237</v>
      </c>
      <c r="AY63" s="502" t="s">
        <v>238</v>
      </c>
      <c r="AZ63" s="637"/>
      <c r="BA63" s="519"/>
      <c r="BB63" s="524"/>
      <c r="BC63" s="280"/>
      <c r="BE63" s="613" t="s">
        <v>310</v>
      </c>
      <c r="BF63" s="613"/>
      <c r="BG63" s="613"/>
      <c r="BH63" s="613"/>
      <c r="BI63" s="613"/>
      <c r="BJ63" s="613"/>
      <c r="BK63" s="613"/>
      <c r="BL63" s="613"/>
      <c r="BM63" s="613"/>
      <c r="BN63" s="613"/>
      <c r="BO63" s="613"/>
      <c r="BP63" s="613"/>
      <c r="BQ63" s="613"/>
      <c r="BR63" s="613"/>
      <c r="BS63" s="613"/>
      <c r="BT63" s="613"/>
      <c r="BU63" s="613"/>
      <c r="BV63" s="613"/>
      <c r="BW63" s="613"/>
      <c r="BX63" s="613"/>
      <c r="BY63" s="613"/>
      <c r="BZ63" s="613"/>
      <c r="CA63" s="613"/>
      <c r="CB63" s="613"/>
      <c r="CC63" s="613"/>
      <c r="CD63" s="613"/>
      <c r="CE63" s="613"/>
      <c r="CF63" s="614"/>
      <c r="CG63" s="624">
        <v>14</v>
      </c>
      <c r="CH63" s="455"/>
      <c r="CI63" s="707" t="str">
        <f>+BC72</f>
        <v>A14</v>
      </c>
      <c r="CJ63" s="708"/>
      <c r="CK63" s="767"/>
      <c r="CL63" s="233">
        <v>1</v>
      </c>
      <c r="CM63" s="705" t="str">
        <f>IF($CL63=$CL64,"&amp;",IF($CL63&gt;$CL64,$CI63,$CI64))</f>
        <v>A14</v>
      </c>
      <c r="CO63" s="610" t="s">
        <v>250</v>
      </c>
      <c r="CP63" s="610"/>
      <c r="CQ63" s="610"/>
      <c r="CR63" s="610"/>
      <c r="CS63" s="610"/>
      <c r="CT63" s="610"/>
      <c r="CU63" s="610"/>
      <c r="CV63" s="610"/>
      <c r="CW63" s="610"/>
      <c r="CX63" s="610"/>
      <c r="CY63" s="610"/>
      <c r="CZ63" s="610"/>
      <c r="DA63" s="610"/>
      <c r="DB63" s="610"/>
      <c r="DC63" s="610"/>
      <c r="DD63" s="610"/>
      <c r="DE63" s="610"/>
      <c r="DF63" s="610"/>
      <c r="DG63" s="610"/>
      <c r="DH63" s="610"/>
      <c r="DI63" s="610"/>
      <c r="DJ63" s="610"/>
      <c r="DK63" s="610"/>
      <c r="DL63" s="610"/>
      <c r="DM63" s="610"/>
      <c r="DN63" s="610"/>
      <c r="DO63" s="610"/>
      <c r="DP63" s="611"/>
      <c r="DQ63" s="624">
        <v>30</v>
      </c>
      <c r="DR63" s="455"/>
      <c r="DS63" s="775" t="str">
        <f>BC29</f>
        <v>C3</v>
      </c>
      <c r="DT63" s="776"/>
      <c r="DU63" s="778"/>
      <c r="DV63" s="233">
        <v>1</v>
      </c>
      <c r="DW63" s="705" t="str">
        <f>IF($DV63=$DV64,"&amp;",IF($DV63&gt;$DV64,$DS63,$DS64))</f>
        <v>C3</v>
      </c>
      <c r="DY63" s="456" t="s">
        <v>65</v>
      </c>
      <c r="DZ63" s="624">
        <v>14</v>
      </c>
      <c r="EA63" s="747" t="str">
        <f>IF(CL63=CL64,"G 1/32 N""",IF(CL63&gt;CL64,CI63,CI64))</f>
        <v>A14</v>
      </c>
      <c r="EB63" s="748"/>
      <c r="EC63" s="749"/>
      <c r="ED63" s="213">
        <v>1</v>
      </c>
      <c r="EE63" s="685" t="str">
        <f>IF($ED63=$ED64,"&amp;",IF($ED63&gt;$ED64,$EA63,$EA64))</f>
        <v>A14</v>
      </c>
      <c r="EF63" s="228"/>
      <c r="EG63" s="249"/>
      <c r="EH63" s="245"/>
      <c r="EI63" s="245"/>
      <c r="EJ63" s="227"/>
      <c r="EK63" s="214"/>
      <c r="EL63" s="243"/>
      <c r="EM63" s="443"/>
      <c r="EU63" s="277"/>
      <c r="EV63" s="561"/>
      <c r="EW63" s="561"/>
      <c r="EX63" s="214"/>
      <c r="EY63" s="214"/>
      <c r="EZ63" s="214"/>
      <c r="FA63" s="555"/>
      <c r="FB63" s="278"/>
      <c r="FC63" s="278"/>
      <c r="FD63" s="543"/>
      <c r="FE63" s="546"/>
    </row>
    <row r="64" spans="15:164" ht="24.95" customHeight="1" thickTop="1" thickBot="1">
      <c r="O64"/>
      <c r="P64"/>
      <c r="Q64"/>
      <c r="R64"/>
      <c r="AA64" s="538">
        <v>45</v>
      </c>
      <c r="AB64" s="539"/>
      <c r="AC64" s="23" t="s">
        <v>123</v>
      </c>
      <c r="AD64" s="35"/>
      <c r="AE64" s="24">
        <v>45</v>
      </c>
      <c r="AF64" s="462"/>
      <c r="AG64" s="261"/>
      <c r="AH64" s="311">
        <f>IF(OR(AND($J$10&gt;530,$J$10&lt;660)),45,IF(OR(AND($J$10&gt;0,$J$10&lt;0)),0,IF(OR(AND($J$10&gt;660,$J$10&lt;810)),45,0)))</f>
        <v>45</v>
      </c>
      <c r="AI64" s="862" t="s">
        <v>30</v>
      </c>
      <c r="AJ64" s="865">
        <v>23</v>
      </c>
      <c r="AK64" s="384" t="s">
        <v>11</v>
      </c>
      <c r="AL64" s="81" t="str">
        <f t="shared" si="0"/>
        <v>A12</v>
      </c>
      <c r="AM64" s="204">
        <v>1</v>
      </c>
      <c r="AN64" s="508"/>
      <c r="AO64" s="628">
        <v>12</v>
      </c>
      <c r="AP64" s="626">
        <v>26</v>
      </c>
      <c r="AQ64" s="562"/>
      <c r="AR64" s="205" t="str">
        <f>IF(AM64=AM65,"résultat",IF(AM64&gt;AM65,AL64,AL65))</f>
        <v>A12</v>
      </c>
      <c r="AS64" s="224">
        <v>1</v>
      </c>
      <c r="AU64" s="636">
        <v>12</v>
      </c>
      <c r="AV64" s="225"/>
      <c r="AW64" s="225"/>
      <c r="AX64" s="563"/>
      <c r="AY64" s="225"/>
      <c r="AZ64" s="225"/>
      <c r="BA64" s="302">
        <v>1</v>
      </c>
      <c r="BB64" s="305"/>
      <c r="BC64" s="309" t="str">
        <f>IF($AG65+$AG66=43,IF($AS64=$AS65,"résultat",IF($AS64&gt;$AS65,$AR64,$AR65)),IF($AG65+$AG66=32,IF($AS64=$AS65,"résultat",IF($AS64&gt;$AS65,$AR64,$AR65))))</f>
        <v>A12</v>
      </c>
      <c r="BE64" s="603" t="s">
        <v>276</v>
      </c>
      <c r="BF64" s="603"/>
      <c r="BG64" s="603"/>
      <c r="BH64" s="603"/>
      <c r="BI64" s="603"/>
      <c r="BJ64" s="603"/>
      <c r="BK64" s="603"/>
      <c r="BL64" s="603"/>
      <c r="BM64" s="603"/>
      <c r="BN64" s="603"/>
      <c r="BO64" s="603"/>
      <c r="BP64" s="603"/>
      <c r="BQ64" s="603"/>
      <c r="BR64" s="603"/>
      <c r="BS64" s="603"/>
      <c r="BT64" s="603"/>
      <c r="BU64" s="603"/>
      <c r="BV64" s="603"/>
      <c r="BW64" s="603"/>
      <c r="BX64" s="603"/>
      <c r="BY64" s="603"/>
      <c r="BZ64" s="603"/>
      <c r="CA64" s="603"/>
      <c r="CB64" s="603"/>
      <c r="CC64" s="603"/>
      <c r="CD64" s="603"/>
      <c r="CE64" s="603"/>
      <c r="CF64" s="604"/>
      <c r="CG64" s="625"/>
      <c r="CH64" s="458"/>
      <c r="CI64" s="621" t="str">
        <f>BC26</f>
        <v>B2</v>
      </c>
      <c r="CJ64" s="622"/>
      <c r="CK64" s="623"/>
      <c r="CL64" s="255">
        <v>0</v>
      </c>
      <c r="CM64" s="705"/>
      <c r="CO64" s="599" t="s">
        <v>328</v>
      </c>
      <c r="CP64" s="599"/>
      <c r="CQ64" s="599"/>
      <c r="CR64" s="599"/>
      <c r="CS64" s="599"/>
      <c r="CT64" s="599"/>
      <c r="CU64" s="599"/>
      <c r="CV64" s="599"/>
      <c r="CW64" s="673" t="s">
        <v>323</v>
      </c>
      <c r="CX64" s="673"/>
      <c r="CY64" s="824" t="s">
        <v>261</v>
      </c>
      <c r="CZ64" s="824"/>
      <c r="DA64" s="824"/>
      <c r="DB64" s="824"/>
      <c r="DC64" s="824"/>
      <c r="DD64" s="824"/>
      <c r="DE64" s="824"/>
      <c r="DF64" s="824"/>
      <c r="DG64" s="824"/>
      <c r="DH64" s="824"/>
      <c r="DI64" s="824"/>
      <c r="DJ64" s="824"/>
      <c r="DK64" s="824"/>
      <c r="DL64" s="824"/>
      <c r="DM64" s="824"/>
      <c r="DN64" s="824"/>
      <c r="DO64" s="824"/>
      <c r="DP64" s="632"/>
      <c r="DQ64" s="625"/>
      <c r="DR64" s="458"/>
      <c r="DS64" s="658" t="str">
        <f>IF(OR(AND(J10&lt;720)),"OFFICE",IF(OR(AND(J10&gt;710,J10&lt;730)),BC86,IF(OR(AND(J10&gt;730,J10&lt;810)),BC92,0)))</f>
        <v>OFFICE</v>
      </c>
      <c r="DT64" s="659"/>
      <c r="DU64" s="660"/>
      <c r="DV64" s="255">
        <v>0</v>
      </c>
      <c r="DW64" s="705"/>
      <c r="DY64" s="456" t="s">
        <v>171</v>
      </c>
      <c r="DZ64" s="625"/>
      <c r="EA64" s="841" t="str">
        <f>IF(DV63=DV64,"G 1/32 AD",IF(DV63&gt;DV64,DS63,DS64))</f>
        <v>C3</v>
      </c>
      <c r="EB64" s="842"/>
      <c r="EC64" s="843"/>
      <c r="ED64" s="218">
        <v>0</v>
      </c>
      <c r="EE64" s="685"/>
      <c r="EF64" s="209"/>
      <c r="EG64" s="249"/>
      <c r="EH64" s="245"/>
      <c r="EI64" s="245"/>
      <c r="EJ64" s="227"/>
      <c r="EK64" s="214"/>
      <c r="EL64" s="243"/>
      <c r="EM64" s="443"/>
      <c r="ET64" s="243"/>
      <c r="EU64" s="277"/>
      <c r="EV64" s="561"/>
      <c r="EW64" s="561"/>
      <c r="EX64" s="214"/>
      <c r="EY64" s="214"/>
      <c r="EZ64" s="561"/>
      <c r="FA64" s="750" t="s">
        <v>242</v>
      </c>
      <c r="FB64" s="751"/>
      <c r="FC64" s="751"/>
      <c r="FD64" s="751"/>
      <c r="FE64" s="752"/>
    </row>
    <row r="65" spans="15:162" ht="24.95" customHeight="1" thickBot="1">
      <c r="O65"/>
      <c r="P65"/>
      <c r="Q65"/>
      <c r="R65"/>
      <c r="AA65" s="513">
        <v>46</v>
      </c>
      <c r="AB65" s="23"/>
      <c r="AC65" s="23" t="s">
        <v>124</v>
      </c>
      <c r="AD65" s="35"/>
      <c r="AE65" s="24">
        <v>46</v>
      </c>
      <c r="AF65" s="462"/>
      <c r="AG65" s="262" t="str">
        <f>CONCATENATE(P17,P18)</f>
        <v>43</v>
      </c>
      <c r="AH65" s="237">
        <f>IF(OR(AND($J$10&gt;530,$J$10&lt;660)),46,IF(OR(AND($J$10&gt;0,$J$10&lt;0),IF($J$10&gt;660,$J$10&lt;810)),46,0))</f>
        <v>46</v>
      </c>
      <c r="AI65" s="863"/>
      <c r="AJ65" s="866"/>
      <c r="AK65" s="77" t="s">
        <v>12</v>
      </c>
      <c r="AL65" s="80" t="str">
        <f>IF(ISNA(MATCH(AH65,$AE$20:$AE$99,0)),"OFFICE",INDEX($AC$20:$AC$99,MATCH(AH65,$AE$20:$AE$99,0)))</f>
        <v>B12</v>
      </c>
      <c r="AM65" s="210">
        <v>0</v>
      </c>
      <c r="AN65" s="508"/>
      <c r="AO65" s="629"/>
      <c r="AP65" s="627"/>
      <c r="AQ65" s="556"/>
      <c r="AR65" s="206" t="str">
        <f>IF(AM66=AM67,"résultat",IF(AM66&gt;AM67,AL66,AL67))</f>
        <v>C12</v>
      </c>
      <c r="AS65" s="211">
        <v>0</v>
      </c>
      <c r="AU65" s="636"/>
      <c r="AV65" s="825"/>
      <c r="AW65" s="564"/>
      <c r="AX65" s="284" t="str">
        <f>IF(AG65+AG66=0," ",IF(AG65+AG66=43," ",(IF($AG$77+AG66=42,IF(AS64=AS65,"résultat",IF(AS64&lt;AS65,AR64,AR65)),IF($AG65+AG66=32,IF(AS64=AS65,"résultat",IF(AS64&lt;AS65,AR64,AR65)))))))</f>
        <v xml:space="preserve"> </v>
      </c>
      <c r="AY65" s="217">
        <v>1</v>
      </c>
      <c r="AZ65" s="242"/>
      <c r="BA65" s="303">
        <v>2</v>
      </c>
      <c r="BB65" s="306"/>
      <c r="BC65" s="308" t="str">
        <f>IF($AG65+$AG66=43,IF(AS65=AS66,"résultat",IF($AS65&lt;AS66,AR65,AR66)),IF($AG65+$AG66=32,IF(AY65=AY66,"résultat",IF($AY65&gt;AY66,AX65,AX66))))</f>
        <v>C12</v>
      </c>
      <c r="BE65" s="376"/>
      <c r="BF65" s="376"/>
      <c r="BG65" s="376"/>
      <c r="BH65" s="376"/>
      <c r="BI65" s="376"/>
      <c r="BJ65" s="376"/>
      <c r="BK65" s="376"/>
      <c r="BL65" s="376"/>
      <c r="BM65" s="376"/>
      <c r="BN65" s="376"/>
      <c r="BO65" s="376"/>
      <c r="BP65" s="376"/>
      <c r="BQ65" s="376"/>
      <c r="BR65" s="376"/>
      <c r="BS65" s="376"/>
      <c r="BT65" s="376"/>
      <c r="BU65" s="376"/>
      <c r="BV65" s="376"/>
      <c r="BW65" s="376"/>
      <c r="BX65" s="376"/>
      <c r="BY65" s="376"/>
      <c r="BZ65" s="376"/>
      <c r="CA65" s="376"/>
      <c r="CB65" s="376"/>
      <c r="CC65" s="376"/>
      <c r="CD65" s="376"/>
      <c r="CE65" s="376"/>
      <c r="CF65" s="376"/>
      <c r="CG65" s="242"/>
      <c r="CH65" s="242"/>
      <c r="CI65" s="268"/>
      <c r="CJ65" s="268"/>
      <c r="CK65" s="268"/>
      <c r="CL65" s="242"/>
      <c r="CM65" s="450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376"/>
      <c r="DJ65" s="376"/>
      <c r="DK65" s="376"/>
      <c r="DL65" s="376"/>
      <c r="DM65" s="376"/>
      <c r="DN65" s="376"/>
      <c r="DO65" s="376"/>
      <c r="DP65" s="377"/>
      <c r="DQ65" s="250"/>
      <c r="DR65" s="250"/>
      <c r="DS65" s="265"/>
      <c r="DT65" s="265"/>
      <c r="DU65" s="265"/>
      <c r="DV65" s="256"/>
      <c r="DW65" s="449"/>
      <c r="DY65" s="397"/>
      <c r="DZ65" s="228"/>
      <c r="EA65" s="245"/>
      <c r="EB65" s="227"/>
      <c r="EC65" s="227"/>
      <c r="ED65" s="242"/>
      <c r="EE65" s="242"/>
      <c r="EG65" s="249"/>
      <c r="EH65" s="245"/>
      <c r="EI65" s="245"/>
      <c r="EJ65" s="227"/>
      <c r="EK65" s="214"/>
      <c r="EL65" s="243"/>
      <c r="EN65" s="443"/>
      <c r="EO65" s="443"/>
      <c r="EP65" s="443"/>
      <c r="EQ65" s="443"/>
      <c r="ER65" s="443"/>
      <c r="EU65" s="278"/>
      <c r="EV65" s="278"/>
      <c r="EW65" s="543"/>
      <c r="EX65" s="546"/>
      <c r="EY65" s="278"/>
      <c r="EZ65" s="555"/>
      <c r="FA65" s="278" t="s">
        <v>6</v>
      </c>
      <c r="FB65" s="278"/>
      <c r="FC65" s="543"/>
      <c r="FD65" s="546"/>
      <c r="FE65" s="278" t="s">
        <v>5</v>
      </c>
      <c r="FF65" s="140"/>
    </row>
    <row r="66" spans="15:162" ht="24.95" customHeight="1" thickBot="1">
      <c r="O66"/>
      <c r="P66"/>
      <c r="Q66"/>
      <c r="R66"/>
      <c r="AA66" s="538">
        <v>47</v>
      </c>
      <c r="AB66" s="539"/>
      <c r="AC66" s="23" t="s">
        <v>131</v>
      </c>
      <c r="AD66" s="35"/>
      <c r="AE66" s="24">
        <v>47</v>
      </c>
      <c r="AF66" s="462"/>
      <c r="AG66" s="261"/>
      <c r="AH66" s="237">
        <f>IF(OR(AND($J$10&gt;530,$J$10&lt;660)),47,IF(OR(AND($J$10&gt;0,$J$10&lt;0)),0,IF(OR(AND($J$10&gt;660,$J$10&lt;810)),47,0)))</f>
        <v>47</v>
      </c>
      <c r="AI66" s="863"/>
      <c r="AJ66" s="865">
        <v>24</v>
      </c>
      <c r="AK66" s="384" t="s">
        <v>58</v>
      </c>
      <c r="AL66" s="75" t="str">
        <f>IF(ISNA(MATCH(AH66,$AE$20:$AE$99,0)),"",INDEX($AC$20:$AC$99,MATCH(AH66,$AE$20:$AE$99,0)))</f>
        <v>C12</v>
      </c>
      <c r="AM66" s="215">
        <v>1</v>
      </c>
      <c r="AN66" s="508"/>
      <c r="AO66" s="629"/>
      <c r="AP66" s="788">
        <v>27</v>
      </c>
      <c r="AQ66" s="557"/>
      <c r="AR66" s="216" t="str">
        <f>IF(AM64=AM65,"résultat",IF(AM64&lt;AM65,AL64,AL65))</f>
        <v>B12</v>
      </c>
      <c r="AS66" s="217">
        <v>1</v>
      </c>
      <c r="AU66" s="636"/>
      <c r="AV66" s="826"/>
      <c r="AW66" s="565"/>
      <c r="AX66" s="285" t="str">
        <f>IF(AG65+AG66=0," ",IF(AG65+AG66=43," ",IF(AG65+AG66=42,IF(AS66=AS67,"résultat",IF(AS66&lt;AS67,AR66,AR67)),(IF(AG65+AG66=32,IF(AS66=AS67,"résultat",IF(AS66&gt;AS67,AR66,AR67)))))))</f>
        <v xml:space="preserve"> </v>
      </c>
      <c r="AY66" s="222">
        <v>0</v>
      </c>
      <c r="AZ66" s="242"/>
      <c r="BA66" s="304">
        <v>3</v>
      </c>
      <c r="BB66" s="306"/>
      <c r="BC66" s="580" t="str">
        <f>IF($AG65+$AG66=43,IF(AS66=AS67,"résultat",IF(AS66&gt;AS67,AR66,AR67)),IF($AG65+$AG66=32," "))</f>
        <v>B12</v>
      </c>
      <c r="BE66" s="378"/>
      <c r="BF66" s="378"/>
      <c r="BG66" s="378"/>
      <c r="BH66" s="378"/>
      <c r="BI66" s="378"/>
      <c r="BJ66" s="378"/>
      <c r="BK66" s="378"/>
      <c r="BL66" s="378"/>
      <c r="BM66" s="378"/>
      <c r="BN66" s="378"/>
      <c r="BO66" s="378"/>
      <c r="BP66" s="378"/>
      <c r="BQ66" s="378"/>
      <c r="BR66" s="378"/>
      <c r="BS66" s="374"/>
      <c r="BT66" s="374"/>
      <c r="BU66" s="374"/>
      <c r="BV66" s="374"/>
      <c r="BW66" s="374"/>
      <c r="BX66" s="374"/>
      <c r="BY66" s="374"/>
      <c r="BZ66" s="374"/>
      <c r="CA66" s="374"/>
      <c r="CB66" s="374"/>
      <c r="CC66" s="374"/>
      <c r="CD66" s="374"/>
      <c r="CE66" s="374"/>
      <c r="CF66" s="374"/>
      <c r="CG66" s="202"/>
      <c r="CH66" s="202"/>
      <c r="CI66" s="263"/>
      <c r="CJ66" s="264" t="s">
        <v>162</v>
      </c>
      <c r="CK66" s="266"/>
      <c r="CL66" s="203"/>
      <c r="CM66" s="444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378"/>
      <c r="DJ66" s="378"/>
      <c r="DK66" s="378"/>
      <c r="DL66" s="378"/>
      <c r="DM66" s="378"/>
      <c r="DN66" s="378"/>
      <c r="DO66" s="374"/>
      <c r="DP66" s="379"/>
      <c r="DQ66" s="229"/>
      <c r="DR66" s="229"/>
      <c r="DS66" s="232"/>
      <c r="DT66" s="264" t="s">
        <v>172</v>
      </c>
      <c r="DU66" s="241"/>
      <c r="DV66" s="203"/>
      <c r="DW66" s="449"/>
      <c r="DY66" s="397"/>
      <c r="DZ66" s="238"/>
      <c r="EA66" s="239"/>
      <c r="EB66" s="269" t="s">
        <v>12</v>
      </c>
      <c r="EC66" s="241"/>
      <c r="ED66" s="209"/>
      <c r="EE66" s="544"/>
      <c r="EG66" s="249"/>
      <c r="EH66" s="245"/>
      <c r="EI66" s="245"/>
      <c r="EJ66" s="227"/>
      <c r="EK66" s="214"/>
      <c r="EL66" s="243"/>
      <c r="EN66" s="443"/>
      <c r="EO66" s="443"/>
      <c r="EP66" s="443"/>
      <c r="EQ66" s="443"/>
      <c r="ER66" s="443"/>
      <c r="EU66" s="753">
        <v>4</v>
      </c>
      <c r="EV66" s="755" t="str">
        <f>IF(OR(AND($FK9&gt;0,$FK9&lt;5))," ",IF(ES33=$ES34,"Perdant 1/4 C",IF(AND($FK9&gt;4,$FK9&lt;9),IF($ES33&lt;$ES34,$EP33,$EP34)," ")))</f>
        <v xml:space="preserve"> </v>
      </c>
      <c r="EW66" s="756"/>
      <c r="EX66" s="757"/>
      <c r="EY66" s="212">
        <v>1</v>
      </c>
      <c r="EZ66" s="555"/>
      <c r="FA66" s="753">
        <v>4</v>
      </c>
      <c r="FB66" s="726" t="str">
        <f>IF(OR(EY60=EY61),"P. 1ère Part.Rep. A",IF(AND(FK9&gt;6,FK9&lt;9),IF(EY60&lt;EY61,EV60,EV61)," "))</f>
        <v xml:space="preserve"> </v>
      </c>
      <c r="FC66" s="727"/>
      <c r="FD66" s="728"/>
      <c r="FE66" s="212">
        <v>1</v>
      </c>
      <c r="FF66" s="1"/>
    </row>
    <row r="67" spans="15:162" ht="24.95" customHeight="1" thickBot="1">
      <c r="O67"/>
      <c r="P67"/>
      <c r="Q67"/>
      <c r="R67"/>
      <c r="AA67" s="513">
        <v>48</v>
      </c>
      <c r="AB67" s="23"/>
      <c r="AC67" s="367" t="s">
        <v>132</v>
      </c>
      <c r="AE67" s="24">
        <v>48</v>
      </c>
      <c r="AF67" s="462"/>
      <c r="AG67" s="261"/>
      <c r="AH67" s="191">
        <f>IF(P17+P16=4,48," ")</f>
        <v>48</v>
      </c>
      <c r="AI67" s="864"/>
      <c r="AJ67" s="866"/>
      <c r="AK67" s="77" t="s">
        <v>51</v>
      </c>
      <c r="AL67" s="78" t="str">
        <f>IF(ISNA(MATCH(AH67,$AE$20:$AE$99,0)),"OFFICE",INDEX($AC$20:$AC$99,MATCH(AH67,$AE$20:$AE$99,0)))</f>
        <v>D12</v>
      </c>
      <c r="AM67" s="220">
        <v>0</v>
      </c>
      <c r="AN67" s="517"/>
      <c r="AO67" s="630"/>
      <c r="AP67" s="789"/>
      <c r="AQ67" s="560"/>
      <c r="AR67" s="221" t="str">
        <f>IF(AM66=AM67,"résultat",IF(AM66&lt;AM67,AL66,AL67))</f>
        <v>D12</v>
      </c>
      <c r="AS67" s="222">
        <v>0</v>
      </c>
      <c r="AU67" s="637"/>
      <c r="AV67" s="200"/>
      <c r="AW67" s="200"/>
      <c r="AX67" s="286"/>
      <c r="AY67" s="200"/>
      <c r="AZ67" s="200"/>
      <c r="BA67" s="200"/>
      <c r="BB67" s="524"/>
      <c r="BC67" s="280"/>
      <c r="BE67" s="619" t="s">
        <v>282</v>
      </c>
      <c r="BF67" s="619"/>
      <c r="BG67" s="619"/>
      <c r="BH67" s="619"/>
      <c r="BI67" s="619"/>
      <c r="BJ67" s="619"/>
      <c r="BK67" s="619"/>
      <c r="BL67" s="619"/>
      <c r="BM67" s="619"/>
      <c r="BN67" s="619"/>
      <c r="BO67" s="619"/>
      <c r="BP67" s="619"/>
      <c r="BQ67" s="619"/>
      <c r="BR67" s="619"/>
      <c r="BS67" s="619"/>
      <c r="BT67" s="619"/>
      <c r="BU67" s="619"/>
      <c r="BV67" s="619"/>
      <c r="BW67" s="619"/>
      <c r="BX67" s="619"/>
      <c r="BY67" s="619"/>
      <c r="BZ67" s="619"/>
      <c r="CA67" s="619"/>
      <c r="CB67" s="619"/>
      <c r="CC67" s="619"/>
      <c r="CD67" s="619"/>
      <c r="CE67" s="619"/>
      <c r="CF67" s="606"/>
      <c r="CG67" s="624">
        <v>15</v>
      </c>
      <c r="CH67" s="455"/>
      <c r="CI67" s="654" t="str">
        <f>BC7</f>
        <v>CQ 1_</v>
      </c>
      <c r="CJ67" s="655"/>
      <c r="CK67" s="656"/>
      <c r="CL67" s="233">
        <v>1</v>
      </c>
      <c r="CM67" s="687" t="str">
        <f>IF($CL67=$CL68,"&amp;",IF($CL67&gt;$CL68,$CI67,$CI68))</f>
        <v>CQ 1_</v>
      </c>
      <c r="CO67" s="610" t="s">
        <v>249</v>
      </c>
      <c r="CP67" s="610"/>
      <c r="CQ67" s="610"/>
      <c r="CR67" s="610"/>
      <c r="CS67" s="610"/>
      <c r="CT67" s="610"/>
      <c r="CU67" s="610"/>
      <c r="CV67" s="610"/>
      <c r="CW67" s="610"/>
      <c r="CX67" s="610"/>
      <c r="CY67" s="610"/>
      <c r="CZ67" s="610"/>
      <c r="DA67" s="610"/>
      <c r="DB67" s="610"/>
      <c r="DC67" s="610"/>
      <c r="DD67" s="610"/>
      <c r="DE67" s="610"/>
      <c r="DF67" s="610"/>
      <c r="DG67" s="610"/>
      <c r="DH67" s="610"/>
      <c r="DI67" s="610"/>
      <c r="DJ67" s="610"/>
      <c r="DK67" s="610"/>
      <c r="DL67" s="610"/>
      <c r="DM67" s="610"/>
      <c r="DN67" s="610"/>
      <c r="DO67" s="610"/>
      <c r="DP67" s="611"/>
      <c r="DQ67" s="624">
        <v>31</v>
      </c>
      <c r="DR67" s="506"/>
      <c r="DS67" s="775" t="str">
        <f>BC25</f>
        <v>C2</v>
      </c>
      <c r="DT67" s="776"/>
      <c r="DU67" s="777"/>
      <c r="DV67" s="213">
        <v>1</v>
      </c>
      <c r="DW67" s="687" t="str">
        <f>IF($DV67=$DV68,"&amp;",IF($DV67&gt;$DV68,$DS67,$DS68))</f>
        <v>C2</v>
      </c>
      <c r="DY67" s="456" t="s">
        <v>162</v>
      </c>
      <c r="DZ67" s="624">
        <v>15</v>
      </c>
      <c r="EA67" s="716" t="str">
        <f>IF(CL67=CL68,"G 1/32 O",IF(CL67&gt;CL68,CI67,CI68))</f>
        <v>CQ 1_</v>
      </c>
      <c r="EB67" s="717"/>
      <c r="EC67" s="718"/>
      <c r="ED67" s="213">
        <v>1</v>
      </c>
      <c r="EE67" s="686" t="str">
        <f>IF($ED67=$ED68,"&amp;",IF($ED67&gt;$ED68,$EA67,$EA68))</f>
        <v>CQ 1_</v>
      </c>
      <c r="EF67" s="228"/>
      <c r="EG67" s="249"/>
      <c r="EH67" s="245"/>
      <c r="EI67" s="245"/>
      <c r="EJ67" s="227"/>
      <c r="EK67" s="214"/>
      <c r="EL67" s="243"/>
      <c r="EM67" s="443"/>
      <c r="EU67" s="754"/>
      <c r="EV67" s="729" t="str">
        <f>IF(OR(AND($FK9&gt;0,$FK9&lt;5))," ",IF($ES43=$ES44,"Perdant 1/4 D",IF(AND($FK9&gt;4,$FK9&lt;9),IF($ES43&lt;$ES44,$EP43,$EP44)," ")))</f>
        <v xml:space="preserve"> </v>
      </c>
      <c r="EW67" s="730"/>
      <c r="EX67" s="731"/>
      <c r="EY67" s="219">
        <v>0</v>
      </c>
      <c r="EZ67" s="555"/>
      <c r="FA67" s="754"/>
      <c r="FB67" s="732" t="str">
        <f>IF(OR(EY66=EY67),"P. 1ère Part. Rep. B",IF(AND(FK9&gt;6,FK9&lt;9),IF(EY66&lt;EY67,EV66,EV67)," "))</f>
        <v xml:space="preserve"> </v>
      </c>
      <c r="FC67" s="733"/>
      <c r="FD67" s="734"/>
      <c r="FE67" s="219">
        <v>0</v>
      </c>
    </row>
    <row r="68" spans="15:162" ht="24.95" customHeight="1" thickTop="1" thickBot="1">
      <c r="O68"/>
      <c r="P68"/>
      <c r="Q68"/>
      <c r="R68"/>
      <c r="AA68" s="538">
        <v>49</v>
      </c>
      <c r="AB68" s="539"/>
      <c r="AC68" s="23" t="s">
        <v>133</v>
      </c>
      <c r="AD68" s="35"/>
      <c r="AE68" s="24">
        <v>49</v>
      </c>
      <c r="AF68" s="462"/>
      <c r="AG68" s="261"/>
      <c r="AH68" s="117">
        <f>IF(OR(AND($J$10&gt;530,$J$10&lt;540)),48,IF(OR(AND($J$10&gt;0,$J$10&lt;0),IF($J$10&gt;540,$J$10&lt;810)),49,0))</f>
        <v>49</v>
      </c>
      <c r="AI68" s="862" t="s">
        <v>31</v>
      </c>
      <c r="AJ68" s="865">
        <v>25</v>
      </c>
      <c r="AK68" s="384" t="s">
        <v>11</v>
      </c>
      <c r="AL68" s="75" t="str">
        <f>IF(ISNA(MATCH(AH68,$AE$20:$AE$99,0)),"",INDEX($AC$20:$AC$99,MATCH(AH68,$AE$20:$AE$99,0)))</f>
        <v>A13</v>
      </c>
      <c r="AM68" s="204">
        <v>1</v>
      </c>
      <c r="AN68" s="508"/>
      <c r="AO68" s="628">
        <v>13</v>
      </c>
      <c r="AP68" s="626">
        <v>28</v>
      </c>
      <c r="AQ68" s="562"/>
      <c r="AR68" s="205" t="str">
        <f>IF(AM68=AM69,"résultat",IF(AM68&gt;AM69,AL68,AL69))</f>
        <v>A13</v>
      </c>
      <c r="AS68" s="224">
        <v>1</v>
      </c>
      <c r="AU68" s="636">
        <v>13</v>
      </c>
      <c r="AV68" s="225"/>
      <c r="AW68" s="225"/>
      <c r="AX68" s="283"/>
      <c r="AY68" s="225"/>
      <c r="AZ68" s="225"/>
      <c r="BA68" s="302">
        <v>1</v>
      </c>
      <c r="BB68" s="305"/>
      <c r="BC68" s="309" t="str">
        <f>IF($AG69+$AG70=43,IF($AS68=$AS69,"résultat",IF($AS68&gt;$AS69,$AR68,$AR69)),IF($AG69+$AG70=32,IF($AS68=$AS69,"résultat",IF($AS68&gt;$AS69,$AR68,$AR69))))</f>
        <v>A13</v>
      </c>
      <c r="BE68" s="603" t="s">
        <v>275</v>
      </c>
      <c r="BF68" s="603"/>
      <c r="BG68" s="603"/>
      <c r="BH68" s="603"/>
      <c r="BI68" s="603"/>
      <c r="BJ68" s="603"/>
      <c r="BK68" s="603"/>
      <c r="BL68" s="603"/>
      <c r="BM68" s="603"/>
      <c r="BN68" s="603"/>
      <c r="BO68" s="603"/>
      <c r="BP68" s="603"/>
      <c r="BQ68" s="603"/>
      <c r="BR68" s="603"/>
      <c r="BS68" s="603"/>
      <c r="BT68" s="603"/>
      <c r="BU68" s="603"/>
      <c r="BV68" s="603"/>
      <c r="BW68" s="603"/>
      <c r="BX68" s="603"/>
      <c r="BY68" s="603"/>
      <c r="BZ68" s="603"/>
      <c r="CA68" s="603"/>
      <c r="CB68" s="603"/>
      <c r="CC68" s="603"/>
      <c r="CD68" s="603"/>
      <c r="CE68" s="603"/>
      <c r="CF68" s="604"/>
      <c r="CG68" s="625"/>
      <c r="CH68" s="458"/>
      <c r="CI68" s="651" t="str">
        <f>BC30</f>
        <v>B3</v>
      </c>
      <c r="CJ68" s="652"/>
      <c r="CK68" s="653"/>
      <c r="CL68" s="255">
        <v>0</v>
      </c>
      <c r="CM68" s="687"/>
      <c r="CO68" s="599" t="s">
        <v>330</v>
      </c>
      <c r="CP68" s="599"/>
      <c r="CQ68" s="599"/>
      <c r="CR68" s="599"/>
      <c r="CS68" s="673" t="s">
        <v>326</v>
      </c>
      <c r="CT68" s="673"/>
      <c r="CU68" s="824" t="s">
        <v>261</v>
      </c>
      <c r="CV68" s="824"/>
      <c r="CW68" s="824"/>
      <c r="CX68" s="824"/>
      <c r="CY68" s="824"/>
      <c r="CZ68" s="824"/>
      <c r="DA68" s="824"/>
      <c r="DB68" s="824"/>
      <c r="DC68" s="824"/>
      <c r="DD68" s="824"/>
      <c r="DE68" s="824"/>
      <c r="DF68" s="824"/>
      <c r="DG68" s="824"/>
      <c r="DH68" s="824"/>
      <c r="DI68" s="824"/>
      <c r="DJ68" s="824"/>
      <c r="DK68" s="824"/>
      <c r="DL68" s="824"/>
      <c r="DM68" s="824"/>
      <c r="DN68" s="824"/>
      <c r="DO68" s="824"/>
      <c r="DP68" s="632"/>
      <c r="DQ68" s="625"/>
      <c r="DR68" s="511"/>
      <c r="DS68" s="658" t="str">
        <f>IF(OR(AND(J10&lt;750)),"OFFICE",IF(OR(AND(J10&gt;750,J10&lt;770)),BC90,IF(OR(AND(J10&gt;770,J10&lt;810)),BC96,0)))</f>
        <v>OFFICE</v>
      </c>
      <c r="DT68" s="662"/>
      <c r="DU68" s="663"/>
      <c r="DV68" s="218">
        <v>0</v>
      </c>
      <c r="DW68" s="687"/>
      <c r="DY68" s="456" t="s">
        <v>172</v>
      </c>
      <c r="DZ68" s="625"/>
      <c r="EA68" s="719" t="str">
        <f>IF(DV67=DV68,"G 1/32 AE",IF(DV67&gt;DV68,DS67,DS68))</f>
        <v>C2</v>
      </c>
      <c r="EB68" s="720"/>
      <c r="EC68" s="721"/>
      <c r="ED68" s="218">
        <v>0</v>
      </c>
      <c r="EE68" s="686"/>
      <c r="EF68" s="228"/>
      <c r="EG68" s="209"/>
      <c r="EH68" s="239"/>
      <c r="EI68" s="240" t="s">
        <v>61</v>
      </c>
      <c r="EJ68" s="241"/>
      <c r="EK68" s="208"/>
      <c r="EM68" s="443"/>
      <c r="EX68" s="101"/>
      <c r="EZ68" s="537"/>
      <c r="FA68" s="243"/>
      <c r="FB68" s="36"/>
      <c r="FE68" s="201"/>
    </row>
    <row r="69" spans="15:162" ht="24.95" customHeight="1" thickBot="1">
      <c r="O69"/>
      <c r="P69"/>
      <c r="Q69"/>
      <c r="R69"/>
      <c r="AA69" s="513">
        <v>50</v>
      </c>
      <c r="AB69" s="23"/>
      <c r="AC69" s="23" t="s">
        <v>134</v>
      </c>
      <c r="AD69" s="35"/>
      <c r="AE69" s="24">
        <v>50</v>
      </c>
      <c r="AF69" s="462"/>
      <c r="AG69" s="261" t="str">
        <f>CONCATENATE(Q17,Q18)</f>
        <v>43</v>
      </c>
      <c r="AH69" s="113">
        <f>IF(OR(AND($J$10&gt;530,$J$10&lt;540)),49,IF(OR(AND($J$10&gt;0,$J$10&lt;0),IF($J$10&gt;540,$J$10&lt;810)),50,0))</f>
        <v>50</v>
      </c>
      <c r="AI69" s="863"/>
      <c r="AJ69" s="866"/>
      <c r="AK69" s="77" t="s">
        <v>12</v>
      </c>
      <c r="AL69" s="78" t="str">
        <f>IF(ISNA(MATCH(AH69,$AE$20:$AE$99,0)),"",INDEX($AC$20:$AC$99,MATCH(AH69,$AE$20:$AE$99,0)))</f>
        <v>B13</v>
      </c>
      <c r="AM69" s="210">
        <v>0</v>
      </c>
      <c r="AN69" s="508"/>
      <c r="AO69" s="629"/>
      <c r="AP69" s="627"/>
      <c r="AQ69" s="556"/>
      <c r="AR69" s="206" t="str">
        <f>IF(AM70=AM71,"résultat",IF(AM70&gt;AM71,AL70,AL71))</f>
        <v>C13</v>
      </c>
      <c r="AS69" s="211">
        <v>0</v>
      </c>
      <c r="AU69" s="636"/>
      <c r="AV69" s="825"/>
      <c r="AW69" s="564"/>
      <c r="AX69" s="284" t="str">
        <f>IF(AG69+AG70=0," ",IF(AG69+AG70=43," ",(IF($AG$77+AG70=42,IF(AS68=AS69,"résultat",IF(AS68&lt;AS69,AR68,AR69)),IF($AG69+AG70=32,IF(AS68=AS69,"résultat",IF(AS68&lt;AS69,AR68,AR69)))))))</f>
        <v xml:space="preserve"> </v>
      </c>
      <c r="AY69" s="217">
        <v>1</v>
      </c>
      <c r="AZ69" s="242"/>
      <c r="BA69" s="303">
        <v>2</v>
      </c>
      <c r="BB69" s="306"/>
      <c r="BC69" s="308" t="str">
        <f>IF($AG69+$AG70=43,IF(AS69=AS70,"résultat",IF($AS69&lt;AS70,AR69,AR70)),IF($AG69+$AG70=32,IF(AY69=AY70,"résultat",IF($AY69&gt;AY70,AX69,AX70))))</f>
        <v>C13</v>
      </c>
      <c r="BE69" s="280"/>
      <c r="BF69" s="280"/>
      <c r="BG69" s="280"/>
      <c r="BH69" s="280"/>
      <c r="BI69" s="280"/>
      <c r="BJ69" s="280"/>
      <c r="BK69" s="280"/>
      <c r="BL69" s="280"/>
      <c r="BM69" s="280"/>
      <c r="BN69" s="280"/>
      <c r="BO69" s="280"/>
      <c r="BP69" s="280"/>
      <c r="BQ69" s="280"/>
      <c r="BR69" s="280"/>
      <c r="BS69" s="280"/>
      <c r="BT69" s="280"/>
      <c r="BU69" s="280"/>
      <c r="BV69" s="280"/>
      <c r="BW69" s="280"/>
      <c r="BX69" s="280"/>
      <c r="BY69" s="376"/>
      <c r="BZ69" s="376"/>
      <c r="CA69" s="376"/>
      <c r="CB69" s="376"/>
      <c r="CC69" s="376"/>
      <c r="CD69" s="376"/>
      <c r="CE69" s="376"/>
      <c r="CF69" s="376"/>
      <c r="CG69" s="101"/>
      <c r="CH69" s="101"/>
      <c r="CI69" s="276"/>
      <c r="CJ69" s="129"/>
      <c r="CK69" s="129"/>
      <c r="CL69" s="247"/>
      <c r="CM69" s="450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376"/>
      <c r="DJ69" s="376"/>
      <c r="DK69" s="376"/>
      <c r="DL69" s="376"/>
      <c r="DM69" s="376"/>
      <c r="DN69" s="376"/>
      <c r="DO69" s="376"/>
      <c r="DP69" s="377"/>
      <c r="DQ69" s="214"/>
      <c r="DR69" s="214"/>
      <c r="DS69" s="227"/>
      <c r="DT69" s="246"/>
      <c r="DU69" s="246"/>
      <c r="DV69" s="242"/>
      <c r="DW69" s="460"/>
      <c r="DY69" s="397"/>
      <c r="DZ69" s="228"/>
      <c r="EA69" s="245"/>
      <c r="EB69" s="227"/>
      <c r="EC69" s="227"/>
      <c r="ED69" s="242"/>
      <c r="EE69" s="242"/>
      <c r="EF69" s="228"/>
      <c r="EG69" s="624">
        <v>8</v>
      </c>
      <c r="EH69" s="645" t="str">
        <f>IF(ED67=ED68,"G. 1/16 N",IF(ED67&gt;ED68,EA67,EA68))</f>
        <v>CQ 1_</v>
      </c>
      <c r="EI69" s="646"/>
      <c r="EJ69" s="647"/>
      <c r="EK69" s="212">
        <v>1</v>
      </c>
      <c r="EL69" s="674" t="str">
        <f>IF(EK69=EK70,"&amp;",IF(EK69&gt;EK70,EH69,EH70))</f>
        <v>CQ 1_</v>
      </c>
      <c r="EM69" s="443"/>
      <c r="EX69" s="101"/>
      <c r="EZ69" s="251"/>
      <c r="FB69" s="243"/>
      <c r="FC69" s="243"/>
      <c r="FD69" s="243"/>
      <c r="FE69" s="201"/>
    </row>
    <row r="70" spans="15:162" ht="24.95" customHeight="1" thickBot="1">
      <c r="AA70" s="538">
        <v>51</v>
      </c>
      <c r="AB70" s="539"/>
      <c r="AC70" s="23" t="s">
        <v>135</v>
      </c>
      <c r="AE70" s="24">
        <v>51</v>
      </c>
      <c r="AF70" s="462"/>
      <c r="AG70" s="261"/>
      <c r="AH70" s="113">
        <f>IF(OR(AND($J$10&gt;530,$J$10&lt;540)),50,IF(OR(AND($J$10&gt;0,$J$10&lt;0),AND($J$10&gt;0,$J$10&lt;0),IF($J$10&gt;540,$J$10&lt;810)),51,0))</f>
        <v>51</v>
      </c>
      <c r="AI70" s="863"/>
      <c r="AJ70" s="865">
        <v>26</v>
      </c>
      <c r="AK70" s="384" t="s">
        <v>58</v>
      </c>
      <c r="AL70" s="79" t="str">
        <f>IF(ISNA(MATCH(AH70,$AE$20:$AE$99,0)),"",INDEX($AC$20:$AC$99,MATCH(AH70,$AE$20:$AE$99,0)))</f>
        <v>C13</v>
      </c>
      <c r="AM70" s="215">
        <v>1</v>
      </c>
      <c r="AN70" s="508"/>
      <c r="AO70" s="629"/>
      <c r="AP70" s="788">
        <v>29</v>
      </c>
      <c r="AQ70" s="557"/>
      <c r="AR70" s="216" t="str">
        <f>IF(AM68=AM69,"résultat",IF(AM68&lt;AM69,AL68,AL69))</f>
        <v>B13</v>
      </c>
      <c r="AS70" s="217">
        <v>1</v>
      </c>
      <c r="AU70" s="636"/>
      <c r="AV70" s="826"/>
      <c r="AW70" s="565"/>
      <c r="AX70" s="285" t="str">
        <f>IF(AG69+AG70=0," ",IF(AG69+AG70=43," ",IF(AG69+AG70=42,IF(AS70=AS71,"résultat",IF(AS70&lt;AS71,AR70,AR71)),(IF(AG69+AG70=32,IF(AS70=AS71,"résultat",IF(AS70&gt;AS71,AR70,AR71)))))))</f>
        <v xml:space="preserve"> </v>
      </c>
      <c r="AY70" s="222">
        <v>0</v>
      </c>
      <c r="AZ70" s="242"/>
      <c r="BA70" s="304">
        <v>3</v>
      </c>
      <c r="BB70" s="306"/>
      <c r="BC70" s="580" t="str">
        <f>IF($AG69+$AG70=43,IF(AS70=AS71,"résultat",IF(AS70&gt;AS71,AR70,AR71)),IF($AG69+$AG70=32," "))</f>
        <v>B13</v>
      </c>
      <c r="BE70" s="313"/>
      <c r="BF70" s="313"/>
      <c r="BG70" s="313"/>
      <c r="BH70" s="313"/>
      <c r="BI70" s="313"/>
      <c r="BJ70" s="313"/>
      <c r="BK70" s="313"/>
      <c r="BL70" s="313"/>
      <c r="BM70" s="313"/>
      <c r="BN70" s="313"/>
      <c r="BO70" s="313"/>
      <c r="BP70" s="313"/>
      <c r="BQ70" s="313"/>
      <c r="BR70" s="313"/>
      <c r="BS70" s="365"/>
      <c r="BT70" s="365"/>
      <c r="BU70" s="365"/>
      <c r="BV70" s="365"/>
      <c r="BW70" s="365"/>
      <c r="BX70" s="365"/>
      <c r="BY70" s="374"/>
      <c r="BZ70" s="374"/>
      <c r="CA70" s="374"/>
      <c r="CB70" s="374"/>
      <c r="CC70" s="374"/>
      <c r="CD70" s="374"/>
      <c r="CE70" s="374"/>
      <c r="CF70" s="374"/>
      <c r="CG70" s="202"/>
      <c r="CH70" s="202"/>
      <c r="CI70" s="263"/>
      <c r="CJ70" s="264" t="s">
        <v>66</v>
      </c>
      <c r="CK70" s="266"/>
      <c r="CL70" s="203"/>
      <c r="CM70" s="460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378"/>
      <c r="DJ70" s="378"/>
      <c r="DK70" s="378"/>
      <c r="DL70" s="378"/>
      <c r="DM70" s="378"/>
      <c r="DN70" s="378"/>
      <c r="DO70" s="374"/>
      <c r="DP70" s="379"/>
      <c r="DQ70" s="202"/>
      <c r="DR70" s="229"/>
      <c r="DS70" s="263"/>
      <c r="DT70" s="264" t="s">
        <v>173</v>
      </c>
      <c r="DU70" s="241"/>
      <c r="DV70" s="247"/>
      <c r="DW70" s="460"/>
      <c r="DY70" s="397"/>
      <c r="DZ70" s="238"/>
      <c r="EA70" s="239"/>
      <c r="EB70" s="269" t="s">
        <v>11</v>
      </c>
      <c r="EC70" s="241"/>
      <c r="ED70" s="209"/>
      <c r="EE70" s="544"/>
      <c r="EF70" s="228"/>
      <c r="EG70" s="625"/>
      <c r="EH70" s="710" t="str">
        <f>IF(ED71=ED72,"G.1/16 P",IF(ED71&gt;ED72,EA71,EA72))</f>
        <v>CQ 2_</v>
      </c>
      <c r="EI70" s="711"/>
      <c r="EJ70" s="712"/>
      <c r="EK70" s="219">
        <v>0</v>
      </c>
      <c r="EL70" s="674"/>
      <c r="EM70" s="443"/>
      <c r="EU70" s="101"/>
      <c r="EX70" s="243"/>
      <c r="EY70" s="243"/>
      <c r="EZ70" s="243"/>
      <c r="FA70" s="243"/>
      <c r="FB70" s="201"/>
    </row>
    <row r="71" spans="15:162" ht="24.95" customHeight="1" thickBot="1">
      <c r="AA71" s="513">
        <v>52</v>
      </c>
      <c r="AB71" s="23"/>
      <c r="AC71" s="367" t="s">
        <v>136</v>
      </c>
      <c r="AE71" s="24">
        <v>52</v>
      </c>
      <c r="AF71" s="462"/>
      <c r="AG71" s="261"/>
      <c r="AH71" s="111">
        <f>IF(Q17+Q16=4,52," ")</f>
        <v>52</v>
      </c>
      <c r="AI71" s="864"/>
      <c r="AJ71" s="866"/>
      <c r="AK71" s="77" t="s">
        <v>51</v>
      </c>
      <c r="AL71" s="78" t="str">
        <f>IF(ISNA(MATCH(AH71,$AE$20:$AE$99,0)),"OFFICE",INDEX($AC$20:$AC$99,MATCH(AH71,$AE$20:$AE$99,0)))</f>
        <v>D13</v>
      </c>
      <c r="AM71" s="220">
        <v>0</v>
      </c>
      <c r="AN71" s="517"/>
      <c r="AO71" s="630"/>
      <c r="AP71" s="789"/>
      <c r="AQ71" s="560"/>
      <c r="AR71" s="221" t="str">
        <f>IF(AM70=AM71,"résultat",IF(AM70&lt;AM71,AL70,AL71))</f>
        <v>D13</v>
      </c>
      <c r="AS71" s="222">
        <v>0</v>
      </c>
      <c r="AU71" s="637"/>
      <c r="AV71" s="200"/>
      <c r="AW71" s="200"/>
      <c r="AX71" s="286"/>
      <c r="AY71" s="200"/>
      <c r="AZ71" s="200"/>
      <c r="BA71" s="519"/>
      <c r="BB71" s="524"/>
      <c r="BC71" s="280"/>
      <c r="BE71" s="619" t="s">
        <v>266</v>
      </c>
      <c r="BF71" s="619"/>
      <c r="BG71" s="619"/>
      <c r="BH71" s="619"/>
      <c r="BI71" s="619"/>
      <c r="BJ71" s="619"/>
      <c r="BK71" s="619"/>
      <c r="BL71" s="619"/>
      <c r="BM71" s="619"/>
      <c r="BN71" s="619"/>
      <c r="BO71" s="619"/>
      <c r="BP71" s="619"/>
      <c r="BQ71" s="619"/>
      <c r="BR71" s="619"/>
      <c r="BS71" s="619"/>
      <c r="BT71" s="619"/>
      <c r="BU71" s="619"/>
      <c r="BV71" s="619"/>
      <c r="BW71" s="619"/>
      <c r="BX71" s="619"/>
      <c r="BY71" s="619"/>
      <c r="BZ71" s="619"/>
      <c r="CA71" s="619"/>
      <c r="CB71" s="619"/>
      <c r="CC71" s="619"/>
      <c r="CD71" s="619"/>
      <c r="CE71" s="619"/>
      <c r="CF71" s="606"/>
      <c r="CG71" s="624">
        <v>16</v>
      </c>
      <c r="CH71" s="455"/>
      <c r="CI71" s="654" t="str">
        <f>BC9</f>
        <v>CQ 2_</v>
      </c>
      <c r="CJ71" s="655"/>
      <c r="CK71" s="656"/>
      <c r="CL71" s="233">
        <v>1</v>
      </c>
      <c r="CM71" s="768" t="str">
        <f>IF($CL71=$CL72,"&amp;",IF($CL71&gt;$CL72,$CI71,$CI72))</f>
        <v>CQ 2_</v>
      </c>
      <c r="CO71" s="610" t="s">
        <v>248</v>
      </c>
      <c r="CP71" s="610"/>
      <c r="CQ71" s="610"/>
      <c r="CR71" s="610"/>
      <c r="CS71" s="610"/>
      <c r="CT71" s="610"/>
      <c r="CU71" s="610"/>
      <c r="CV71" s="610"/>
      <c r="CW71" s="610"/>
      <c r="CX71" s="610"/>
      <c r="CY71" s="610"/>
      <c r="CZ71" s="610"/>
      <c r="DA71" s="610"/>
      <c r="DB71" s="610"/>
      <c r="DC71" s="610"/>
      <c r="DD71" s="610"/>
      <c r="DE71" s="610"/>
      <c r="DF71" s="610"/>
      <c r="DG71" s="610"/>
      <c r="DH71" s="610"/>
      <c r="DI71" s="610"/>
      <c r="DJ71" s="610"/>
      <c r="DK71" s="610"/>
      <c r="DL71" s="610"/>
      <c r="DM71" s="610"/>
      <c r="DN71" s="610"/>
      <c r="DO71" s="610"/>
      <c r="DP71" s="611"/>
      <c r="DQ71" s="624">
        <v>32</v>
      </c>
      <c r="DR71" s="455"/>
      <c r="DS71" s="775" t="str">
        <f>BC21</f>
        <v>C1</v>
      </c>
      <c r="DT71" s="776"/>
      <c r="DU71" s="778"/>
      <c r="DV71" s="233">
        <v>1</v>
      </c>
      <c r="DW71" s="768" t="str">
        <f>IF($DV71=$DV72,"&amp;",IF($DV71&gt;$DV72,$DS71,$DS72))</f>
        <v>C1</v>
      </c>
      <c r="DY71" s="456" t="s">
        <v>66</v>
      </c>
      <c r="DZ71" s="624">
        <v>16</v>
      </c>
      <c r="EA71" s="691" t="str">
        <f>IF(CL71=CL72,"G 1/32 Q",IF(CL71&gt;CL72,CI71,CI72))</f>
        <v>CQ 2_</v>
      </c>
      <c r="EB71" s="692"/>
      <c r="EC71" s="693"/>
      <c r="ED71" s="213">
        <v>1</v>
      </c>
      <c r="EE71" s="676" t="str">
        <f>IF($ED71=$ED72,"&amp;",IF($ED71&gt;$ED72,$EA71,$EA72))</f>
        <v>CQ 2_</v>
      </c>
      <c r="EF71" s="228"/>
      <c r="EG71" s="251"/>
      <c r="EH71" s="288"/>
      <c r="EI71" s="288"/>
      <c r="EJ71" s="288"/>
      <c r="EK71" s="251"/>
      <c r="EL71" s="251"/>
      <c r="EM71" s="443"/>
      <c r="FB71" s="36"/>
    </row>
    <row r="72" spans="15:162" ht="24.95" customHeight="1" thickTop="1" thickBot="1">
      <c r="AA72" s="538">
        <v>53</v>
      </c>
      <c r="AB72" s="539"/>
      <c r="AC72" s="23" t="s">
        <v>137</v>
      </c>
      <c r="AD72" s="35"/>
      <c r="AE72" s="24">
        <v>53</v>
      </c>
      <c r="AF72" s="462"/>
      <c r="AG72" s="261"/>
      <c r="AH72" s="235">
        <f>IF(OR(AND($J$10&gt;530,$J$10&lt;540)),51,IF(OR(AND($J$10&gt;540,$J$10&lt;550)),52,IF(OR(AND(J10&gt;550,J10&lt;570)),53,IF(OR(AND(J10&gt;570,J10&lt;580)),52,IF(OR(AND($J$10&gt;580,$J$10&lt;810)),53,0)))))</f>
        <v>53</v>
      </c>
      <c r="AI72" s="862" t="s">
        <v>32</v>
      </c>
      <c r="AJ72" s="865">
        <v>27</v>
      </c>
      <c r="AK72" s="384" t="s">
        <v>11</v>
      </c>
      <c r="AL72" s="75" t="str">
        <f>IF(ISNA(MATCH(AH72,$AE$20:$AE$99,0)),"",INDEX($AC$20:$AC$99,MATCH(AH72,$AE$20:$AE$99,0)))</f>
        <v>A14</v>
      </c>
      <c r="AM72" s="204">
        <v>1</v>
      </c>
      <c r="AN72" s="508"/>
      <c r="AO72" s="628">
        <v>14</v>
      </c>
      <c r="AP72" s="626">
        <v>30</v>
      </c>
      <c r="AQ72" s="562"/>
      <c r="AR72" s="205" t="str">
        <f>IF(AM72=AM73,"résultat",IF(AM72&gt;AM73,AL72,AL73))</f>
        <v>A14</v>
      </c>
      <c r="AS72" s="224">
        <v>1</v>
      </c>
      <c r="AU72" s="636">
        <v>14</v>
      </c>
      <c r="AV72" s="225"/>
      <c r="AW72" s="225"/>
      <c r="AX72" s="283"/>
      <c r="AY72" s="225"/>
      <c r="AZ72" s="225"/>
      <c r="BA72" s="302">
        <v>1</v>
      </c>
      <c r="BB72" s="305"/>
      <c r="BC72" s="309" t="str">
        <f>IF($AG73+$AG74=43,IF($AS72=$AS73,"résultat",IF($AS72&gt;$AS73,$AR72,$AR73)),IF($AG73+$AG74=32,IF($AS72=$AS73,"résultat",IF($AS72&gt;$AS73,$AR72,$AR73))))</f>
        <v>A14</v>
      </c>
      <c r="BE72" s="603" t="s">
        <v>274</v>
      </c>
      <c r="BF72" s="603"/>
      <c r="BG72" s="603"/>
      <c r="BH72" s="603"/>
      <c r="BI72" s="603"/>
      <c r="BJ72" s="603"/>
      <c r="BK72" s="603"/>
      <c r="BL72" s="603"/>
      <c r="BM72" s="603"/>
      <c r="BN72" s="603"/>
      <c r="BO72" s="603"/>
      <c r="BP72" s="603"/>
      <c r="BQ72" s="603"/>
      <c r="BR72" s="603"/>
      <c r="BS72" s="603"/>
      <c r="BT72" s="603"/>
      <c r="BU72" s="603"/>
      <c r="BV72" s="603"/>
      <c r="BW72" s="603"/>
      <c r="BX72" s="603"/>
      <c r="BY72" s="603"/>
      <c r="BZ72" s="603"/>
      <c r="CA72" s="603"/>
      <c r="CB72" s="603"/>
      <c r="CC72" s="603"/>
      <c r="CD72" s="603"/>
      <c r="CE72" s="603"/>
      <c r="CF72" s="604"/>
      <c r="CG72" s="625"/>
      <c r="CH72" s="458"/>
      <c r="CI72" s="621" t="str">
        <f>BC34</f>
        <v>B4</v>
      </c>
      <c r="CJ72" s="622"/>
      <c r="CK72" s="623"/>
      <c r="CL72" s="255">
        <v>0</v>
      </c>
      <c r="CM72" s="768"/>
      <c r="CO72" s="600" t="s">
        <v>331</v>
      </c>
      <c r="CP72" s="600"/>
      <c r="CQ72" s="600"/>
      <c r="CR72" s="600"/>
      <c r="CS72" s="383" t="s">
        <v>329</v>
      </c>
      <c r="CT72" s="824" t="s">
        <v>261</v>
      </c>
      <c r="CU72" s="824"/>
      <c r="CV72" s="824"/>
      <c r="CW72" s="824"/>
      <c r="CX72" s="824"/>
      <c r="CY72" s="824"/>
      <c r="CZ72" s="824"/>
      <c r="DA72" s="824"/>
      <c r="DB72" s="824"/>
      <c r="DC72" s="824"/>
      <c r="DD72" s="824"/>
      <c r="DE72" s="824"/>
      <c r="DF72" s="824"/>
      <c r="DG72" s="824"/>
      <c r="DH72" s="824"/>
      <c r="DI72" s="824"/>
      <c r="DJ72" s="824"/>
      <c r="DK72" s="824"/>
      <c r="DL72" s="824"/>
      <c r="DM72" s="824"/>
      <c r="DN72" s="824"/>
      <c r="DO72" s="824"/>
      <c r="DP72" s="632"/>
      <c r="DQ72" s="625"/>
      <c r="DR72" s="458"/>
      <c r="DS72" s="658" t="str">
        <f>IF(OR(AND(J10&lt;760)),"OFFICE",IF(OR(AND(J10&gt;760,J10&lt;770)),BC94,IF(OR(AND(J10&gt;770,J10&lt;810)),BC97,0)))</f>
        <v>OFFICE</v>
      </c>
      <c r="DT72" s="659"/>
      <c r="DU72" s="660"/>
      <c r="DV72" s="255">
        <v>0</v>
      </c>
      <c r="DW72" s="768"/>
      <c r="DY72" s="456" t="s">
        <v>173</v>
      </c>
      <c r="DZ72" s="625"/>
      <c r="EA72" s="710" t="str">
        <f>IF(DV71=DV72,"G 1/32 AF",IF(DV71&gt;DV72,DS71,DS72))</f>
        <v>C1</v>
      </c>
      <c r="EB72" s="711"/>
      <c r="EC72" s="712"/>
      <c r="ED72" s="218">
        <v>0</v>
      </c>
      <c r="EE72" s="676"/>
      <c r="EF72" s="228"/>
      <c r="EG72" s="201"/>
      <c r="EH72" s="201"/>
      <c r="EI72" s="201"/>
      <c r="EJ72" s="202"/>
      <c r="EK72" s="201"/>
      <c r="EL72" s="201"/>
      <c r="EM72" s="443"/>
      <c r="EU72" s="251"/>
      <c r="EY72" s="101"/>
      <c r="FB72" s="36"/>
    </row>
    <row r="73" spans="15:162" ht="24.95" customHeight="1" thickBot="1">
      <c r="AA73" s="513">
        <v>54</v>
      </c>
      <c r="AB73" s="23"/>
      <c r="AC73" s="23" t="s">
        <v>138</v>
      </c>
      <c r="AE73" s="24">
        <v>54</v>
      </c>
      <c r="AF73" s="462"/>
      <c r="AG73" s="261" t="str">
        <f>CONCATENATE(R17,R18)</f>
        <v>32</v>
      </c>
      <c r="AH73" s="237">
        <f>IF(OR(AND($J$10&gt;530,$J$10&lt;540)),52,IF(OR(AND($J$10&gt;540,$J$10&lt;550)),53,IF(OR(AND(J10&gt;550,J10&lt;570)),54,IF(OR(AND(J10&gt;570,J10&lt;580)),53,IF(OR(AND($J$10&gt;580,$J$10&lt;810)),54,0)))))</f>
        <v>54</v>
      </c>
      <c r="AI73" s="863"/>
      <c r="AJ73" s="866"/>
      <c r="AK73" s="77" t="s">
        <v>12</v>
      </c>
      <c r="AL73" s="78" t="str">
        <f>IF(ISNA(MATCH(AH73,$AE$20:$AE$99,0)),"",INDEX($AC$20:$AC$99,MATCH(AH73,$AE$20:$AE$99,0)))</f>
        <v>B14</v>
      </c>
      <c r="AM73" s="210">
        <v>0</v>
      </c>
      <c r="AN73" s="508"/>
      <c r="AO73" s="629"/>
      <c r="AP73" s="627"/>
      <c r="AQ73" s="556"/>
      <c r="AR73" s="206" t="str">
        <f>IF(AM74=AM75,"résultat",IF(AM74&gt;AM75,AL74,AL75))</f>
        <v>C14</v>
      </c>
      <c r="AS73" s="211">
        <v>0</v>
      </c>
      <c r="AU73" s="636"/>
      <c r="AV73" s="825"/>
      <c r="AW73" s="564"/>
      <c r="AX73" s="284" t="str">
        <f>IF(AG73+AG74=0," ",IF(AG73+AG74=43," ",(IF($AG$77+AG74=42,IF(AS72=AS73,"résultat",IF(AS72&lt;AS73,AR72,AR73)),IF($AG73+AG74=32,IF(AS72=AS73,"résultat",IF(AS72&lt;AS73,AR72,AR73)))))))</f>
        <v>C14</v>
      </c>
      <c r="AY73" s="217">
        <v>1</v>
      </c>
      <c r="AZ73" s="242"/>
      <c r="BA73" s="303">
        <v>2</v>
      </c>
      <c r="BB73" s="306"/>
      <c r="BC73" s="308" t="str">
        <f>IF($AG73+$AG74=43,IF(AS73=AS74,"résultat",IF($AS73&lt;AS74,AR73,AR74)),IF($AG73+$AG74=32,IF(AY73=AY74,"résultat",IF($AY73&gt;AY74,AX73,AX74))))</f>
        <v>C14</v>
      </c>
      <c r="BE73" s="280"/>
      <c r="BF73" s="280"/>
      <c r="BG73" s="280"/>
      <c r="BH73" s="280"/>
      <c r="BI73" s="280"/>
      <c r="BJ73" s="280"/>
      <c r="BK73" s="280"/>
      <c r="BL73" s="280"/>
      <c r="BM73" s="280"/>
      <c r="BN73" s="280"/>
      <c r="BO73" s="280"/>
      <c r="BP73" s="280"/>
      <c r="BQ73" s="280"/>
      <c r="BR73" s="280"/>
      <c r="BS73" s="280"/>
      <c r="BT73" s="280"/>
      <c r="BU73" s="280"/>
      <c r="BV73" s="280"/>
      <c r="BW73" s="280"/>
      <c r="BX73" s="280"/>
      <c r="BY73" s="376"/>
      <c r="BZ73" s="376"/>
      <c r="CA73" s="376"/>
      <c r="CB73" s="376"/>
      <c r="CC73" s="376"/>
      <c r="CD73" s="376"/>
      <c r="CE73" s="376"/>
      <c r="CF73" s="376"/>
      <c r="CG73" s="101"/>
      <c r="CH73" s="101"/>
      <c r="CI73" s="229"/>
      <c r="CJ73" s="101"/>
      <c r="CK73" s="101"/>
      <c r="CL73" s="247"/>
      <c r="CM73" s="449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376"/>
      <c r="DJ73" s="376"/>
      <c r="DK73" s="376"/>
      <c r="DL73" s="376"/>
      <c r="DM73" s="376"/>
      <c r="DN73" s="376"/>
      <c r="DO73" s="376"/>
      <c r="DP73" s="377"/>
      <c r="DQ73" s="153"/>
      <c r="DR73" s="145"/>
      <c r="DS73" s="129"/>
      <c r="DT73" s="129"/>
      <c r="DU73" s="129"/>
      <c r="DV73" s="101"/>
      <c r="DW73" s="460"/>
      <c r="DY73" s="397"/>
      <c r="EA73" s="227"/>
      <c r="EB73" s="227"/>
      <c r="EC73" s="227"/>
      <c r="ED73" s="242"/>
      <c r="EE73" s="242"/>
      <c r="EF73" s="36"/>
      <c r="EG73" s="249"/>
      <c r="EH73" s="35"/>
      <c r="EI73" s="35"/>
      <c r="EJ73" s="35"/>
      <c r="EK73" s="35"/>
      <c r="EL73" s="35"/>
      <c r="EN73" s="101"/>
      <c r="EQ73" s="243"/>
      <c r="ER73" s="243"/>
      <c r="ES73" s="243"/>
      <c r="EU73" s="251"/>
      <c r="EY73" s="101"/>
      <c r="FB73" s="36"/>
    </row>
    <row r="74" spans="15:162" ht="24.95" customHeight="1" thickBot="1">
      <c r="AA74" s="538">
        <v>55</v>
      </c>
      <c r="AB74" s="539"/>
      <c r="AC74" s="23" t="s">
        <v>139</v>
      </c>
      <c r="AE74" s="24">
        <v>55</v>
      </c>
      <c r="AF74" s="462"/>
      <c r="AG74" s="261"/>
      <c r="AH74" s="237">
        <f>IF(OR(AND($J$10&gt;530,$J$10&lt;540)),53,IF(OR(AND($J$10&gt;540,$J$10&lt;550)),54,IF(OR(AND(J10&gt;550,J10&lt;570)),55,IF(OR(AND(J10&gt;570,J10&lt;580)),54,IF(OR(AND($J$10&gt;580,$J$10&lt;810)),55,0)))))</f>
        <v>55</v>
      </c>
      <c r="AI74" s="863"/>
      <c r="AJ74" s="865">
        <v>28</v>
      </c>
      <c r="AK74" s="384" t="s">
        <v>58</v>
      </c>
      <c r="AL74" s="79" t="str">
        <f>IF(ISNA(MATCH(AH74,$AE$20:$AE$99,0)),"",INDEX($AC$20:$AC$99,MATCH(AH74,$AE$20:$AE$99,0)))</f>
        <v>C14</v>
      </c>
      <c r="AM74" s="215">
        <v>1</v>
      </c>
      <c r="AN74" s="508"/>
      <c r="AO74" s="629"/>
      <c r="AP74" s="788">
        <v>31</v>
      </c>
      <c r="AQ74" s="557"/>
      <c r="AR74" s="216" t="str">
        <f>IF(AM72=AM73,"résultat",IF(AM72&lt;AM73,AL72,AL73))</f>
        <v>B14</v>
      </c>
      <c r="AS74" s="217">
        <v>1</v>
      </c>
      <c r="AU74" s="636"/>
      <c r="AV74" s="826"/>
      <c r="AW74" s="565"/>
      <c r="AX74" s="285" t="str">
        <f>IF(AG73+AG74=0," ",IF(AG73+AG74=43," ",IF(AG73+AG74=42,IF(AS74=AS75,"résultat",IF(AS74&lt;AS75,AR74,AR75)),(IF(AG73+AG74=32,IF(AS74=AS75,"résultat",IF(AS74&gt;AS75,AR74,AR75)))))))</f>
        <v>B14</v>
      </c>
      <c r="AY74" s="222">
        <v>0</v>
      </c>
      <c r="AZ74" s="242"/>
      <c r="BA74" s="304">
        <v>3</v>
      </c>
      <c r="BB74" s="306"/>
      <c r="BC74" s="580" t="str">
        <f>IF($AG73+$AG74=43,IF(AS74=AS75,"résultat",IF(AS74&gt;AS75,AR74,AR75)),IF($AG73+$AG74=32," "))</f>
        <v xml:space="preserve"> </v>
      </c>
      <c r="BD74" s="1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73"/>
      <c r="BZ74" s="373"/>
      <c r="CA74" s="373"/>
      <c r="CB74" s="373"/>
      <c r="CC74" s="373"/>
      <c r="CD74" s="373"/>
      <c r="CE74" s="373"/>
      <c r="CF74" s="373"/>
      <c r="CM74" s="36"/>
      <c r="DB74" s="36"/>
      <c r="DC74" s="36"/>
      <c r="DD74" s="36"/>
      <c r="DE74" s="36"/>
      <c r="DF74" s="36"/>
      <c r="DG74" s="36"/>
      <c r="DH74" s="36"/>
      <c r="DI74" s="400"/>
      <c r="DJ74" s="400"/>
      <c r="DK74" s="400"/>
      <c r="DL74" s="400"/>
      <c r="DM74" s="400"/>
      <c r="DN74" s="400"/>
      <c r="DO74" s="400"/>
      <c r="DP74" s="442"/>
      <c r="DQ74" s="1"/>
      <c r="DR74" s="1"/>
      <c r="DS74" s="249"/>
      <c r="DT74" s="249"/>
      <c r="DU74" s="397"/>
      <c r="DW74" s="214"/>
      <c r="DY74" s="397"/>
      <c r="EA74" s="214"/>
      <c r="EB74" s="566"/>
      <c r="EC74" s="214"/>
      <c r="ED74" s="242"/>
      <c r="EE74" s="242"/>
      <c r="EF74" s="249"/>
      <c r="EG74" s="249"/>
      <c r="EH74" s="242"/>
      <c r="EI74" s="242"/>
      <c r="EJ74" s="242"/>
      <c r="EK74" s="242"/>
      <c r="EL74" s="242"/>
      <c r="EN74" s="443"/>
      <c r="EU74" s="243"/>
      <c r="EV74" s="243"/>
      <c r="EW74" s="243"/>
      <c r="EX74" s="243"/>
      <c r="EY74" s="242"/>
      <c r="FB74" s="36"/>
    </row>
    <row r="75" spans="15:162" ht="24.95" customHeight="1" thickBot="1">
      <c r="AA75" s="513">
        <v>56</v>
      </c>
      <c r="AB75" s="23"/>
      <c r="AC75" s="23" t="s">
        <v>140</v>
      </c>
      <c r="AE75" s="24">
        <v>56</v>
      </c>
      <c r="AF75" s="462"/>
      <c r="AG75" s="261"/>
      <c r="AH75" s="312" t="str">
        <f>IF(R17+R16=4,56," ")</f>
        <v xml:space="preserve"> </v>
      </c>
      <c r="AI75" s="864"/>
      <c r="AJ75" s="866"/>
      <c r="AK75" s="77" t="s">
        <v>51</v>
      </c>
      <c r="AL75" s="78" t="str">
        <f>IF(ISNA(MATCH(AH75,$AE$20:$AE$99,0)),"OFFICE",INDEX($AC$20:$AC$99,MATCH(AH75,$AE$20:$AE$99,0)))</f>
        <v>OFFICE</v>
      </c>
      <c r="AM75" s="220">
        <v>0</v>
      </c>
      <c r="AN75" s="517"/>
      <c r="AO75" s="630"/>
      <c r="AP75" s="789"/>
      <c r="AQ75" s="560"/>
      <c r="AR75" s="221" t="str">
        <f>IF(AM74=AM75,"résultat",IF(AM74&lt;AM75,AL74,AL75))</f>
        <v>OFFICE</v>
      </c>
      <c r="AS75" s="222">
        <v>0</v>
      </c>
      <c r="AU75" s="637"/>
      <c r="AV75" s="200"/>
      <c r="AW75" s="200"/>
      <c r="AX75" s="286"/>
      <c r="AY75" s="200"/>
      <c r="AZ75" s="200"/>
      <c r="BA75" s="200"/>
      <c r="BB75" s="524"/>
      <c r="BC75" s="280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CM75" s="617"/>
      <c r="DB75" s="36"/>
      <c r="DC75" s="36"/>
      <c r="DD75" s="36"/>
      <c r="DE75" s="36"/>
      <c r="DF75" s="36"/>
      <c r="DG75" s="36"/>
      <c r="DH75" s="36"/>
      <c r="DI75" s="567"/>
      <c r="DJ75" s="567"/>
      <c r="DK75" s="568"/>
      <c r="DL75" s="568"/>
      <c r="DM75" s="569"/>
      <c r="DN75" s="569"/>
      <c r="DO75" s="570"/>
      <c r="DR75" s="242"/>
      <c r="DS75" s="242"/>
      <c r="DT75" s="242"/>
      <c r="DU75" s="242"/>
      <c r="DV75" s="242"/>
      <c r="DW75" s="242"/>
      <c r="DY75" s="249"/>
      <c r="DZ75" s="397"/>
      <c r="EB75" s="214"/>
      <c r="EC75" s="571"/>
      <c r="ED75" s="214"/>
      <c r="EE75" s="242"/>
      <c r="EF75" s="249"/>
      <c r="EG75" s="249"/>
      <c r="EH75" s="242"/>
      <c r="EI75" s="242"/>
      <c r="EJ75" s="242"/>
      <c r="EK75" s="242"/>
      <c r="EL75" s="242"/>
      <c r="EN75" s="443"/>
      <c r="EX75" s="243"/>
      <c r="EY75" s="242"/>
      <c r="FB75" s="36"/>
    </row>
    <row r="76" spans="15:162" ht="24.95" customHeight="1" thickTop="1" thickBot="1">
      <c r="AA76" s="538">
        <v>57</v>
      </c>
      <c r="AB76" s="539"/>
      <c r="AC76" s="23" t="s">
        <v>141</v>
      </c>
      <c r="AE76" s="24">
        <v>57</v>
      </c>
      <c r="AF76" s="462"/>
      <c r="AG76" s="261"/>
      <c r="AH76" s="117">
        <f>IF(OR(AND($J$10&gt;570,$J$10&lt;580)),55,IF(OR(AND($J$10&gt;580,$J$10&lt;590)),56,IF(OR(AND($J$10&gt;590,$J$10&lt;610)),57,IF(OR(AND(J10&gt;610,J10&lt;620)),56,IF(OR(AND(J10&gt;620,J10&lt;810)),57,0)))))</f>
        <v>56</v>
      </c>
      <c r="AI76" s="862" t="s">
        <v>33</v>
      </c>
      <c r="AJ76" s="865">
        <v>29</v>
      </c>
      <c r="AK76" s="384" t="s">
        <v>11</v>
      </c>
      <c r="AL76" s="81" t="str">
        <f>IF(ISNA(MATCH(AH76,$AE$20:$AE$99,0)),"",INDEX($AC$20:$AC$99,MATCH(AH76,$AE$20:$AE$99,0)))</f>
        <v>A15</v>
      </c>
      <c r="AM76" s="204">
        <v>1</v>
      </c>
      <c r="AN76" s="508"/>
      <c r="AO76" s="628">
        <v>15</v>
      </c>
      <c r="AP76" s="626">
        <v>32</v>
      </c>
      <c r="AQ76" s="562"/>
      <c r="AR76" s="205" t="str">
        <f>IF(AM76=AM77,"résultat",IF(AM76&gt;AM77,AL76,AL77))</f>
        <v>A15</v>
      </c>
      <c r="AS76" s="224">
        <v>1</v>
      </c>
      <c r="AU76" s="636">
        <v>15</v>
      </c>
      <c r="AV76" s="225"/>
      <c r="AW76" s="225"/>
      <c r="AX76" s="283"/>
      <c r="AY76" s="225"/>
      <c r="AZ76" s="225"/>
      <c r="BA76" s="302">
        <v>1</v>
      </c>
      <c r="BB76" s="305"/>
      <c r="BC76" s="309" t="str">
        <f>IF($AG77+$AG78=0," ",IF($AG77+$AG78=43,IF($AS76=$AS77,"résultat",IF($AS76&gt;$AS77,$AR76,$AR77)),IF($AG77+$AG78=32,IF($AS76=$AS77,"résultat",IF($AS76&gt;$AS77,$AR76,$AR77)))))</f>
        <v>A15</v>
      </c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CM76" s="617"/>
      <c r="DB76" s="36"/>
      <c r="DC76" s="36"/>
      <c r="DD76" s="36"/>
      <c r="DE76" s="36"/>
      <c r="DF76" s="36"/>
      <c r="DG76" s="36"/>
      <c r="DH76" s="36"/>
      <c r="DI76" s="568"/>
      <c r="DJ76" s="568"/>
      <c r="DK76" s="568"/>
      <c r="DL76" s="568"/>
      <c r="DM76" s="569"/>
      <c r="DN76" s="569"/>
      <c r="DO76" s="570"/>
      <c r="DR76" s="35"/>
      <c r="DS76" s="35"/>
      <c r="DT76" s="35"/>
      <c r="DU76" s="35"/>
      <c r="DV76" s="35"/>
      <c r="DW76" s="35"/>
      <c r="DY76" s="242"/>
      <c r="DZ76" s="242"/>
      <c r="EA76" s="242"/>
      <c r="EC76" s="443"/>
      <c r="EF76" s="249"/>
      <c r="EG76" s="249"/>
      <c r="EH76" s="545"/>
      <c r="EI76" s="545"/>
      <c r="EJ76" s="545"/>
      <c r="EK76" s="545"/>
      <c r="EL76" s="545"/>
      <c r="EN76" s="443"/>
      <c r="EX76" s="243"/>
      <c r="EY76" s="242"/>
      <c r="EZ76" s="201"/>
      <c r="FB76" s="36"/>
    </row>
    <row r="77" spans="15:162" ht="24.95" customHeight="1" thickBot="1">
      <c r="AA77" s="513">
        <v>58</v>
      </c>
      <c r="AB77" s="23"/>
      <c r="AC77" s="23" t="s">
        <v>142</v>
      </c>
      <c r="AD77" s="35"/>
      <c r="AE77" s="24">
        <v>58</v>
      </c>
      <c r="AF77" s="462"/>
      <c r="AG77" s="261" t="str">
        <f>CONCATENATE(S17,S18)</f>
        <v>32</v>
      </c>
      <c r="AH77" s="113">
        <f>IF(OR(AND($J$10&gt;570,$J$10&lt;580)),56,IF(OR(AND($J$10&gt;580,$J$10&lt;590)),57,IF(OR(AND($J$10&gt;590,$J$10&lt;610)),58,IF(OR(AND(J10&gt;610,J10&lt;620)),57,IF(OR(AND(J10&gt;620,J10&lt;810)),58,0)))))</f>
        <v>57</v>
      </c>
      <c r="AI77" s="863"/>
      <c r="AJ77" s="866"/>
      <c r="AK77" s="77" t="s">
        <v>12</v>
      </c>
      <c r="AL77" s="80" t="str">
        <f>IF(ISNA(MATCH(AH77,$AE$20:$AE$99,0)),"",INDEX($AC$20:$AC$99,MATCH(AH77,$AE$20:$AE$99,0)))</f>
        <v>B15</v>
      </c>
      <c r="AM77" s="210">
        <v>0</v>
      </c>
      <c r="AN77" s="508"/>
      <c r="AO77" s="629"/>
      <c r="AP77" s="627"/>
      <c r="AQ77" s="556"/>
      <c r="AR77" s="206" t="str">
        <f>IF(AM78=AM79,"résultat",IF(AM78&gt;AM79,AL78,AL79))</f>
        <v>C15</v>
      </c>
      <c r="AS77" s="211">
        <v>0</v>
      </c>
      <c r="AU77" s="636"/>
      <c r="AV77" s="825"/>
      <c r="AW77" s="564"/>
      <c r="AX77" s="284" t="str">
        <f>IF(AG77+AG78=0," ",IF(AG77+AG78=43," ",(IF($AG$77+AG78=42,IF(AS76=AS77,"résultat",IF(AS76&lt;AS77,AR76,AR77)),IF($AG77+AG78=32,IF(AS76=AS77,"résultat",IF(AS76&lt;AS77,AR76,AR77)))))))</f>
        <v>C15</v>
      </c>
      <c r="AY77" s="217">
        <v>1</v>
      </c>
      <c r="AZ77" s="242"/>
      <c r="BA77" s="303">
        <v>2</v>
      </c>
      <c r="BB77" s="306"/>
      <c r="BC77" s="308" t="str">
        <f>IF($AG77+$AG78=0," ",IF($AG77+$AG78=43,IF(AS77=AS78,"résultat",IF($AS77&lt;AS78,AR77,AR78)),IF($AG77+$AG78=32,IF(AY77=AY78,"résultat",IF($AY77&gt;AY78,AX77,AX78)))))</f>
        <v>C15</v>
      </c>
      <c r="BD77" s="1"/>
      <c r="BE77" s="1"/>
      <c r="BF77" s="572"/>
      <c r="BG77" s="572"/>
      <c r="BH77" s="572"/>
      <c r="BI77" s="572"/>
      <c r="BJ77" s="572"/>
      <c r="BK77" s="572"/>
      <c r="BL77" s="572"/>
      <c r="BM77" s="572"/>
      <c r="BN77" s="572"/>
      <c r="BO77" s="572"/>
      <c r="BP77" s="572"/>
      <c r="BQ77" s="1"/>
      <c r="BR77" s="1"/>
      <c r="BS77" s="1"/>
      <c r="BT77" s="1"/>
      <c r="BU77" s="1"/>
      <c r="BV77" s="1"/>
      <c r="BW77" s="1"/>
      <c r="CM77" s="36"/>
      <c r="DB77" s="36"/>
      <c r="DC77" s="36"/>
      <c r="DD77" s="36"/>
      <c r="DE77" s="36"/>
      <c r="DF77" s="36"/>
      <c r="DG77" s="36"/>
      <c r="DH77" s="36"/>
      <c r="DI77" s="568"/>
      <c r="DJ77" s="568"/>
      <c r="DK77" s="568"/>
      <c r="DL77" s="568"/>
      <c r="DM77" s="569"/>
      <c r="DN77" s="569"/>
      <c r="DO77" s="570"/>
      <c r="DR77" s="35"/>
      <c r="DS77" s="35"/>
      <c r="DT77" s="35"/>
      <c r="DU77" s="35"/>
      <c r="DV77" s="35"/>
      <c r="DW77" s="35"/>
      <c r="EF77" s="249"/>
      <c r="EG77" s="249"/>
      <c r="EH77" s="242"/>
      <c r="EI77" s="242"/>
      <c r="EJ77" s="242"/>
      <c r="EK77" s="242"/>
      <c r="EL77" s="242"/>
      <c r="EN77" s="443"/>
      <c r="EY77" s="101"/>
      <c r="EZ77" s="243"/>
      <c r="FB77" s="36"/>
    </row>
    <row r="78" spans="15:162" ht="24.95" customHeight="1" thickBot="1">
      <c r="O78" s="1"/>
      <c r="P78" s="1"/>
      <c r="Q78" s="1"/>
      <c r="R78" s="1"/>
      <c r="S78" s="1"/>
      <c r="T78" s="1"/>
      <c r="AA78" s="538">
        <v>59</v>
      </c>
      <c r="AB78" s="539"/>
      <c r="AC78" s="23" t="s">
        <v>143</v>
      </c>
      <c r="AE78" s="24">
        <v>59</v>
      </c>
      <c r="AF78" s="462"/>
      <c r="AG78" s="261"/>
      <c r="AH78" s="113">
        <f>IF(OR(AND($J$10&gt;570,$J$10&lt;580)),57,IF(OR(AND($J$10&gt;580,$J$10&lt;590)),58,IF(OR(AND(J10&gt;590,J10&lt;610)),59,IF(OR(AND($J$10&gt;610,$J$10&lt;620)),58,IF(OR(AND($J$10&gt;620,$J$10&lt;810)),59,0)))))</f>
        <v>58</v>
      </c>
      <c r="AI78" s="863"/>
      <c r="AJ78" s="865">
        <v>30</v>
      </c>
      <c r="AK78" s="384" t="s">
        <v>58</v>
      </c>
      <c r="AL78" s="75" t="str">
        <f>IF(ISNA(MATCH(AH78,$AE$20:$AE$99,0)),"",INDEX($AC$20:$AC$99,MATCH(AH78,$AE$20:$AE$99,0)))</f>
        <v>C15</v>
      </c>
      <c r="AM78" s="215">
        <v>1</v>
      </c>
      <c r="AN78" s="508"/>
      <c r="AO78" s="629"/>
      <c r="AP78" s="788">
        <v>33</v>
      </c>
      <c r="AQ78" s="557"/>
      <c r="AR78" s="216" t="str">
        <f>IF(AM76=AM77,"résultat",IF(AM76&lt;AM77,AL76,AL77))</f>
        <v>B15</v>
      </c>
      <c r="AS78" s="217">
        <v>1</v>
      </c>
      <c r="AU78" s="636"/>
      <c r="AV78" s="826"/>
      <c r="AW78" s="565"/>
      <c r="AX78" s="285" t="str">
        <f>IF(AG77+AG78=0," ",IF(AG77+AG78=43," ",IF(AG77+AG78=42,IF(AS78=AS79,"résultat",IF(AS78&lt;AS79,AR78,AR79)),(IF(AG77+AG78=32,IF(AS78=AS79,"résultat",IF(AS78&gt;AS79,AR78,AR79)))))))</f>
        <v>B15</v>
      </c>
      <c r="AY78" s="222">
        <v>0</v>
      </c>
      <c r="AZ78" s="242"/>
      <c r="BA78" s="304">
        <v>3</v>
      </c>
      <c r="BB78" s="306"/>
      <c r="BC78" s="580" t="str">
        <f>IF($AG77+$AG78=0," ",IF($AG77+$AG78=43,IF(AS78=AS79,"résultat",IF(AS78&gt;AS79,AR78,AR79)),IF($AG77+$AG78=32," ")))</f>
        <v xml:space="preserve"> </v>
      </c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CM78" s="36"/>
      <c r="DB78" s="36"/>
      <c r="DC78" s="36"/>
      <c r="DD78" s="36"/>
      <c r="DE78" s="36"/>
      <c r="DF78" s="36"/>
      <c r="DG78" s="36"/>
      <c r="DH78" s="36"/>
      <c r="DI78" s="568"/>
      <c r="DJ78" s="568"/>
      <c r="DK78" s="568"/>
      <c r="DL78" s="568"/>
      <c r="DM78" s="569"/>
      <c r="DN78" s="569"/>
      <c r="DO78" s="570"/>
      <c r="DR78" s="35"/>
      <c r="DS78" s="35"/>
      <c r="DT78" s="35"/>
      <c r="DU78" s="35"/>
      <c r="DV78" s="35"/>
      <c r="DW78" s="35"/>
      <c r="EF78" s="249"/>
      <c r="EN78" s="443"/>
      <c r="EX78" s="243"/>
      <c r="EY78" s="242"/>
      <c r="FB78" s="36"/>
    </row>
    <row r="79" spans="15:162" ht="24.95" customHeight="1" thickBot="1">
      <c r="O79" s="1"/>
      <c r="P79" s="1"/>
      <c r="Q79" s="1"/>
      <c r="R79" s="1"/>
      <c r="S79" s="1"/>
      <c r="T79" s="1"/>
      <c r="AA79" s="513">
        <v>60</v>
      </c>
      <c r="AB79" s="23"/>
      <c r="AC79" s="23" t="s">
        <v>144</v>
      </c>
      <c r="AE79" s="24">
        <v>60</v>
      </c>
      <c r="AF79" s="462"/>
      <c r="AG79" s="261"/>
      <c r="AH79" s="199" t="str">
        <f>IF(S17+S16=4,60," ")</f>
        <v xml:space="preserve"> </v>
      </c>
      <c r="AI79" s="864"/>
      <c r="AJ79" s="866"/>
      <c r="AK79" s="77" t="s">
        <v>51</v>
      </c>
      <c r="AL79" s="78" t="str">
        <f>IF(ISNA(MATCH(AH79,$AE$20:$AE$99,0)),"OFFICE",INDEX($AC$20:$AC$99,MATCH(AH79,$AE$20:$AE$99,0)))</f>
        <v>OFFICE</v>
      </c>
      <c r="AM79" s="220">
        <v>0</v>
      </c>
      <c r="AN79" s="517"/>
      <c r="AO79" s="630"/>
      <c r="AP79" s="789"/>
      <c r="AQ79" s="560"/>
      <c r="AR79" s="221" t="str">
        <f>IF(AM78=AM79,"résultat",IF(AM78&lt;AM79,AL78,AL79))</f>
        <v>OFFICE</v>
      </c>
      <c r="AS79" s="222">
        <v>0</v>
      </c>
      <c r="AU79" s="637"/>
      <c r="AV79" s="200"/>
      <c r="AW79" s="200"/>
      <c r="AX79" s="286"/>
      <c r="AY79" s="200"/>
      <c r="AZ79" s="200"/>
      <c r="BA79" s="519"/>
      <c r="BB79" s="524"/>
      <c r="BC79" s="280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CM79" s="36"/>
      <c r="DB79" s="36"/>
      <c r="DC79" s="36"/>
      <c r="DD79" s="36"/>
      <c r="DE79" s="36"/>
      <c r="DF79" s="36"/>
      <c r="DG79" s="36"/>
      <c r="DH79" s="36"/>
      <c r="DI79" s="568"/>
      <c r="DJ79" s="568"/>
      <c r="DK79" s="568"/>
      <c r="DL79" s="568"/>
      <c r="DM79" s="569"/>
      <c r="DN79" s="569"/>
      <c r="DO79" s="570"/>
      <c r="DR79" s="35"/>
      <c r="DS79" s="242"/>
      <c r="DT79" s="242"/>
      <c r="DU79" s="35"/>
      <c r="DV79" s="35"/>
      <c r="DW79" s="35"/>
      <c r="EF79" s="249"/>
      <c r="EN79" s="443"/>
      <c r="ES79" s="144"/>
      <c r="FB79" s="36"/>
    </row>
    <row r="80" spans="15:162" ht="24.95" customHeight="1" thickTop="1" thickBot="1">
      <c r="O80" s="1"/>
      <c r="P80" s="1"/>
      <c r="Q80" s="1"/>
      <c r="R80" s="1"/>
      <c r="S80" s="1"/>
      <c r="T80" s="1"/>
      <c r="AA80" s="538">
        <v>61</v>
      </c>
      <c r="AB80" s="539"/>
      <c r="AC80" s="23" t="s">
        <v>145</v>
      </c>
      <c r="AD80" s="35"/>
      <c r="AE80" s="24">
        <v>61</v>
      </c>
      <c r="AF80" s="462"/>
      <c r="AG80" s="261"/>
      <c r="AH80" s="124">
        <f>IF(OR(AND($J$10&gt;610,$J$10&lt;620)),59,IF(OR(AND($J$10&gt;620,$J$10&lt;630),AND(J10&gt;650,J10&lt;660)),60,IF(OR(AND($J$10&gt;630,$J$10&lt;810)),61,0)))</f>
        <v>59</v>
      </c>
      <c r="AI80" s="862" t="s">
        <v>34</v>
      </c>
      <c r="AJ80" s="865">
        <v>31</v>
      </c>
      <c r="AK80" s="384" t="s">
        <v>11</v>
      </c>
      <c r="AL80" s="81" t="str">
        <f>IF(ISNA(MATCH(AH80,$AE$20:$AE$99,0)),"",INDEX($AC$20:$AC$99,MATCH(AH80,$AE$20:$AE$99,0)))</f>
        <v>A16</v>
      </c>
      <c r="AM80" s="204">
        <v>1</v>
      </c>
      <c r="AN80" s="508"/>
      <c r="AO80" s="628">
        <v>16</v>
      </c>
      <c r="AP80" s="626">
        <v>34</v>
      </c>
      <c r="AQ80" s="562"/>
      <c r="AR80" s="205" t="str">
        <f>IF(AM80=AM81,"résultat",IF(AM80&gt;AM81,AL80,AL81))</f>
        <v>A16</v>
      </c>
      <c r="AS80" s="224">
        <v>1</v>
      </c>
      <c r="AU80" s="642">
        <v>16</v>
      </c>
      <c r="AV80" s="225"/>
      <c r="AW80" s="225"/>
      <c r="AX80" s="287"/>
      <c r="AY80" s="225"/>
      <c r="AZ80" s="225"/>
      <c r="BA80" s="302">
        <v>1</v>
      </c>
      <c r="BB80" s="305"/>
      <c r="BC80" s="309" t="str">
        <f>IF($AG81+$AG82=0," ",IF($AG81+$AG82=43,IF($AS80=$AS81,"résultat",IF($AS80&gt;$AS81,$AR80,$AR81)),IF($AG81+$AG82=32,IF($AS80=$AS81,"résultat",IF($AS80&gt;$AS81,$AR80,$AR81)))))</f>
        <v>A16</v>
      </c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CM80" s="36"/>
      <c r="DB80" s="36"/>
      <c r="DC80" s="36"/>
      <c r="DD80" s="36"/>
      <c r="DE80" s="36"/>
      <c r="DF80" s="36"/>
      <c r="DG80" s="36"/>
      <c r="DH80" s="36"/>
      <c r="DI80" s="568"/>
      <c r="DJ80" s="568"/>
      <c r="DK80" s="568"/>
      <c r="DL80" s="568"/>
      <c r="DM80" s="569"/>
      <c r="DN80" s="569"/>
      <c r="DO80" s="570"/>
      <c r="DS80" s="243"/>
      <c r="DT80" s="242"/>
      <c r="DU80" s="201"/>
      <c r="EF80" s="249"/>
      <c r="EN80" s="443"/>
      <c r="ES80" s="144"/>
      <c r="FB80" s="36"/>
    </row>
    <row r="81" spans="15:170" ht="24.95" customHeight="1" thickBot="1">
      <c r="O81" s="1"/>
      <c r="P81" s="1"/>
      <c r="Q81" s="1"/>
      <c r="R81" s="1"/>
      <c r="S81" s="1"/>
      <c r="T81" s="1"/>
      <c r="AA81" s="513">
        <v>62</v>
      </c>
      <c r="AB81" s="23"/>
      <c r="AC81" s="367"/>
      <c r="AD81" s="35"/>
      <c r="AE81" s="24"/>
      <c r="AF81" s="462"/>
      <c r="AG81" s="261" t="str">
        <f>CONCATENATE(T17,T18)</f>
        <v>32</v>
      </c>
      <c r="AH81" s="113">
        <f>IF(OR(AND($J$10&gt;610,$J$10&lt;620)),60,IF(OR(AND(J10&gt;620,J10&lt;630),AND(J10&gt;650,J10&lt;660)),61,IF(OR(AND($J$10&gt;630,$J$10&lt;810)),62,0)))</f>
        <v>60</v>
      </c>
      <c r="AI81" s="863"/>
      <c r="AJ81" s="866"/>
      <c r="AK81" s="77" t="s">
        <v>12</v>
      </c>
      <c r="AL81" s="80" t="str">
        <f>IF(ISNA(MATCH(AH81,$AE$20:$AE$99,0)),"",INDEX($AC$20:$AC$99,MATCH(AH81,$AE$20:$AE$99,0)))</f>
        <v>B16</v>
      </c>
      <c r="AM81" s="210">
        <v>0</v>
      </c>
      <c r="AN81" s="508"/>
      <c r="AO81" s="629"/>
      <c r="AP81" s="627"/>
      <c r="AQ81" s="556"/>
      <c r="AR81" s="206" t="str">
        <f>IF(AM82=AM83,"résultat",IF(AM82&gt;AM83,AL82,AL83))</f>
        <v>C16</v>
      </c>
      <c r="AS81" s="211">
        <v>0</v>
      </c>
      <c r="AU81" s="636"/>
      <c r="AV81" s="825"/>
      <c r="AW81" s="564"/>
      <c r="AX81" s="284" t="str">
        <f>IF(AG81+AG82=0," ",IF(AG81+AG82=43," ",(IF($AG$81+AG82=42,IF(AS80=AS81,"résultat",IF(AS80&lt;AS81,AR80,AR81)),IF($AG81+AG82=32,IF(AS80=AS81,"résultat",IF(AS80&lt;AS81,AR80,AR81)))))))</f>
        <v>C16</v>
      </c>
      <c r="AY81" s="217">
        <v>1</v>
      </c>
      <c r="AZ81" s="242"/>
      <c r="BA81" s="303">
        <v>2</v>
      </c>
      <c r="BB81" s="306"/>
      <c r="BC81" s="308" t="str">
        <f>IF($AG81+$AG82=0," ",IF($AG81+$AG82=43,IF(AS81=AS82,"résultat",IF($AS81&lt;AS82,AR81,AR82)),IF($AG81+$AG82=32,IF(AY81=AY82,"résultat",IF($AY81&gt;AY82,AX81,AX82)))))</f>
        <v>C16</v>
      </c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CM81" s="36"/>
      <c r="DB81" s="36"/>
      <c r="DC81" s="36"/>
      <c r="DD81" s="36"/>
      <c r="DE81" s="36"/>
      <c r="DF81" s="36"/>
      <c r="DG81" s="36"/>
      <c r="DH81" s="36"/>
      <c r="DI81" s="568"/>
      <c r="DJ81" s="568"/>
      <c r="DK81" s="568"/>
      <c r="DL81" s="568"/>
      <c r="DM81" s="569"/>
      <c r="DN81" s="569"/>
      <c r="DO81" s="570"/>
      <c r="DU81" s="243"/>
      <c r="DV81" s="243"/>
      <c r="DW81" s="243"/>
      <c r="EF81" s="249"/>
      <c r="EN81" s="443"/>
      <c r="ES81" s="144"/>
      <c r="FB81" s="36"/>
    </row>
    <row r="82" spans="15:170" ht="24.95" customHeight="1" thickBot="1">
      <c r="O82" s="1"/>
      <c r="P82" s="1"/>
      <c r="Q82" s="1"/>
      <c r="R82" s="1"/>
      <c r="S82" s="1"/>
      <c r="T82" s="1"/>
      <c r="AA82" s="538">
        <v>63</v>
      </c>
      <c r="AB82" s="539"/>
      <c r="AC82" s="23"/>
      <c r="AE82" s="24"/>
      <c r="AF82" s="462"/>
      <c r="AG82" s="261"/>
      <c r="AH82" s="113">
        <f>IF(OR(AND($J$10&gt;610,$J$10&lt;620)),61,IF(OR(AND($J$10&gt;620,$J$10&lt;630),AND(J10&gt;650,J10&lt;660)),62,IF(OR(AND($J$10&gt;620,$J$10&lt;810)),63,0)))</f>
        <v>61</v>
      </c>
      <c r="AI82" s="863"/>
      <c r="AJ82" s="865">
        <v>32</v>
      </c>
      <c r="AK82" s="384" t="s">
        <v>58</v>
      </c>
      <c r="AL82" s="75" t="str">
        <f>IF(ISNA(MATCH(AH82,$AE$20:$AE$99,0)),"",INDEX($AC$20:$AC$99,MATCH(AH82,$AE$20:$AE$99,0)))</f>
        <v>C16</v>
      </c>
      <c r="AM82" s="215">
        <v>1</v>
      </c>
      <c r="AN82" s="508"/>
      <c r="AO82" s="629"/>
      <c r="AP82" s="788">
        <v>35</v>
      </c>
      <c r="AQ82" s="557"/>
      <c r="AR82" s="216" t="str">
        <f>IF(AM80=AM81,"résultat",IF(AM80&lt;AM81,AL80,AL81))</f>
        <v>B16</v>
      </c>
      <c r="AS82" s="217">
        <v>1</v>
      </c>
      <c r="AU82" s="636"/>
      <c r="AV82" s="826"/>
      <c r="AW82" s="565"/>
      <c r="AX82" s="285" t="str">
        <f>IF(AG81+AG82=0," ",IF(AG81+AG82=43," ",IF(AG81+AG82=42,IF(AS82=AS83,"résultat",IF(AS82&lt;AS83,AR82,AR83)),(IF(AG81+AG82=32,IF(AS82=AS83,"résultat",IF(AS82&gt;AS83,AR82,AR83)))))))</f>
        <v>B16</v>
      </c>
      <c r="AY82" s="222">
        <v>0</v>
      </c>
      <c r="AZ82" s="242"/>
      <c r="BA82" s="304">
        <v>3</v>
      </c>
      <c r="BB82" s="306"/>
      <c r="BC82" s="580" t="str">
        <f>IF($AG81+$AG82=0," ",IF($AG81+$AG82=43,IF(AS82=AS83,"résultat",IF(AS82&gt;AS83,AR82,AR83)),IF($AG81+$AG82=32," ")))</f>
        <v xml:space="preserve"> </v>
      </c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CM82" s="36"/>
      <c r="DB82" s="36"/>
      <c r="DC82" s="36"/>
      <c r="DD82" s="36"/>
      <c r="DE82" s="36"/>
      <c r="DF82" s="36"/>
      <c r="DG82" s="36"/>
      <c r="DH82" s="36"/>
      <c r="DI82" s="568"/>
      <c r="DJ82" s="568"/>
      <c r="DK82" s="568"/>
      <c r="DL82" s="568"/>
      <c r="DM82" s="569"/>
      <c r="DN82" s="569"/>
      <c r="DO82" s="570"/>
      <c r="DU82" s="243"/>
      <c r="EF82" s="249"/>
      <c r="EL82" s="144"/>
      <c r="EN82" s="443"/>
      <c r="ES82" s="144"/>
      <c r="FB82" s="36"/>
    </row>
    <row r="83" spans="15:170" ht="24.95" customHeight="1" thickBot="1">
      <c r="AA83" s="513">
        <v>64</v>
      </c>
      <c r="AB83" s="23"/>
      <c r="AC83" s="23"/>
      <c r="AE83" s="24"/>
      <c r="AF83" s="462"/>
      <c r="AG83" s="261"/>
      <c r="AH83" s="132" t="str">
        <f>IF(T17+T16=4,64," ")</f>
        <v xml:space="preserve"> </v>
      </c>
      <c r="AI83" s="864"/>
      <c r="AJ83" s="866"/>
      <c r="AK83" s="77" t="s">
        <v>51</v>
      </c>
      <c r="AL83" s="78" t="str">
        <f>IF(ISNA(MATCH(AH83,$AE$20:$AE$99,0)),"OFFICE",INDEX($AC$20:$AC$99,MATCH(AH83,$AE$20:$AE$99,0)))</f>
        <v>OFFICE</v>
      </c>
      <c r="AM83" s="220">
        <v>0</v>
      </c>
      <c r="AN83" s="517"/>
      <c r="AO83" s="630"/>
      <c r="AP83" s="789"/>
      <c r="AQ83" s="560"/>
      <c r="AR83" s="221" t="str">
        <f>IF(AM82=AM83,"résultat",IF(AM82&lt;AM83,AL82,AL83))</f>
        <v>OFFICE</v>
      </c>
      <c r="AS83" s="222">
        <v>0</v>
      </c>
      <c r="AU83" s="637"/>
      <c r="AV83" s="200"/>
      <c r="AW83" s="200"/>
      <c r="AX83" s="286"/>
      <c r="AY83" s="200"/>
      <c r="AZ83" s="200"/>
      <c r="BA83" s="200"/>
      <c r="BB83" s="524"/>
      <c r="BC83" s="280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CM83" s="36"/>
      <c r="DB83" s="36"/>
      <c r="DC83" s="36"/>
      <c r="DD83" s="36"/>
      <c r="DE83" s="36"/>
      <c r="DF83" s="36"/>
      <c r="DG83" s="36"/>
      <c r="DH83" s="36"/>
      <c r="DI83" s="568"/>
      <c r="DJ83" s="568"/>
      <c r="DK83" s="568"/>
      <c r="DL83" s="568"/>
      <c r="DM83" s="569"/>
      <c r="DN83" s="569"/>
      <c r="DO83" s="570"/>
      <c r="DV83" s="144"/>
      <c r="DW83" s="144"/>
      <c r="EF83" s="249"/>
      <c r="EL83" s="144"/>
      <c r="EN83" s="443"/>
      <c r="ES83" s="144"/>
      <c r="FB83" s="36"/>
    </row>
    <row r="84" spans="15:170" ht="24.95" customHeight="1" thickTop="1" thickBot="1">
      <c r="AA84" s="538">
        <v>65</v>
      </c>
      <c r="AB84" s="539"/>
      <c r="AC84" s="23"/>
      <c r="AD84" s="35"/>
      <c r="AE84" s="24"/>
      <c r="AF84" s="462"/>
      <c r="AG84" s="261"/>
      <c r="AH84" s="117">
        <f>IF(OR(AND($J$10&gt;650,$J$10&lt;660)),63,IF(OR(AND($J$10&gt;660,$J$10&lt;670)),64,IF(OR(AND($J$10&gt;670,$J$10&lt;690)),65,IF(OR(AND(J10&gt;690,J10&lt;700)),64,IF(OR(AND(J10&gt;700,J10&lt;810)),65,IF(OR(AND(J10&gt;0,J10&lt;0)),0,0))))))</f>
        <v>0</v>
      </c>
      <c r="AI84" s="862" t="s">
        <v>153</v>
      </c>
      <c r="AJ84" s="865">
        <v>29</v>
      </c>
      <c r="AK84" s="384" t="s">
        <v>11</v>
      </c>
      <c r="AL84" s="81" t="str">
        <f>IF(ISNA(MATCH(AH84,$AE$20:$AE$99,0)),"",INDEX($AC$20:$AC$99,MATCH(AH84,$AE$20:$AE$99,0)))</f>
        <v/>
      </c>
      <c r="AM84" s="204">
        <v>1</v>
      </c>
      <c r="AN84" s="508"/>
      <c r="AO84" s="628">
        <v>17</v>
      </c>
      <c r="AP84" s="626">
        <v>36</v>
      </c>
      <c r="AQ84" s="562"/>
      <c r="AR84" s="205" t="str">
        <f>IF(AM84=AM85,"résultat",IF(AM84&gt;AM85,AL84,AL85))</f>
        <v/>
      </c>
      <c r="AS84" s="224">
        <v>1</v>
      </c>
      <c r="AU84" s="642">
        <v>17</v>
      </c>
      <c r="AV84" s="225"/>
      <c r="AW84" s="225"/>
      <c r="AX84" s="287"/>
      <c r="AY84" s="225"/>
      <c r="AZ84" s="225"/>
      <c r="BA84" s="302">
        <v>1</v>
      </c>
      <c r="BB84" s="305"/>
      <c r="BC84" s="309" t="str">
        <f>IF($AG85+$AG86=0," ",IF($AG85+$AG86=43,IF($AS84=$AS85,"résultat",IF($AS84&gt;$AS85,$AR84,$AR85)),IF($AG85+$AG86=32,IF($AS84=$AS85,"résultat",IF($AS84&gt;$AS85,$AR84,$AR85)))))</f>
        <v xml:space="preserve"> </v>
      </c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CM84" s="36"/>
      <c r="DB84" s="36"/>
      <c r="DC84" s="36"/>
      <c r="DD84" s="36"/>
      <c r="DE84" s="36"/>
      <c r="DF84" s="36"/>
      <c r="DG84" s="36"/>
      <c r="DH84" s="36"/>
      <c r="DI84" s="568"/>
      <c r="DJ84" s="568"/>
      <c r="DK84" s="568"/>
      <c r="DL84" s="568"/>
      <c r="DM84" s="569"/>
      <c r="DN84" s="569"/>
      <c r="DO84" s="570"/>
      <c r="DV84" s="144"/>
      <c r="DW84" s="144"/>
      <c r="EF84" s="249"/>
      <c r="EL84" s="144"/>
      <c r="EN84" s="443"/>
      <c r="ES84" s="144"/>
      <c r="FB84" s="36"/>
    </row>
    <row r="85" spans="15:170" ht="24.95" customHeight="1" thickBot="1">
      <c r="AA85" s="513">
        <v>66</v>
      </c>
      <c r="AB85" s="23"/>
      <c r="AC85" s="367"/>
      <c r="AD85" s="35"/>
      <c r="AE85" s="24"/>
      <c r="AF85" s="462"/>
      <c r="AG85" s="261" t="str">
        <f>CONCATENATE(U17,U18)</f>
        <v>00</v>
      </c>
      <c r="AH85" s="113">
        <f>IF(OR(AND($J$10&gt;650,$J$10&lt;660)),64,IF(OR(AND($J$10&gt;660,$J$10&lt;670)),65,IF(OR(AND(J10&gt;670,J10&lt;690)),66,IF(OR(AND(J10&gt;690,J10&lt;700)),65,IF(OR(AND(J10&gt;700,J10&lt;810)),66,IF(OR(AND(J10&gt;0,J10&lt;0)),0,0))))))</f>
        <v>0</v>
      </c>
      <c r="AI85" s="863"/>
      <c r="AJ85" s="866"/>
      <c r="AK85" s="77" t="s">
        <v>12</v>
      </c>
      <c r="AL85" s="80" t="str">
        <f>IF(ISNA(MATCH(AH85,$AE$20:$AE$99,0)),"",INDEX($AC$20:$AC$99,MATCH(AH85,$AE$20:$AE$99,0)))</f>
        <v/>
      </c>
      <c r="AM85" s="210">
        <v>0</v>
      </c>
      <c r="AN85" s="508"/>
      <c r="AO85" s="629"/>
      <c r="AP85" s="627"/>
      <c r="AQ85" s="556"/>
      <c r="AR85" s="206" t="str">
        <f>IF(AM86=AM87,"résultat",IF(AM86&gt;AM87,AL86,AL87))</f>
        <v/>
      </c>
      <c r="AS85" s="211">
        <v>0</v>
      </c>
      <c r="AU85" s="636"/>
      <c r="AV85" s="825"/>
      <c r="AW85" s="564"/>
      <c r="AX85" s="284" t="str">
        <f>IF(AG85+AG86=0," ",IF(AG85+AG86=43," ",(IF($AG$85+AG86=42,IF(AS84=AS85,"résultat",IF(AS84&lt;AS85,AR84,AR85)),IF($AG85+AG86=32,IF(AS84=AS85,"résultat",IF(AS84&lt;AS85,AR84,AR85)))))))</f>
        <v xml:space="preserve"> </v>
      </c>
      <c r="AY85" s="217">
        <v>1</v>
      </c>
      <c r="AZ85" s="242"/>
      <c r="BA85" s="303">
        <v>2</v>
      </c>
      <c r="BB85" s="306"/>
      <c r="BC85" s="308" t="str">
        <f>IF($AG85+$AG86=0," ",IF($AG85+$AG86=43,IF(AS85=AS86,"résultat",IF($AS85&lt;AS86,AR85,AR86)),IF($AG85+$AG86=32,IF(AY85=AY86,"résultat",IF($AY85&gt;AY86,AX85,AX86)))))</f>
        <v xml:space="preserve"> </v>
      </c>
      <c r="BD85" s="1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1"/>
      <c r="BR85" s="1"/>
      <c r="BS85" s="1"/>
      <c r="BT85" s="1"/>
      <c r="BU85" s="1"/>
      <c r="BV85" s="1"/>
      <c r="BW85" s="1"/>
      <c r="CM85" s="36"/>
      <c r="DB85" s="36"/>
      <c r="DC85" s="36"/>
      <c r="DD85" s="36"/>
      <c r="DE85" s="36"/>
      <c r="DF85" s="36"/>
      <c r="DG85" s="36"/>
      <c r="DH85" s="36"/>
      <c r="DI85" s="568"/>
      <c r="DJ85" s="568"/>
      <c r="DK85" s="568"/>
      <c r="DL85" s="568"/>
      <c r="DM85" s="569"/>
      <c r="DN85" s="569"/>
      <c r="DO85" s="570"/>
      <c r="DV85" s="144"/>
      <c r="DW85" s="144"/>
      <c r="EF85" s="249"/>
      <c r="EL85" s="144"/>
      <c r="EN85" s="443"/>
      <c r="ES85" s="144"/>
      <c r="FB85" s="36"/>
    </row>
    <row r="86" spans="15:170" ht="24.95" customHeight="1" thickBot="1">
      <c r="AA86" s="538">
        <v>67</v>
      </c>
      <c r="AB86" s="539"/>
      <c r="AC86" s="23"/>
      <c r="AE86" s="24"/>
      <c r="AF86" s="462"/>
      <c r="AG86" s="261"/>
      <c r="AH86" s="131">
        <f>IF(OR(AND($J$10&gt;650,$J$10&lt;660)),65,IF(OR(AND($J$10&gt;660,$J$10&lt;670)),66,IF(OR(AND(J10&gt;670,J10&lt;690)),67,IF(OR(AND(J10&gt;690,J10&lt;700)),66,IF(OR(AND(J10&gt;700,J10&lt;810)),67,0)))))</f>
        <v>0</v>
      </c>
      <c r="AI86" s="863"/>
      <c r="AJ86" s="865">
        <v>30</v>
      </c>
      <c r="AK86" s="384" t="s">
        <v>58</v>
      </c>
      <c r="AL86" s="75" t="str">
        <f>IF(ISNA(MATCH(AH86,$AE$20:$AE$99,0)),"",INDEX($AC$20:$AC$99,MATCH(AH86,$AE$20:$AE$99,0)))</f>
        <v/>
      </c>
      <c r="AM86" s="215">
        <v>1</v>
      </c>
      <c r="AN86" s="508"/>
      <c r="AO86" s="629"/>
      <c r="AP86" s="788">
        <v>37</v>
      </c>
      <c r="AQ86" s="557"/>
      <c r="AR86" s="216" t="str">
        <f>IF(AM84=AM85,"résultat",IF(AM84&lt;AM85,AL84,AL85))</f>
        <v/>
      </c>
      <c r="AS86" s="217">
        <v>1</v>
      </c>
      <c r="AU86" s="636"/>
      <c r="AV86" s="826"/>
      <c r="AW86" s="565"/>
      <c r="AX86" s="285" t="str">
        <f>IF(AG85+AG86=0," ",IF(AG85+AG86=43," ",IF(AG85+AG86=42,IF(AS86=AS87,"résultat",IF(AS86&lt;AS87,AR86,AR87)),(IF(AG85+AG86=32,IF(AS86=AS87,"résultat",IF(AS86&gt;AS87,AR86,AR87)))))))</f>
        <v xml:space="preserve"> </v>
      </c>
      <c r="AY86" s="222">
        <v>0</v>
      </c>
      <c r="AZ86" s="242"/>
      <c r="BA86" s="304">
        <v>3</v>
      </c>
      <c r="BB86" s="306"/>
      <c r="BC86" s="580" t="str">
        <f>IF($AG85+$AG86=0," ",IF($AG85+$AG86=43,IF(AS86=AS87,"résultat",IF(AS86&gt;AS87,AR86,AR87)),IF($AG85+$AG86=32," ")))</f>
        <v xml:space="preserve"> </v>
      </c>
      <c r="BD86" s="1"/>
      <c r="BE86" s="243"/>
      <c r="BF86" s="243"/>
      <c r="BG86" s="243"/>
      <c r="BH86" s="243"/>
      <c r="BI86" s="243"/>
      <c r="BJ86" s="243"/>
      <c r="BK86" s="243"/>
      <c r="BL86" s="243"/>
      <c r="BM86" s="243"/>
      <c r="BN86" s="243"/>
      <c r="BO86" s="243"/>
      <c r="BP86" s="243"/>
      <c r="BQ86" s="1"/>
      <c r="BR86" s="1"/>
      <c r="BS86" s="1"/>
      <c r="BT86" s="1"/>
      <c r="BU86" s="1"/>
      <c r="BV86" s="1"/>
      <c r="BW86" s="1"/>
      <c r="CM86" s="36"/>
      <c r="DB86" s="36"/>
      <c r="DC86" s="36"/>
      <c r="DD86" s="36"/>
      <c r="DE86" s="36"/>
      <c r="DF86" s="36"/>
      <c r="DG86" s="36"/>
      <c r="DH86" s="36"/>
      <c r="DI86" s="568"/>
      <c r="DJ86" s="568"/>
      <c r="DK86" s="568"/>
      <c r="DL86" s="568"/>
      <c r="DM86" s="569"/>
      <c r="DN86" s="569"/>
      <c r="DO86" s="570"/>
      <c r="DV86" s="144"/>
      <c r="DW86" s="144"/>
      <c r="EF86" s="249"/>
      <c r="EL86" s="144"/>
      <c r="EN86" s="443"/>
      <c r="ES86" s="144"/>
      <c r="FB86" s="36"/>
    </row>
    <row r="87" spans="15:170" ht="24.95" customHeight="1" thickBot="1">
      <c r="AA87" s="513">
        <v>68</v>
      </c>
      <c r="AB87" s="23"/>
      <c r="AC87" s="23"/>
      <c r="AE87" s="24"/>
      <c r="AF87" s="462"/>
      <c r="AG87" s="261"/>
      <c r="AH87" s="111" t="str">
        <f>IF($U$17+$U$16=4,68," ")</f>
        <v xml:space="preserve"> </v>
      </c>
      <c r="AI87" s="864"/>
      <c r="AJ87" s="866"/>
      <c r="AK87" s="77" t="s">
        <v>51</v>
      </c>
      <c r="AL87" s="78" t="str">
        <f>IF(ISNA(MATCH(AH87,$AE$20:$AE$99,0)),"OFFICE",INDEX($AC$20:$AC$99,MATCH(AH87,$AE$20:$AE$99,0)))</f>
        <v>OFFICE</v>
      </c>
      <c r="AM87" s="220">
        <v>0</v>
      </c>
      <c r="AN87" s="517"/>
      <c r="AO87" s="630"/>
      <c r="AP87" s="789"/>
      <c r="AQ87" s="560"/>
      <c r="AR87" s="221" t="str">
        <f>IF(AM86=AM87,"résultat",IF(AM86&lt;AM87,AL86,AL87))</f>
        <v>OFFICE</v>
      </c>
      <c r="AS87" s="222">
        <v>0</v>
      </c>
      <c r="AU87" s="637"/>
      <c r="AV87" s="200"/>
      <c r="AW87" s="200"/>
      <c r="AX87" s="286"/>
      <c r="AY87" s="200"/>
      <c r="AZ87" s="200"/>
      <c r="BA87" s="519"/>
      <c r="BB87" s="520"/>
      <c r="BC87" s="281"/>
      <c r="BD87" s="1"/>
      <c r="BQ87" s="1"/>
      <c r="BR87" s="1"/>
      <c r="BS87" s="1"/>
      <c r="BT87" s="1"/>
      <c r="BU87" s="1"/>
      <c r="BV87" s="1"/>
      <c r="BW87" s="1"/>
      <c r="CM87" s="36"/>
      <c r="DB87" s="36"/>
      <c r="DC87" s="36"/>
      <c r="DD87" s="36"/>
      <c r="DE87" s="36"/>
      <c r="DF87" s="36"/>
      <c r="DG87" s="36"/>
      <c r="DH87" s="36"/>
      <c r="DI87" s="568"/>
      <c r="DJ87" s="568"/>
      <c r="DK87" s="568"/>
      <c r="DL87" s="568"/>
      <c r="DM87" s="569"/>
      <c r="DN87" s="569"/>
      <c r="DO87" s="570"/>
      <c r="DV87" s="144"/>
      <c r="DW87" s="144"/>
      <c r="EF87" s="249"/>
      <c r="EL87" s="144"/>
      <c r="EN87" s="443"/>
      <c r="ES87" s="144"/>
      <c r="FB87" s="36"/>
    </row>
    <row r="88" spans="15:170" ht="24.95" customHeight="1" thickTop="1" thickBot="1">
      <c r="AA88" s="538">
        <v>69</v>
      </c>
      <c r="AB88" s="539"/>
      <c r="AC88" s="23"/>
      <c r="AD88" s="35"/>
      <c r="AE88" s="24"/>
      <c r="AF88" s="462"/>
      <c r="AG88" s="261"/>
      <c r="AH88" s="117">
        <f>IF(OR(AND($J$10&gt;690,$J$10&lt;700)),67,IF(OR(AND($J$10&gt;700,$J$10&lt;710)),68,IF(OR(AND(J10&gt;710,J10&lt;730)),69,IF(OR(AND(J10&gt;730,J10&lt;740)),68,IF(OR(AND($J$10&gt;740,$J$10&lt;810)),69,0)))))</f>
        <v>0</v>
      </c>
      <c r="AI88" s="862" t="s">
        <v>154</v>
      </c>
      <c r="AJ88" s="865">
        <v>31</v>
      </c>
      <c r="AK88" s="384" t="s">
        <v>11</v>
      </c>
      <c r="AL88" s="81" t="str">
        <f>IF(ISNA(MATCH(AH88,$AE$20:$AE$99,0)),"",INDEX($AC$20:$AC$99,MATCH(AH88,$AE$20:$AE$99,0)))</f>
        <v/>
      </c>
      <c r="AM88" s="204">
        <v>1</v>
      </c>
      <c r="AN88" s="508"/>
      <c r="AO88" s="628">
        <v>18</v>
      </c>
      <c r="AP88" s="626">
        <v>38</v>
      </c>
      <c r="AQ88" s="562"/>
      <c r="AR88" s="205" t="str">
        <f>IF(AM88=AM89,"résultat",IF(AM88&gt;AM89,AL88,AL89))</f>
        <v/>
      </c>
      <c r="AS88" s="224">
        <v>1</v>
      </c>
      <c r="AU88" s="642">
        <v>18</v>
      </c>
      <c r="AV88" s="225"/>
      <c r="AW88" s="225"/>
      <c r="AX88" s="287"/>
      <c r="AY88" s="225"/>
      <c r="AZ88" s="225"/>
      <c r="BA88" s="302">
        <v>1</v>
      </c>
      <c r="BB88" s="305"/>
      <c r="BC88" s="309" t="str">
        <f>IF($AG89+$AG90=0," ",IF($AG89+$AG90=43,IF($AS88=$AS89,"résultat",IF($AS88&gt;$AS89,$AR88,$AR89)),IF($AG89+$AG90=32,IF($AS88=$AS89,"résultat",IF($AS88&gt;$AS89,$AR88,$AR89)))))</f>
        <v xml:space="preserve"> </v>
      </c>
      <c r="BD88" s="1"/>
      <c r="BQ88" s="1"/>
      <c r="BR88" s="1"/>
      <c r="BS88" s="1"/>
      <c r="BT88" s="1"/>
      <c r="BU88" s="1"/>
      <c r="BV88" s="1"/>
      <c r="BW88" s="1"/>
      <c r="CM88" s="36"/>
      <c r="DB88" s="36"/>
      <c r="DC88" s="36"/>
      <c r="DD88" s="36"/>
      <c r="DE88" s="36"/>
      <c r="DF88" s="36"/>
      <c r="DG88" s="36"/>
      <c r="DH88" s="36"/>
      <c r="DI88" s="568"/>
      <c r="DJ88" s="568"/>
      <c r="DK88" s="568"/>
      <c r="DL88" s="568"/>
      <c r="DM88" s="569"/>
      <c r="DN88" s="569"/>
      <c r="DO88" s="570"/>
      <c r="DV88" s="144"/>
      <c r="DW88" s="144"/>
      <c r="EF88" s="249"/>
      <c r="EL88" s="144"/>
      <c r="EN88" s="443"/>
      <c r="ES88" s="144"/>
      <c r="FB88" s="36"/>
    </row>
    <row r="89" spans="15:170" ht="24.95" customHeight="1" thickBot="1">
      <c r="AA89" s="513">
        <v>70</v>
      </c>
      <c r="AB89" s="23"/>
      <c r="AC89" s="367"/>
      <c r="AD89" s="35"/>
      <c r="AE89" s="24"/>
      <c r="AF89" s="462"/>
      <c r="AG89" s="261" t="str">
        <f>CONCATENATE(V17,V18)</f>
        <v>00</v>
      </c>
      <c r="AH89" s="113">
        <f>IF(OR(AND($J$10&gt;690,$J$10&lt;700)),68,IF(OR(AND(J10&gt;700,J10&lt;710)),69,IF(OR(AND(J10&gt;710,J10&lt;730)),70,IF(OR(AND($J$10&gt;730,$J$10&lt;740)),69,IF(OR(AND(J10&gt;740,J10&lt;810)),70,IF(OR(AND(J10&gt;0,J10&lt;0)),0,0))))))</f>
        <v>0</v>
      </c>
      <c r="AI89" s="863"/>
      <c r="AJ89" s="866"/>
      <c r="AK89" s="77" t="s">
        <v>12</v>
      </c>
      <c r="AL89" s="80" t="str">
        <f>IF(ISNA(MATCH(AH89,$AE$20:$AE$99,0)),"",INDEX($AC$20:$AC$99,MATCH(AH89,$AE$20:$AE$99,0)))</f>
        <v/>
      </c>
      <c r="AM89" s="210">
        <v>0</v>
      </c>
      <c r="AN89" s="508"/>
      <c r="AO89" s="629"/>
      <c r="AP89" s="627"/>
      <c r="AQ89" s="556"/>
      <c r="AR89" s="206" t="str">
        <f>IF(AM90=AM91,"résultat",IF(AM90&gt;AM91,AL90,AL91))</f>
        <v/>
      </c>
      <c r="AS89" s="211">
        <v>0</v>
      </c>
      <c r="AU89" s="636"/>
      <c r="AV89" s="825"/>
      <c r="AW89" s="564"/>
      <c r="AX89" s="284" t="str">
        <f>IF(AG89+AG90=0," ",IF(AG89+AG90=43," ",(IF($AG89+AG90=42,IF(AS88=AS89,"résultat",IF(AS88&lt;AS89,AR88,AR89)),IF($AG89+AG90=32,IF(AS88=AS89,"résultat",IF(AS88&lt;AS89,AR88,AR89)))))))</f>
        <v xml:space="preserve"> </v>
      </c>
      <c r="AY89" s="217">
        <v>1</v>
      </c>
      <c r="AZ89" s="242"/>
      <c r="BA89" s="303">
        <v>2</v>
      </c>
      <c r="BB89" s="306"/>
      <c r="BC89" s="308" t="str">
        <f>IF($AG89+$AG90=0," ",IF($AG89+$AG90=43,IF(AS89=AS90,"résultat",IF($AS89&lt;AS90,AR89,AR90)),IF($AG89+$AG90=32,IF(AY89=AY90,"résultat",IF($AY89&gt;AY90,AX89,AX90)))))</f>
        <v xml:space="preserve"> </v>
      </c>
      <c r="BD89" s="242"/>
      <c r="BQ89" s="242"/>
      <c r="BR89" s="242"/>
      <c r="BS89" s="242"/>
      <c r="BT89" s="242"/>
      <c r="BU89" s="242"/>
      <c r="BV89" s="242"/>
      <c r="BW89" s="242"/>
      <c r="CM89" s="36"/>
      <c r="DB89" s="36"/>
      <c r="DC89" s="36"/>
      <c r="DD89" s="36"/>
      <c r="DE89" s="36"/>
      <c r="DF89" s="36"/>
      <c r="DG89" s="36"/>
      <c r="DH89" s="36"/>
      <c r="DI89" s="568"/>
      <c r="DJ89" s="568"/>
      <c r="DK89" s="568"/>
      <c r="DL89" s="568"/>
      <c r="DM89" s="569"/>
      <c r="DN89" s="569"/>
      <c r="DO89" s="570"/>
      <c r="DV89" s="144"/>
      <c r="DW89" s="144"/>
      <c r="EF89" s="249"/>
      <c r="EL89" s="144"/>
      <c r="EN89" s="443"/>
      <c r="ES89" s="144"/>
      <c r="FB89" s="36"/>
    </row>
    <row r="90" spans="15:170" ht="24.95" customHeight="1" thickBot="1">
      <c r="AA90" s="538">
        <v>71</v>
      </c>
      <c r="AB90" s="539"/>
      <c r="AC90" s="23"/>
      <c r="AE90" s="24"/>
      <c r="AF90" s="462"/>
      <c r="AG90" s="261"/>
      <c r="AH90" s="113">
        <f>IF(OR(AND($J$10&gt;690,$J$10&lt;700)),69,IF(OR(AND($J$10&gt;700,$J$10&lt;710)),70,IF(OR(AND(J10&gt;710,J10&lt;730)),71,IF(OR(AND(J10&gt;730,J10&lt;740)),70,IF(OR(AND($J$10&gt;740,$J$10&lt;810)),71,IF(OR(AND(J10&gt;0,J10&lt;0)),0,0))))))</f>
        <v>0</v>
      </c>
      <c r="AI90" s="863"/>
      <c r="AJ90" s="865">
        <v>32</v>
      </c>
      <c r="AK90" s="384" t="s">
        <v>58</v>
      </c>
      <c r="AL90" s="75" t="str">
        <f>IF(ISNA(MATCH(AH90,$AE$20:$AE$99,0)),"",INDEX($AC$20:$AC$99,MATCH(AH90,$AE$20:$AE$99,0)))</f>
        <v/>
      </c>
      <c r="AM90" s="215">
        <v>1</v>
      </c>
      <c r="AN90" s="508"/>
      <c r="AO90" s="629"/>
      <c r="AP90" s="788">
        <v>39</v>
      </c>
      <c r="AQ90" s="557"/>
      <c r="AR90" s="216" t="str">
        <f>IF(AM88=AM89,"résultat",IF(AM88&lt;AM89,AL88,AL89))</f>
        <v/>
      </c>
      <c r="AS90" s="217">
        <v>1</v>
      </c>
      <c r="AU90" s="636"/>
      <c r="AV90" s="826"/>
      <c r="AW90" s="565"/>
      <c r="AX90" s="285" t="str">
        <f>IF(AG89+AG90=0," ",IF(AG89+AG90=43," ",IF(AG89+AG90=42,IF(AS90=AS91,"résultat",IF(AS90&gt;AS91,AR90,AR91)),(IF(AG89+AG90=32,IF(AS90=AS91,"résultat",IF(AS90&gt;AS91,AR90,AR91)))))))</f>
        <v xml:space="preserve"> </v>
      </c>
      <c r="AY90" s="222">
        <v>0</v>
      </c>
      <c r="AZ90" s="242"/>
      <c r="BA90" s="304">
        <v>3</v>
      </c>
      <c r="BB90" s="306"/>
      <c r="BC90" s="580" t="str">
        <f>IF($AG89+$AG90=0," ",IF($AG89+$AG90=43,IF(AS90=AS91,"résultat",IF(AS90&gt;AS91,AR90,AR91)),IF($AG89+$AG90=32," ")))</f>
        <v xml:space="preserve"> </v>
      </c>
      <c r="BD90" s="243"/>
      <c r="BQ90" s="243"/>
      <c r="BR90" s="243"/>
      <c r="BS90" s="243"/>
      <c r="BT90" s="243"/>
      <c r="BU90" s="243"/>
      <c r="BV90" s="243"/>
      <c r="BW90" s="243"/>
      <c r="CM90" s="36"/>
      <c r="DB90" s="36"/>
      <c r="DC90" s="36"/>
      <c r="DD90" s="36"/>
      <c r="DE90" s="36"/>
      <c r="DF90" s="36"/>
      <c r="DG90" s="36"/>
      <c r="DH90" s="36"/>
      <c r="DI90" s="568"/>
      <c r="DJ90" s="568"/>
      <c r="DK90" s="568"/>
      <c r="DL90" s="568"/>
      <c r="DM90" s="569"/>
      <c r="DN90" s="569"/>
      <c r="DO90" s="570"/>
      <c r="DV90" s="144"/>
      <c r="DW90" s="144"/>
      <c r="EF90" s="249"/>
      <c r="EL90" s="144"/>
      <c r="EN90" s="443"/>
      <c r="ES90" s="144"/>
      <c r="FB90" s="36"/>
    </row>
    <row r="91" spans="15:170" ht="24.95" customHeight="1" thickBot="1">
      <c r="AA91" s="513">
        <v>72</v>
      </c>
      <c r="AB91" s="23"/>
      <c r="AC91" s="23"/>
      <c r="AE91" s="24"/>
      <c r="AF91" s="462"/>
      <c r="AG91" s="261"/>
      <c r="AH91" s="123" t="str">
        <f>IF($V$17+$V$16=4,72," ")</f>
        <v xml:space="preserve"> </v>
      </c>
      <c r="AI91" s="864"/>
      <c r="AJ91" s="866"/>
      <c r="AK91" s="77" t="s">
        <v>51</v>
      </c>
      <c r="AL91" s="78" t="str">
        <f>IF(ISNA(MATCH(AH91,$AE$20:$AE$99,0)),"OFFICE",INDEX($AC$20:$AC$99,MATCH(AH91,$AE$20:$AE$99,0)))</f>
        <v>OFFICE</v>
      </c>
      <c r="AM91" s="220">
        <v>0</v>
      </c>
      <c r="AN91" s="517"/>
      <c r="AO91" s="630"/>
      <c r="AP91" s="789"/>
      <c r="AQ91" s="560"/>
      <c r="AR91" s="221" t="str">
        <f>IF(AM90=AM91,"résultat",IF(AM90&lt;AM91,AL90,AL91))</f>
        <v>OFFICE</v>
      </c>
      <c r="AS91" s="222">
        <v>0</v>
      </c>
      <c r="AU91" s="637"/>
      <c r="AV91" s="200"/>
      <c r="AW91" s="200"/>
      <c r="AX91" s="280"/>
      <c r="AY91" s="200"/>
      <c r="AZ91" s="200"/>
      <c r="BA91" s="200"/>
      <c r="BB91" s="524"/>
      <c r="BC91" s="280"/>
      <c r="BQ91" s="36"/>
      <c r="BR91" s="36"/>
      <c r="BS91" s="36"/>
      <c r="BT91" s="36"/>
      <c r="BU91" s="36"/>
      <c r="BV91" s="36"/>
      <c r="BW91" s="36"/>
      <c r="CM91" s="36"/>
      <c r="DB91" s="36"/>
      <c r="DC91" s="36"/>
      <c r="DD91" s="36"/>
      <c r="DE91" s="36"/>
      <c r="DF91" s="36"/>
      <c r="DG91" s="36"/>
      <c r="DH91" s="36"/>
      <c r="DI91" s="568"/>
      <c r="DJ91" s="568"/>
      <c r="DK91" s="568"/>
      <c r="DL91" s="568"/>
      <c r="DM91" s="569"/>
      <c r="DN91" s="569"/>
      <c r="DO91" s="570"/>
      <c r="DV91" s="144"/>
      <c r="DW91" s="144"/>
      <c r="EF91" s="249"/>
      <c r="EL91" s="144"/>
      <c r="EN91" s="443"/>
      <c r="ES91" s="144"/>
      <c r="FB91" s="36"/>
    </row>
    <row r="92" spans="15:170" ht="24.95" customHeight="1" thickTop="1" thickBot="1">
      <c r="AA92" s="538">
        <v>73</v>
      </c>
      <c r="AB92" s="539"/>
      <c r="AC92" s="23"/>
      <c r="AD92" s="35"/>
      <c r="AE92" s="24"/>
      <c r="AF92" s="462"/>
      <c r="AG92" s="261"/>
      <c r="AH92" s="117">
        <f>IF(OR(AND($J$10&gt;730,$J$10&lt;740)),71,IF(OR(AND(J10&gt;740,J10&lt;750)),72,IF(OR(AND(J10&gt;750,J10&lt;770)),73,IF(OR(AND(J10&gt;770,J10&lt;780)),72,IF(OR(AND($J$10&gt;780,$J$10&lt;810)),73,0)))))</f>
        <v>0</v>
      </c>
      <c r="AI92" s="862" t="s">
        <v>155</v>
      </c>
      <c r="AJ92" s="865">
        <v>29</v>
      </c>
      <c r="AK92" s="384" t="s">
        <v>11</v>
      </c>
      <c r="AL92" s="81" t="str">
        <f>IF(ISNA(MATCH(AH92,$AE$20:$AE$99,0)),"",INDEX($AC$20:$AC$99,MATCH(AH92,$AE$20:$AE$99,0)))</f>
        <v/>
      </c>
      <c r="AM92" s="204">
        <v>1</v>
      </c>
      <c r="AN92" s="508"/>
      <c r="AO92" s="628">
        <v>19</v>
      </c>
      <c r="AP92" s="626">
        <v>40</v>
      </c>
      <c r="AQ92" s="562"/>
      <c r="AR92" s="205" t="str">
        <f>IF(AM92=AM93,"résultat",IF(AM92&gt;AM93,AL92,AL93))</f>
        <v/>
      </c>
      <c r="AS92" s="224">
        <v>1</v>
      </c>
      <c r="AU92" s="642">
        <v>19</v>
      </c>
      <c r="AV92" s="225"/>
      <c r="AW92" s="225"/>
      <c r="AX92" s="287"/>
      <c r="AY92" s="225"/>
      <c r="AZ92" s="225"/>
      <c r="BA92" s="302">
        <v>1</v>
      </c>
      <c r="BB92" s="305"/>
      <c r="BC92" s="309" t="str">
        <f>IF($AG93+$AG94=0," ",IF($AG93+$AG94=43,IF(AS92=$AS93,"résultat",IF($AS92&gt;$AS93,$AR92,$AR93)),IF($AG93+$AG94=42,IF($AS92=$AS93,"résultat",IF($AS92&gt;$AS93,$AR92,$AR93)),IF($AG93+$AG94=32,IF($AS92=$AS93,"résultat",IF($AS92&gt;$AS93,$AR92,$AR93))))))</f>
        <v xml:space="preserve"> </v>
      </c>
      <c r="BQ92" s="36"/>
      <c r="BR92" s="36"/>
      <c r="BS92" s="36"/>
      <c r="BT92" s="36"/>
      <c r="BU92" s="36"/>
      <c r="BV92" s="36"/>
      <c r="BW92" s="36"/>
      <c r="CM92" s="36"/>
      <c r="DB92" s="36"/>
      <c r="DC92" s="36"/>
      <c r="DD92" s="36"/>
      <c r="DE92" s="36"/>
      <c r="DF92" s="36"/>
      <c r="DG92" s="36"/>
      <c r="DH92" s="36"/>
      <c r="DI92" s="568"/>
      <c r="DJ92" s="568"/>
      <c r="DK92" s="568"/>
      <c r="DL92" s="568"/>
      <c r="DM92" s="569"/>
      <c r="DN92" s="569"/>
      <c r="DO92" s="570"/>
      <c r="DV92" s="144"/>
      <c r="DW92" s="144"/>
      <c r="EF92" s="249"/>
      <c r="EL92" s="144"/>
      <c r="EN92" s="443"/>
      <c r="ES92" s="144"/>
      <c r="FB92" s="36"/>
      <c r="FN92" s="144"/>
    </row>
    <row r="93" spans="15:170" ht="24.95" customHeight="1" thickBot="1">
      <c r="AA93" s="513">
        <v>74</v>
      </c>
      <c r="AB93" s="23"/>
      <c r="AC93" s="367"/>
      <c r="AD93" s="35"/>
      <c r="AE93" s="24"/>
      <c r="AF93" s="462"/>
      <c r="AG93" s="262" t="str">
        <f>CONCATENATE(W17,W18)</f>
        <v>00</v>
      </c>
      <c r="AH93" s="131">
        <f>IF(OR(AND($J$10&gt;729,$J$10&lt;740)),72,IF(OR(AND(J10&gt;739,J10&lt;750)),73,IF(OR(AND(J10&gt;769,J10&lt;780)),73,IF(OR(AND($J$10&gt;749,$J$10&lt;810)),74,0))))</f>
        <v>0</v>
      </c>
      <c r="AI93" s="863"/>
      <c r="AJ93" s="866"/>
      <c r="AK93" s="77" t="s">
        <v>12</v>
      </c>
      <c r="AL93" s="80" t="str">
        <f>IF(ISNA(MATCH(AH93,$AE$20:$AE$99,0)),"",INDEX($AC$20:$AC$99,MATCH(AH93,$AE$20:$AE$99,0)))</f>
        <v/>
      </c>
      <c r="AM93" s="210">
        <v>0</v>
      </c>
      <c r="AN93" s="508"/>
      <c r="AO93" s="629"/>
      <c r="AP93" s="627">
        <v>-13.5</v>
      </c>
      <c r="AQ93" s="556"/>
      <c r="AR93" s="206" t="str">
        <f>IF(AM94=AM95,"résultat",IF(AM94&gt;AM95,AL94,AL95))</f>
        <v/>
      </c>
      <c r="AS93" s="211">
        <v>0</v>
      </c>
      <c r="AU93" s="636"/>
      <c r="AV93" s="825"/>
      <c r="AW93" s="564"/>
      <c r="AX93" s="284" t="str">
        <f>IF(AG93+AG94=0," ",IF(AG93+AG94=43," ",IF($AG$85+AG94=42,IF(AS92=AS93,"résultat",IF(AS92&lt;AS93,AR92,AR93)),IF($AG93+AG94=42,IF(AS92=AS93,"résultat",IF(AS92&lt;AS93,AR92,AR93)),IF($AG93+AG94=32,IF(AS92=AS93,"résultat",IF(AS92&lt;AS93,AR92,AR93)))))))</f>
        <v xml:space="preserve"> </v>
      </c>
      <c r="AY93" s="217">
        <v>1</v>
      </c>
      <c r="AZ93" s="242"/>
      <c r="BA93" s="304">
        <v>2</v>
      </c>
      <c r="BB93" s="306"/>
      <c r="BC93" s="308" t="str">
        <f>IF($AG93+$AG94=0," ",IF($AG93+$AG94=43,IF(AS92=AS93,"résultat",IF(AS92&lt;AS93,AR92,AR93)),IF($AG93+$AG94=42,IF(AY93=AY94,"résultat",IF(AY93&gt;AY94,AX93,AX94)),IF($AG93+$AG94=32,IF(AY93=AY94,"résultat",IF($AY93&gt;AY94,AX93,AX94))))))</f>
        <v xml:space="preserve"> </v>
      </c>
      <c r="BQ93" s="36"/>
      <c r="BR93" s="36"/>
      <c r="BS93" s="36"/>
      <c r="BT93" s="36"/>
      <c r="BU93" s="36"/>
      <c r="BV93" s="36"/>
      <c r="BW93" s="36"/>
      <c r="CM93" s="36"/>
      <c r="DB93" s="36"/>
      <c r="DC93" s="36"/>
      <c r="DD93" s="36"/>
      <c r="DE93" s="36"/>
      <c r="DF93" s="36"/>
      <c r="DG93" s="36"/>
      <c r="DH93" s="36"/>
      <c r="DI93" s="568"/>
      <c r="DJ93" s="568"/>
      <c r="DK93" s="568"/>
      <c r="DL93" s="568"/>
      <c r="DM93" s="569"/>
      <c r="DN93" s="569"/>
      <c r="DO93" s="570"/>
      <c r="DV93" s="144"/>
      <c r="DW93" s="144"/>
      <c r="EF93" s="249"/>
      <c r="EL93" s="144"/>
      <c r="EN93" s="443"/>
      <c r="ES93" s="144"/>
      <c r="FB93" s="36"/>
      <c r="FN93" s="144"/>
    </row>
    <row r="94" spans="15:170" ht="24.95" customHeight="1" thickBot="1">
      <c r="AA94" s="538">
        <v>75</v>
      </c>
      <c r="AB94" s="539"/>
      <c r="AC94" s="23"/>
      <c r="AE94" s="24"/>
      <c r="AF94" s="462"/>
      <c r="AG94" s="261"/>
      <c r="AH94" s="113">
        <f>IF(OR(AND($J$10&gt;729,$J$10&lt;740)),73,IF(OR(AND(J10&gt;739,J10&lt;750)),74,IF(OR(AND(J10&gt;769,J10&lt;780)),74,IF(OR(AND($J$10&gt;749,$J$10&lt;820)),75,0))))</f>
        <v>0</v>
      </c>
      <c r="AI94" s="863"/>
      <c r="AJ94" s="865">
        <v>30</v>
      </c>
      <c r="AK94" s="384" t="s">
        <v>58</v>
      </c>
      <c r="AL94" s="75" t="str">
        <f>IF(ISNA(MATCH(AH94,$AE$20:$AE$99,0)),"",INDEX($AC$20:$AC$99,MATCH(AH94,$AE$20:$AE$99,0)))</f>
        <v/>
      </c>
      <c r="AM94" s="215">
        <v>1</v>
      </c>
      <c r="AN94" s="508"/>
      <c r="AO94" s="629"/>
      <c r="AP94" s="788">
        <v>1</v>
      </c>
      <c r="AQ94" s="557"/>
      <c r="AR94" s="216" t="str">
        <f>IF(AM92=AM93,"résultat",IF(AM92&lt;AM93,AL92,AL93))</f>
        <v/>
      </c>
      <c r="AS94" s="217">
        <v>1</v>
      </c>
      <c r="AU94" s="636"/>
      <c r="AV94" s="826"/>
      <c r="AW94" s="565"/>
      <c r="AX94" s="285" t="str">
        <f>IF(AG93+AG94=0," ",IF(AG93+AG94=43," ",IF(AG93+AG94=42,IF(AS94=AS95,"résultat",IF(AS94&gt;AS95,AR94,AR95)),(IF(AG93+AG94=32,IF(AS94=AS95,"résultat",IF(AS94&gt;AS95,AR94,AR95)))))))</f>
        <v xml:space="preserve"> </v>
      </c>
      <c r="AY94" s="222">
        <v>0</v>
      </c>
      <c r="AZ94" s="242"/>
      <c r="BA94" s="595"/>
      <c r="BB94" s="306"/>
      <c r="BC94" s="596" t="str">
        <f>IF($AG93+$AG94=0," ",IF($AG93+$AG94=42," ",IF($AG93+$AG94=43,IF(AS94=AS95,"résultat",IF(AS94&gt;AS95,AR94,AR95)),IF($AG93+$AG94=32," "))))</f>
        <v xml:space="preserve"> </v>
      </c>
      <c r="BQ94" s="36"/>
      <c r="BR94" s="36"/>
      <c r="BS94" s="36"/>
      <c r="BT94" s="36"/>
      <c r="BU94" s="36"/>
      <c r="BV94" s="36"/>
      <c r="BW94" s="36"/>
      <c r="CM94" s="36"/>
      <c r="DB94" s="36"/>
      <c r="DC94" s="36"/>
      <c r="DD94" s="36"/>
      <c r="DE94" s="36"/>
      <c r="DF94" s="36"/>
      <c r="DG94" s="36"/>
      <c r="DH94" s="36"/>
      <c r="DI94" s="568"/>
      <c r="DJ94" s="568"/>
      <c r="DK94" s="568"/>
      <c r="DL94" s="568"/>
      <c r="DM94" s="569"/>
      <c r="DN94" s="569"/>
      <c r="DO94" s="570"/>
      <c r="DV94" s="144"/>
      <c r="DW94" s="144"/>
      <c r="EF94" s="249"/>
      <c r="EL94" s="144"/>
      <c r="EN94" s="443"/>
      <c r="ES94" s="144"/>
      <c r="FB94" s="36"/>
    </row>
    <row r="95" spans="15:170" ht="24.95" customHeight="1" thickBot="1">
      <c r="AA95" s="513">
        <v>76</v>
      </c>
      <c r="AB95" s="23"/>
      <c r="AC95" s="23"/>
      <c r="AD95" s="35"/>
      <c r="AE95" s="24"/>
      <c r="AF95" s="462"/>
      <c r="AG95" s="261"/>
      <c r="AH95" s="122" t="str">
        <f>IF($W$17+$W$16=4,76," ")</f>
        <v xml:space="preserve"> </v>
      </c>
      <c r="AI95" s="864"/>
      <c r="AJ95" s="866"/>
      <c r="AK95" s="77" t="s">
        <v>51</v>
      </c>
      <c r="AL95" s="78" t="str">
        <f>IF(ISNA(MATCH(AH95,$AE$20:$AE$99,0)),"OFFICE",INDEX($AC$20:$AC$99,MATCH(AH95,$AE$20:$AE$99,0)))</f>
        <v>OFFICE</v>
      </c>
      <c r="AM95" s="220">
        <v>0</v>
      </c>
      <c r="AN95" s="517"/>
      <c r="AO95" s="630"/>
      <c r="AP95" s="789">
        <v>-25.7</v>
      </c>
      <c r="AQ95" s="560"/>
      <c r="AR95" s="221" t="str">
        <f>IF(AM94=AM95,"résultat",IF(AM94&lt;AM95,AL94,AL95))</f>
        <v>OFFICE</v>
      </c>
      <c r="AS95" s="222">
        <v>0</v>
      </c>
      <c r="AU95" s="637"/>
      <c r="AV95" s="200"/>
      <c r="AW95" s="200"/>
      <c r="AX95" s="286"/>
      <c r="AY95" s="200"/>
      <c r="AZ95" s="200"/>
      <c r="BA95" s="519" t="s">
        <v>146</v>
      </c>
      <c r="BB95" s="520"/>
      <c r="BC95" s="281"/>
      <c r="BQ95" s="36"/>
      <c r="BR95" s="36"/>
      <c r="BS95" s="36"/>
      <c r="BT95" s="36"/>
      <c r="BU95" s="36"/>
      <c r="BV95" s="36"/>
      <c r="BW95" s="36"/>
      <c r="CM95" s="36"/>
      <c r="DB95" s="36"/>
      <c r="DC95" s="36"/>
      <c r="DD95" s="36"/>
      <c r="DE95" s="36"/>
      <c r="DF95" s="36"/>
      <c r="DG95" s="36"/>
      <c r="DH95" s="36"/>
      <c r="DI95" s="568"/>
      <c r="DJ95" s="568"/>
      <c r="DK95" s="568"/>
      <c r="DL95" s="568"/>
      <c r="DM95" s="569"/>
      <c r="DN95" s="569"/>
      <c r="DO95" s="570"/>
      <c r="DV95" s="144"/>
      <c r="DW95" s="144"/>
      <c r="EF95" s="249"/>
      <c r="EL95" s="144"/>
      <c r="EN95" s="443"/>
      <c r="ES95" s="144"/>
      <c r="FB95" s="36"/>
    </row>
    <row r="96" spans="15:170" ht="24.95" customHeight="1" thickTop="1" thickBot="1">
      <c r="AA96" s="538">
        <v>77</v>
      </c>
      <c r="AB96" s="539"/>
      <c r="AC96" s="23"/>
      <c r="AD96" s="35"/>
      <c r="AE96" s="24"/>
      <c r="AF96" s="462"/>
      <c r="AG96" s="261"/>
      <c r="AH96" s="117">
        <f>IF(OR(AND($J$10&gt;769,$J$10&lt;780)),75,IF(OR(AND($J$10&gt;779,$J$10&lt;790)),76,IF(OR(AND($J$10&gt;789,$J$10&lt;820)),77,0)))</f>
        <v>0</v>
      </c>
      <c r="AI96" s="862" t="s">
        <v>156</v>
      </c>
      <c r="AJ96" s="865">
        <v>31</v>
      </c>
      <c r="AK96" s="384" t="s">
        <v>11</v>
      </c>
      <c r="AL96" s="81" t="str">
        <f>IF(ISNA(MATCH(AH96,$AE$20:$AE$99,0)),"",INDEX($AC$20:$AC$99,MATCH(AH96,$AE$20:$AE$99,0)))</f>
        <v/>
      </c>
      <c r="AM96" s="204">
        <v>1</v>
      </c>
      <c r="AN96" s="508"/>
      <c r="AO96" s="628">
        <v>20</v>
      </c>
      <c r="AP96" s="626">
        <v>2</v>
      </c>
      <c r="AQ96" s="562"/>
      <c r="AR96" s="205" t="str">
        <f>IF(AM96=AM97,"résultat",IF(AM96&gt;AM97,AL96,AL97))</f>
        <v/>
      </c>
      <c r="AS96" s="224">
        <v>1</v>
      </c>
      <c r="AU96" s="642">
        <v>20</v>
      </c>
      <c r="AV96" s="225"/>
      <c r="AW96" s="225"/>
      <c r="AX96" s="287"/>
      <c r="AY96" s="225"/>
      <c r="AZ96" s="225"/>
      <c r="BA96" s="302">
        <v>1</v>
      </c>
      <c r="BB96" s="305"/>
      <c r="BC96" s="309" t="str">
        <f>IF($AG97+$AG98=0," ",IF($AG97+$AG98=42,IF($AS96=$AS97,"résultat",IF($AS96&gt;$AS97,$AR96,$AR97)),IF($AG97+$AG98=32,IF($AS96=$AS97,"résultat",IF($AS96&gt;$AS97,$AR96,$AR97)))))</f>
        <v xml:space="preserve"> </v>
      </c>
      <c r="BQ96" s="36"/>
      <c r="BR96" s="36"/>
      <c r="BS96" s="36"/>
      <c r="BT96" s="36"/>
      <c r="BU96" s="36"/>
      <c r="BV96" s="36"/>
      <c r="BW96" s="36"/>
      <c r="CM96" s="36"/>
      <c r="DB96" s="36"/>
      <c r="DC96" s="36"/>
      <c r="DD96" s="36"/>
      <c r="DE96" s="36"/>
      <c r="DF96" s="36"/>
      <c r="DG96" s="36"/>
      <c r="DH96" s="36"/>
      <c r="DI96" s="568"/>
      <c r="DJ96" s="568"/>
      <c r="DK96" s="568"/>
      <c r="DL96" s="568"/>
      <c r="DM96" s="569"/>
      <c r="DN96" s="569"/>
      <c r="DO96" s="570"/>
      <c r="DV96" s="144"/>
      <c r="DW96" s="144"/>
      <c r="EF96" s="249"/>
      <c r="EL96" s="144"/>
      <c r="EN96" s="443"/>
      <c r="FB96" s="36"/>
    </row>
    <row r="97" spans="27:162" ht="24.95" customHeight="1" thickBot="1">
      <c r="AA97" s="513">
        <v>78</v>
      </c>
      <c r="AB97" s="23"/>
      <c r="AC97" s="367"/>
      <c r="AD97" s="35"/>
      <c r="AE97" s="24"/>
      <c r="AF97" s="462"/>
      <c r="AG97" s="262" t="str">
        <f>CONCATENATE(X17,X18)</f>
        <v>00</v>
      </c>
      <c r="AH97" s="113">
        <f>IF(OR(AND($J$10&gt;769,$J$10&lt;780)),76,IF(OR(AND($J$10&gt;779,$J$10&lt;790)),77,IF(OR(AND($J$10&gt;789,$J$10&lt;820)),78,0)))</f>
        <v>0</v>
      </c>
      <c r="AI97" s="863"/>
      <c r="AJ97" s="866"/>
      <c r="AK97" s="77" t="s">
        <v>12</v>
      </c>
      <c r="AL97" s="80" t="str">
        <f>IF(ISNA(MATCH(AH97,$AE$20:$AE$99,0)),"",INDEX($AC$20:$AC$99,MATCH(AH97,$AE$20:$AE$99,0)))</f>
        <v/>
      </c>
      <c r="AM97" s="210">
        <v>0</v>
      </c>
      <c r="AN97" s="508"/>
      <c r="AO97" s="629"/>
      <c r="AP97" s="627">
        <v>-37.9</v>
      </c>
      <c r="AQ97" s="556"/>
      <c r="AR97" s="206" t="str">
        <f>IF(AM98=AM99,"résultat",IF(AM98&gt;AM99,AL98,AL99))</f>
        <v/>
      </c>
      <c r="AS97" s="211">
        <v>0</v>
      </c>
      <c r="AU97" s="636"/>
      <c r="AV97" s="825"/>
      <c r="AW97" s="564"/>
      <c r="AX97" s="284" t="str">
        <f>IF(AG97+AG98=0," ",IF($AG97+AG98=43,IF(AS96=AS97,"résultat",IF(AS96&lt;AS97,AR96,AR97)),IF($AG97+AG98=42,IF(AS96=AS97,"résultat",IF(AS96&lt;AS97,AR96,AR97)),IF($AG97+AG98=42,IF(AS96=AS97,"résultat",IF(AS96&lt;AS97,AR96,AR97)),IF($AG97+AG98=32,IF(AS96=AS97,"résultat",IF(AS96&lt;AS97,AR96,AR97)))))))</f>
        <v xml:space="preserve"> </v>
      </c>
      <c r="AY97" s="217">
        <v>1</v>
      </c>
      <c r="AZ97" s="242"/>
      <c r="BA97" s="304">
        <v>2</v>
      </c>
      <c r="BB97" s="306"/>
      <c r="BC97" s="308" t="str">
        <f>IF($AG97+$AG98=0," ",IF($AG97+$AG98=42,IF(AY97=AY98,"résultat",IF(AY97&gt;AY98,AX97,AX98)),IF($AG97+$AG98=32,IF(AY97=AY98,"résultat",IF($AY97&gt;AY98,AX97,AX98)))))</f>
        <v xml:space="preserve"> </v>
      </c>
      <c r="BQ97" s="36"/>
      <c r="BR97" s="36"/>
      <c r="BS97" s="36"/>
      <c r="BT97" s="36"/>
      <c r="BU97" s="36"/>
      <c r="BV97" s="36"/>
      <c r="BW97" s="36"/>
      <c r="CM97" s="36"/>
      <c r="DB97" s="36"/>
      <c r="DC97" s="36"/>
      <c r="DD97" s="36"/>
      <c r="DE97" s="36"/>
      <c r="DF97" s="36"/>
      <c r="DG97" s="36"/>
      <c r="DH97" s="36"/>
      <c r="DI97" s="568"/>
      <c r="DJ97" s="568"/>
      <c r="DK97" s="568"/>
      <c r="DL97" s="568"/>
      <c r="DM97" s="569"/>
      <c r="DN97" s="569"/>
      <c r="DO97" s="570"/>
      <c r="DV97" s="144"/>
      <c r="DW97" s="144"/>
      <c r="EF97" s="249"/>
      <c r="EL97" s="144"/>
      <c r="EN97" s="443"/>
      <c r="FB97" s="36"/>
    </row>
    <row r="98" spans="27:162" ht="24.95" customHeight="1" thickBot="1">
      <c r="AA98" s="538">
        <v>79</v>
      </c>
      <c r="AB98" s="539"/>
      <c r="AC98" s="539"/>
      <c r="AD98" s="35"/>
      <c r="AE98" s="24"/>
      <c r="AF98" s="462"/>
      <c r="AG98" s="261"/>
      <c r="AH98" s="113">
        <f>IF(OR(AND($J$10&gt;769,$J$10&lt;780)),77,IF(OR(AND($J$10&gt;779,$J$10&lt;790)),78,IF(OR(AND($J$10&gt;789,$J$10&lt;820)),79,0)))</f>
        <v>0</v>
      </c>
      <c r="AI98" s="863"/>
      <c r="AJ98" s="865">
        <v>32</v>
      </c>
      <c r="AK98" s="384" t="s">
        <v>58</v>
      </c>
      <c r="AL98" s="75" t="str">
        <f>IF(ISNA(MATCH(AH98,$AE$20:$AE$99,0)),"",INDEX($AC$20:$AC$99,MATCH(AH98,$AE$20:$AE$99,0)))</f>
        <v/>
      </c>
      <c r="AM98" s="215">
        <v>1</v>
      </c>
      <c r="AN98" s="508"/>
      <c r="AO98" s="629"/>
      <c r="AP98" s="788">
        <v>3</v>
      </c>
      <c r="AQ98" s="557"/>
      <c r="AR98" s="216" t="str">
        <f>IF(AM96=AM97,"résultat",IF(AM96&lt;AM97,AL96,AL97))</f>
        <v/>
      </c>
      <c r="AS98" s="217">
        <v>1</v>
      </c>
      <c r="AU98" s="636"/>
      <c r="AV98" s="826"/>
      <c r="AW98" s="565"/>
      <c r="AX98" s="285" t="str">
        <f>IF(AG97+AG98=0," ",IF(AG97+AG98=43,IF(AS98=AS99,"résultat",IF(AS98&gt;AS99,AR98,AR99)),IF(AG97+AG98=42,IF(AS98=AS99,"résultat",IF(AS98&gt;AS99,AR98,AR99)),IF(AG97+AG98=42,IF(AS98=AS99,"résultat",IF(AS98&gt;AS99,AR98,AR99)),IF(AG97+AG98=32,IF(AS98=AS99,"résultat",IF(AS98&gt;AS99,AR98,AR99)))))))</f>
        <v xml:space="preserve"> </v>
      </c>
      <c r="AY98" s="222">
        <v>0</v>
      </c>
      <c r="AZ98" s="242"/>
      <c r="BA98" s="595"/>
      <c r="BB98" s="306"/>
      <c r="BC98" s="596" t="str">
        <f>IF($AG97+$AG98=0," ",IF($AG97+$AG98=42," ",IF($AG97+$AG98=43,IF(AS98=AS99,"résultat",IF(AS98&gt;AS99,AR98,AR99)),IF($AG97+$AG98=32," "))))</f>
        <v xml:space="preserve"> </v>
      </c>
      <c r="BQ98" s="36"/>
      <c r="BR98" s="36"/>
      <c r="BS98" s="36"/>
      <c r="BT98" s="36"/>
      <c r="BU98" s="36"/>
      <c r="BV98" s="36"/>
      <c r="BW98" s="36"/>
      <c r="CM98" s="36"/>
      <c r="DB98" s="36"/>
      <c r="DC98" s="36"/>
      <c r="DD98" s="36"/>
      <c r="DE98" s="36"/>
      <c r="DF98" s="36"/>
      <c r="DG98" s="36"/>
      <c r="DH98" s="36"/>
      <c r="DI98" s="568"/>
      <c r="DJ98" s="568"/>
      <c r="DK98" s="568"/>
      <c r="DL98" s="568"/>
      <c r="DM98" s="569"/>
      <c r="DN98" s="569"/>
      <c r="DO98" s="570"/>
      <c r="DV98" s="144"/>
      <c r="DW98" s="144"/>
      <c r="EF98" s="249"/>
      <c r="EL98" s="144"/>
      <c r="EM98" s="443"/>
      <c r="FB98" s="36"/>
    </row>
    <row r="99" spans="27:162" ht="24.95" customHeight="1" thickBot="1">
      <c r="AA99" s="573">
        <v>80</v>
      </c>
      <c r="AB99" s="574"/>
      <c r="AC99" s="368"/>
      <c r="AD99" s="289"/>
      <c r="AE99" s="198"/>
      <c r="AF99" s="462"/>
      <c r="AG99" s="261"/>
      <c r="AH99" s="194" t="str">
        <f>IF($X$17+$X$16=4,80," ")</f>
        <v xml:space="preserve"> </v>
      </c>
      <c r="AI99" s="864"/>
      <c r="AJ99" s="866"/>
      <c r="AK99" s="77" t="s">
        <v>51</v>
      </c>
      <c r="AL99" s="78" t="str">
        <f>IF(ISNA(MATCH(AH99,$AE$20:$AE$99,0)),"OFFICE",INDEX($AC$20:$AC$99,MATCH(AH99,$AE$20:$AE$99,0)))</f>
        <v>OFFICE</v>
      </c>
      <c r="AM99" s="220">
        <v>0</v>
      </c>
      <c r="AN99" s="517"/>
      <c r="AO99" s="630"/>
      <c r="AP99" s="789"/>
      <c r="AQ99" s="560"/>
      <c r="AR99" s="221" t="str">
        <f>IF(AM98=AM99,"résultat",IF(AM98&lt;AM99,AL98,AL99))</f>
        <v>OFFICE</v>
      </c>
      <c r="AS99" s="222">
        <v>0</v>
      </c>
      <c r="AU99" s="637"/>
      <c r="AV99" s="200"/>
      <c r="AW99" s="200"/>
      <c r="AX99" s="200"/>
      <c r="AY99" s="200"/>
      <c r="AZ99" s="200"/>
      <c r="BA99" s="200"/>
      <c r="BB99" s="524"/>
      <c r="BC99" s="200"/>
      <c r="BQ99" s="36"/>
      <c r="BR99" s="36"/>
      <c r="BS99" s="36"/>
      <c r="BT99" s="36"/>
      <c r="BU99" s="36"/>
      <c r="BV99" s="36"/>
      <c r="BW99" s="36"/>
      <c r="CM99" s="36"/>
      <c r="DB99" s="36"/>
      <c r="DC99" s="36"/>
      <c r="DD99" s="36"/>
      <c r="DE99" s="36"/>
      <c r="DF99" s="36"/>
      <c r="DG99" s="36"/>
      <c r="DH99" s="36"/>
      <c r="DI99" s="568"/>
      <c r="DJ99" s="568"/>
      <c r="DK99" s="568"/>
      <c r="DL99" s="568"/>
      <c r="DM99" s="569"/>
      <c r="DN99" s="569"/>
      <c r="DO99" s="570"/>
      <c r="EF99" s="249"/>
      <c r="EL99" s="144"/>
      <c r="EM99" s="443"/>
      <c r="FB99" s="36"/>
    </row>
    <row r="100" spans="27:162" ht="24.95" customHeight="1">
      <c r="AC100" s="101"/>
      <c r="AG100" s="179"/>
      <c r="AY100" s="243"/>
      <c r="AZ100" s="243"/>
      <c r="BA100" s="243"/>
      <c r="BB100" s="575"/>
      <c r="BC100" s="243"/>
      <c r="BQ100" s="36"/>
      <c r="BR100" s="36"/>
      <c r="BS100" s="36"/>
      <c r="BT100" s="36"/>
      <c r="BU100" s="36"/>
      <c r="BV100" s="36"/>
      <c r="BW100" s="36"/>
      <c r="CM100" s="36"/>
      <c r="DB100" s="36"/>
      <c r="DC100" s="36"/>
      <c r="DD100" s="36"/>
      <c r="DE100" s="36"/>
      <c r="DF100" s="36"/>
      <c r="DG100" s="36"/>
      <c r="DH100" s="36"/>
      <c r="DI100" s="568"/>
      <c r="DJ100" s="568"/>
      <c r="DK100" s="568"/>
      <c r="DL100" s="568"/>
      <c r="DM100" s="569"/>
      <c r="DN100" s="569"/>
      <c r="DO100" s="570"/>
      <c r="EF100" s="249"/>
      <c r="EL100" s="144"/>
      <c r="EM100" s="443"/>
      <c r="FB100" s="36"/>
    </row>
    <row r="101" spans="27:162" ht="24.95" customHeight="1">
      <c r="AA101" s="101"/>
      <c r="AB101" s="101"/>
      <c r="AC101" s="101"/>
      <c r="AD101" s="101"/>
      <c r="AG101" s="179"/>
      <c r="AH101" s="177"/>
      <c r="AJ101" s="153"/>
      <c r="AK101" s="153"/>
      <c r="BC101" s="576"/>
      <c r="BQ101" s="36"/>
      <c r="BR101" s="36"/>
      <c r="BS101" s="36"/>
      <c r="BT101" s="36"/>
      <c r="BU101" s="36"/>
      <c r="BV101" s="36"/>
      <c r="BW101" s="36"/>
      <c r="CM101" s="36"/>
      <c r="DB101" s="36"/>
      <c r="DC101" s="36"/>
      <c r="DD101" s="36"/>
      <c r="DE101" s="36"/>
      <c r="DF101" s="36"/>
      <c r="DG101" s="36"/>
      <c r="DH101" s="36"/>
      <c r="DI101" s="568"/>
      <c r="DJ101" s="568"/>
      <c r="DK101" s="568"/>
      <c r="DL101" s="568"/>
      <c r="EF101" s="249"/>
      <c r="EM101" s="443"/>
      <c r="FB101" s="36"/>
      <c r="FE101" s="144"/>
      <c r="FF101" s="144"/>
    </row>
    <row r="102" spans="27:162" ht="24.95" customHeight="1">
      <c r="AG102" s="179"/>
      <c r="AH102" s="153"/>
      <c r="BC102" s="576"/>
      <c r="BQ102" s="36"/>
      <c r="BR102" s="36"/>
      <c r="BS102" s="36"/>
      <c r="BT102" s="36"/>
      <c r="BU102" s="36"/>
      <c r="BV102" s="36"/>
      <c r="BW102" s="36"/>
      <c r="CM102" s="36"/>
      <c r="DB102" s="36"/>
      <c r="DC102" s="36"/>
      <c r="DD102" s="36"/>
      <c r="DE102" s="36"/>
      <c r="DF102" s="36"/>
      <c r="DG102" s="36"/>
      <c r="DH102" s="36"/>
      <c r="DI102" s="402"/>
      <c r="DJ102" s="402"/>
      <c r="EF102" s="249"/>
      <c r="EM102" s="443"/>
      <c r="FB102" s="36"/>
      <c r="FE102" s="144"/>
      <c r="FF102" s="144"/>
    </row>
    <row r="103" spans="27:162" ht="24.95" customHeight="1">
      <c r="AH103" s="153"/>
      <c r="BC103" s="576"/>
      <c r="BQ103" s="36"/>
      <c r="BR103" s="36"/>
      <c r="BS103" s="36"/>
      <c r="BT103" s="36"/>
      <c r="BU103" s="36"/>
      <c r="BV103" s="36"/>
      <c r="BW103" s="36"/>
      <c r="CM103" s="36"/>
      <c r="DB103" s="36"/>
      <c r="DC103" s="36"/>
      <c r="DD103" s="36"/>
      <c r="DE103" s="36"/>
      <c r="DF103" s="36"/>
      <c r="DG103" s="36"/>
      <c r="DH103" s="36"/>
      <c r="DI103" s="402"/>
      <c r="DJ103" s="402"/>
      <c r="EF103" s="249"/>
      <c r="EM103" s="443"/>
      <c r="FB103" s="36"/>
      <c r="FF103" s="144"/>
    </row>
    <row r="104" spans="27:162" ht="24.95" customHeight="1">
      <c r="AH104" s="153"/>
      <c r="BC104" s="576"/>
      <c r="BQ104" s="36"/>
      <c r="BR104" s="36"/>
      <c r="BS104" s="36"/>
      <c r="BT104" s="36"/>
      <c r="BU104" s="36"/>
      <c r="BV104" s="36"/>
      <c r="BW104" s="36"/>
      <c r="CM104" s="36"/>
      <c r="DB104" s="36"/>
      <c r="DC104" s="36"/>
      <c r="DD104" s="36"/>
      <c r="DE104" s="36"/>
      <c r="DF104" s="36"/>
      <c r="DG104" s="36"/>
      <c r="DH104" s="36"/>
      <c r="DI104" s="402"/>
      <c r="DJ104" s="402"/>
      <c r="EF104" s="249"/>
      <c r="EM104" s="443"/>
      <c r="FB104" s="36"/>
      <c r="FF104" s="144"/>
    </row>
    <row r="105" spans="27:162" ht="24.95" customHeight="1">
      <c r="AH105" s="153"/>
      <c r="BC105" s="576"/>
      <c r="BQ105" s="36"/>
      <c r="BR105" s="36"/>
      <c r="BS105" s="36"/>
      <c r="BT105" s="36"/>
      <c r="BU105" s="36"/>
      <c r="BV105" s="36"/>
      <c r="BW105" s="36"/>
      <c r="CM105" s="36"/>
      <c r="DB105" s="36"/>
      <c r="DC105" s="36"/>
      <c r="DD105" s="36"/>
      <c r="DE105" s="36"/>
      <c r="DF105" s="36"/>
      <c r="DG105" s="36"/>
      <c r="DH105" s="36"/>
      <c r="DI105" s="402"/>
      <c r="DJ105" s="402"/>
      <c r="EF105" s="249"/>
      <c r="EM105" s="35"/>
      <c r="EN105" s="443"/>
      <c r="FB105" s="36"/>
      <c r="FF105" s="144"/>
    </row>
    <row r="106" spans="27:162" ht="24.95" customHeight="1">
      <c r="AT106" s="153"/>
      <c r="BC106" s="576"/>
      <c r="BQ106" s="36"/>
      <c r="BR106" s="36"/>
      <c r="BS106" s="36"/>
      <c r="BT106" s="36"/>
      <c r="BU106" s="36"/>
      <c r="BV106" s="36"/>
      <c r="BW106" s="36"/>
      <c r="CM106" s="36"/>
      <c r="DB106" s="36"/>
      <c r="DC106" s="36"/>
      <c r="DD106" s="36"/>
      <c r="DE106" s="36"/>
      <c r="DF106" s="36"/>
      <c r="DG106" s="36"/>
      <c r="DH106" s="36"/>
      <c r="DI106" s="402"/>
      <c r="DJ106" s="402"/>
      <c r="EF106" s="249"/>
      <c r="EM106" s="242"/>
      <c r="EN106" s="443"/>
      <c r="FB106" s="36"/>
      <c r="FF106" s="144"/>
    </row>
    <row r="107" spans="27:162" ht="24.95" customHeight="1">
      <c r="AT107" s="153"/>
      <c r="BC107" s="576"/>
      <c r="BQ107" s="36"/>
      <c r="BR107" s="36"/>
      <c r="BS107" s="36"/>
      <c r="BT107" s="36"/>
      <c r="BU107" s="36"/>
      <c r="BV107" s="36"/>
      <c r="BW107" s="36"/>
      <c r="CM107" s="36"/>
      <c r="DB107" s="36"/>
      <c r="DC107" s="36"/>
      <c r="DD107" s="36"/>
      <c r="DE107" s="36"/>
      <c r="DF107" s="36"/>
      <c r="DG107" s="36"/>
      <c r="DH107" s="36"/>
      <c r="DI107" s="402"/>
      <c r="DJ107" s="402"/>
      <c r="EF107" s="249"/>
      <c r="EM107" s="242"/>
      <c r="EN107" s="443"/>
      <c r="FB107" s="36"/>
    </row>
    <row r="108" spans="27:162" ht="24.95" customHeight="1">
      <c r="AT108" s="153"/>
      <c r="BC108" s="576"/>
      <c r="BQ108" s="36"/>
      <c r="BR108" s="36"/>
      <c r="BS108" s="36"/>
      <c r="BT108" s="36"/>
      <c r="BU108" s="36"/>
      <c r="BV108" s="36"/>
      <c r="BW108" s="36"/>
      <c r="CM108" s="36"/>
      <c r="DB108" s="36"/>
      <c r="DC108" s="36"/>
      <c r="DD108" s="36"/>
      <c r="DE108" s="36"/>
      <c r="DF108" s="36"/>
      <c r="DG108" s="36"/>
      <c r="DH108" s="36"/>
      <c r="DI108" s="402"/>
      <c r="DJ108" s="402"/>
      <c r="EF108" s="249"/>
      <c r="EM108" s="545"/>
      <c r="EN108" s="443"/>
      <c r="FB108" s="36"/>
    </row>
    <row r="109" spans="27:162" ht="24.95" customHeight="1">
      <c r="AT109" s="153"/>
      <c r="BC109" s="576"/>
      <c r="BQ109" s="36"/>
      <c r="BR109" s="36"/>
      <c r="BS109" s="36"/>
      <c r="BT109" s="36"/>
      <c r="BU109" s="36"/>
      <c r="BV109" s="36"/>
      <c r="BW109" s="36"/>
      <c r="CM109" s="36"/>
      <c r="DB109" s="36"/>
      <c r="DC109" s="36"/>
      <c r="DD109" s="36"/>
      <c r="DE109" s="36"/>
      <c r="DF109" s="36"/>
      <c r="DG109" s="36"/>
      <c r="DH109" s="36"/>
      <c r="DI109" s="402"/>
      <c r="DJ109" s="402"/>
      <c r="EF109" s="249"/>
      <c r="EM109" s="242"/>
      <c r="EN109" s="443"/>
      <c r="FB109" s="36"/>
    </row>
    <row r="110" spans="27:162" ht="24.95" customHeight="1">
      <c r="AT110" s="153"/>
      <c r="BC110" s="576"/>
      <c r="BQ110" s="36"/>
      <c r="BR110" s="36"/>
      <c r="BS110" s="36"/>
      <c r="BT110" s="36"/>
      <c r="BU110" s="36"/>
      <c r="BV110" s="36"/>
      <c r="BW110" s="36"/>
      <c r="CM110" s="36"/>
      <c r="DB110" s="36"/>
      <c r="DC110" s="36"/>
      <c r="DD110" s="36"/>
      <c r="DE110" s="36"/>
      <c r="DF110" s="36"/>
      <c r="DG110" s="36"/>
      <c r="DH110" s="36"/>
      <c r="DI110" s="402"/>
      <c r="DJ110" s="402"/>
      <c r="EF110" s="249"/>
      <c r="EN110" s="443"/>
      <c r="FB110" s="36"/>
    </row>
    <row r="111" spans="27:162" ht="24.95" customHeight="1">
      <c r="AT111" s="153"/>
      <c r="BC111" s="576"/>
      <c r="BQ111" s="36"/>
      <c r="BR111" s="36"/>
      <c r="BS111" s="36"/>
      <c r="BT111" s="36"/>
      <c r="BU111" s="36"/>
      <c r="BV111" s="36"/>
      <c r="BW111" s="36"/>
      <c r="CM111" s="36"/>
      <c r="DB111" s="36"/>
      <c r="DC111" s="36"/>
      <c r="DD111" s="36"/>
      <c r="DE111" s="36"/>
      <c r="DF111" s="36"/>
      <c r="DG111" s="36"/>
      <c r="DH111" s="36"/>
      <c r="DI111" s="402"/>
      <c r="DJ111" s="402"/>
      <c r="EF111" s="249"/>
      <c r="EN111" s="443"/>
      <c r="FB111" s="36"/>
    </row>
    <row r="112" spans="27:162" ht="24.95" customHeight="1">
      <c r="AT112" s="153"/>
      <c r="BC112" s="576"/>
      <c r="BQ112" s="36"/>
      <c r="BR112" s="36"/>
      <c r="BS112" s="36"/>
      <c r="BT112" s="36"/>
      <c r="BU112" s="36"/>
      <c r="BV112" s="36"/>
      <c r="BW112" s="36"/>
      <c r="CM112" s="36"/>
      <c r="DB112" s="36"/>
      <c r="DC112" s="36"/>
      <c r="DD112" s="36"/>
      <c r="DE112" s="36"/>
      <c r="DF112" s="36"/>
      <c r="DG112" s="36"/>
      <c r="DH112" s="36"/>
      <c r="DI112" s="402"/>
      <c r="DJ112" s="402"/>
      <c r="EF112" s="249"/>
      <c r="EN112" s="443"/>
      <c r="FB112" s="36"/>
    </row>
    <row r="113" spans="46:160" ht="24.95" customHeight="1">
      <c r="AT113" s="153"/>
      <c r="BC113" s="576"/>
      <c r="BQ113" s="36"/>
      <c r="BR113" s="36"/>
      <c r="BS113" s="36"/>
      <c r="BT113" s="36"/>
      <c r="BU113" s="36"/>
      <c r="BV113" s="36"/>
      <c r="BW113" s="36"/>
      <c r="CM113" s="36"/>
      <c r="DB113" s="36"/>
      <c r="DC113" s="36"/>
      <c r="DD113" s="36"/>
      <c r="DE113" s="36"/>
      <c r="DF113" s="36"/>
      <c r="DG113" s="36"/>
      <c r="DH113" s="36"/>
      <c r="DI113" s="402"/>
      <c r="DJ113" s="402"/>
      <c r="EF113" s="249"/>
      <c r="EN113" s="443"/>
      <c r="FB113" s="36"/>
    </row>
    <row r="114" spans="46:160" ht="24.95" customHeight="1">
      <c r="AT114" s="153"/>
      <c r="BC114" s="576"/>
      <c r="BQ114" s="36"/>
      <c r="BR114" s="36"/>
      <c r="BS114" s="36"/>
      <c r="BT114" s="36"/>
      <c r="BU114" s="36"/>
      <c r="BV114" s="36"/>
      <c r="BW114" s="36"/>
      <c r="CM114" s="36"/>
      <c r="DB114" s="36"/>
      <c r="DC114" s="36"/>
      <c r="DD114" s="36"/>
      <c r="DE114" s="36"/>
      <c r="DF114" s="36"/>
      <c r="DG114" s="36"/>
      <c r="DH114" s="36"/>
      <c r="DI114" s="402"/>
      <c r="DJ114" s="402"/>
      <c r="EF114" s="249"/>
      <c r="EN114" s="443"/>
      <c r="FB114" s="36"/>
    </row>
    <row r="115" spans="46:160" ht="24.95" customHeight="1">
      <c r="AT115" s="153"/>
      <c r="BC115" s="576"/>
      <c r="BQ115" s="36"/>
      <c r="BR115" s="36"/>
      <c r="BS115" s="36"/>
      <c r="BT115" s="36"/>
      <c r="BU115" s="36"/>
      <c r="BV115" s="36"/>
      <c r="BW115" s="36"/>
      <c r="CM115" s="36"/>
      <c r="DB115" s="36"/>
      <c r="DC115" s="36"/>
      <c r="DD115" s="36"/>
      <c r="DE115" s="36"/>
      <c r="DF115" s="36"/>
      <c r="DG115" s="36"/>
      <c r="DH115" s="36"/>
      <c r="DI115" s="402"/>
      <c r="DJ115" s="402"/>
      <c r="EO115" s="443"/>
      <c r="FB115" s="36"/>
    </row>
    <row r="116" spans="46:160" ht="24.95" customHeight="1">
      <c r="AT116" s="153"/>
      <c r="BC116" s="576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36"/>
      <c r="BR116" s="36"/>
      <c r="BS116" s="36"/>
      <c r="BT116" s="36"/>
      <c r="BU116" s="36"/>
      <c r="BV116" s="36"/>
      <c r="BW116" s="36"/>
      <c r="CM116" s="36"/>
      <c r="DB116" s="36"/>
      <c r="DC116" s="36"/>
      <c r="DD116" s="36"/>
      <c r="DE116" s="36"/>
      <c r="DF116" s="36"/>
      <c r="DG116" s="36"/>
      <c r="DH116" s="36"/>
      <c r="DI116" s="402"/>
      <c r="DJ116" s="402"/>
      <c r="EO116" s="443"/>
      <c r="FB116" s="36"/>
    </row>
    <row r="117" spans="46:160" ht="24.95" customHeight="1">
      <c r="AT117" s="153"/>
      <c r="BC117" s="576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36"/>
      <c r="BR117" s="36"/>
      <c r="BS117" s="36"/>
      <c r="BT117" s="36"/>
      <c r="BU117" s="36"/>
      <c r="BV117" s="36"/>
      <c r="BW117" s="36"/>
      <c r="CM117" s="36"/>
      <c r="DB117" s="36"/>
      <c r="DC117" s="36"/>
      <c r="DD117" s="36"/>
      <c r="DE117" s="36"/>
      <c r="DF117" s="36"/>
      <c r="DG117" s="36"/>
      <c r="DH117" s="36"/>
      <c r="DI117" s="402"/>
      <c r="DJ117" s="402"/>
      <c r="DK117" s="577"/>
      <c r="DL117" s="577"/>
      <c r="EO117" s="443"/>
      <c r="FB117" s="36"/>
    </row>
    <row r="118" spans="46:160" ht="24.95" customHeight="1">
      <c r="AT118" s="153"/>
      <c r="BC118" s="576"/>
      <c r="BQ118" s="36"/>
      <c r="BR118" s="36"/>
      <c r="BS118" s="36"/>
      <c r="BT118" s="36"/>
      <c r="BU118" s="36"/>
      <c r="BV118" s="36"/>
      <c r="BW118" s="36"/>
      <c r="CM118" s="36"/>
      <c r="DB118" s="36"/>
      <c r="DC118" s="36"/>
      <c r="DD118" s="36"/>
      <c r="DE118" s="36"/>
      <c r="DF118" s="36"/>
      <c r="DG118" s="36"/>
      <c r="DH118" s="36"/>
      <c r="DI118" s="402"/>
      <c r="DJ118" s="402"/>
      <c r="DK118" s="577"/>
      <c r="DL118" s="577"/>
      <c r="EO118" s="443"/>
      <c r="FB118" s="36"/>
    </row>
    <row r="119" spans="46:160" ht="24.95" customHeight="1">
      <c r="AT119" s="153"/>
      <c r="BC119" s="576"/>
      <c r="BQ119" s="36"/>
      <c r="BR119" s="36"/>
      <c r="BS119" s="36"/>
      <c r="BT119" s="36"/>
      <c r="BU119" s="36"/>
      <c r="BV119" s="36"/>
      <c r="BW119" s="36"/>
      <c r="CM119" s="36"/>
      <c r="DB119" s="36"/>
      <c r="DC119" s="36"/>
      <c r="DD119" s="36"/>
      <c r="DE119" s="36"/>
      <c r="DF119" s="36"/>
      <c r="DG119" s="36"/>
      <c r="DH119" s="36"/>
      <c r="DI119" s="402"/>
      <c r="DJ119" s="402"/>
      <c r="EO119" s="443"/>
      <c r="FB119" s="36"/>
    </row>
    <row r="120" spans="46:160" ht="24.95" customHeight="1">
      <c r="AT120" s="153"/>
      <c r="BC120" s="576"/>
      <c r="BD120" s="153"/>
      <c r="BQ120" s="153"/>
      <c r="BR120" s="153"/>
      <c r="BS120" s="153"/>
      <c r="BT120" s="153"/>
      <c r="BU120" s="153"/>
      <c r="BV120" s="153"/>
      <c r="BW120" s="153"/>
      <c r="CM120" s="36"/>
      <c r="DB120" s="36"/>
      <c r="DC120" s="36"/>
      <c r="DD120" s="36"/>
      <c r="DE120" s="36"/>
      <c r="DF120" s="36"/>
      <c r="DG120" s="36"/>
      <c r="DH120" s="36"/>
      <c r="DI120" s="402"/>
      <c r="DJ120" s="402"/>
      <c r="EO120" s="443"/>
      <c r="FB120" s="36"/>
    </row>
    <row r="121" spans="46:160" ht="24.95" customHeight="1">
      <c r="AT121" s="153"/>
      <c r="BC121" s="576"/>
      <c r="BD121" s="153"/>
      <c r="BQ121" s="153"/>
      <c r="BR121" s="153"/>
      <c r="BS121" s="153"/>
      <c r="BT121" s="153"/>
      <c r="BU121" s="153"/>
      <c r="BV121" s="153"/>
      <c r="BW121" s="153"/>
      <c r="CM121" s="36"/>
      <c r="DB121" s="36"/>
      <c r="DC121" s="36"/>
      <c r="DD121" s="36"/>
      <c r="DE121" s="36"/>
      <c r="DF121" s="36"/>
      <c r="DG121" s="36"/>
      <c r="DH121" s="36"/>
      <c r="DI121" s="402"/>
      <c r="DJ121" s="402"/>
      <c r="EO121" s="443"/>
      <c r="FB121" s="36"/>
    </row>
    <row r="122" spans="46:160" ht="24.95" customHeight="1">
      <c r="AT122" s="153"/>
      <c r="BC122" s="576"/>
      <c r="BQ122" s="36"/>
      <c r="BR122" s="36"/>
      <c r="BS122" s="36"/>
      <c r="BT122" s="36"/>
      <c r="BU122" s="36"/>
      <c r="BV122" s="36"/>
      <c r="BW122" s="36"/>
      <c r="CM122" s="36"/>
      <c r="DB122" s="36"/>
      <c r="DC122" s="36"/>
      <c r="DD122" s="36"/>
      <c r="DE122" s="36"/>
      <c r="DF122" s="36"/>
      <c r="DG122" s="36"/>
      <c r="DH122" s="36"/>
      <c r="DI122" s="402"/>
      <c r="DJ122" s="402"/>
      <c r="EO122" s="443"/>
      <c r="EY122" s="144"/>
      <c r="FB122" s="36"/>
    </row>
    <row r="123" spans="46:160" ht="24.95" customHeight="1">
      <c r="AT123" s="153"/>
      <c r="BC123" s="576"/>
      <c r="BQ123" s="36"/>
      <c r="BR123" s="36"/>
      <c r="BS123" s="36"/>
      <c r="BT123" s="36"/>
      <c r="BU123" s="36"/>
      <c r="BV123" s="36"/>
      <c r="BW123" s="36"/>
      <c r="CM123" s="36"/>
      <c r="DB123" s="36"/>
      <c r="DC123" s="36"/>
      <c r="DD123" s="36"/>
      <c r="DE123" s="36"/>
      <c r="DF123" s="36"/>
      <c r="DG123" s="36"/>
      <c r="DH123" s="36"/>
      <c r="DI123" s="402"/>
      <c r="DJ123" s="402"/>
      <c r="EO123" s="443"/>
      <c r="EY123" s="144"/>
      <c r="FB123" s="36"/>
    </row>
    <row r="124" spans="46:160" ht="24.95" customHeight="1">
      <c r="AT124" s="153"/>
      <c r="BC124" s="576"/>
      <c r="BQ124" s="36"/>
      <c r="BR124" s="36"/>
      <c r="BS124" s="36"/>
      <c r="BT124" s="36"/>
      <c r="BU124" s="36"/>
      <c r="BV124" s="36"/>
      <c r="BW124" s="36"/>
      <c r="CM124" s="36"/>
      <c r="DB124" s="36"/>
      <c r="DC124" s="36"/>
      <c r="DD124" s="36"/>
      <c r="DE124" s="36"/>
      <c r="DF124" s="36"/>
      <c r="DG124" s="36"/>
      <c r="DH124" s="36"/>
      <c r="DI124" s="402"/>
      <c r="DJ124" s="402"/>
      <c r="EO124" s="443"/>
      <c r="FB124" s="36"/>
      <c r="FD124" s="144"/>
    </row>
    <row r="125" spans="46:160" ht="24.95" customHeight="1">
      <c r="AT125" s="153"/>
      <c r="BC125" s="576"/>
      <c r="BQ125" s="36"/>
      <c r="BR125" s="36"/>
      <c r="BS125" s="36"/>
      <c r="BT125" s="36"/>
      <c r="BU125" s="36"/>
      <c r="BV125" s="36"/>
      <c r="BW125" s="36"/>
      <c r="CM125" s="36"/>
      <c r="DB125" s="36"/>
      <c r="DC125" s="36"/>
      <c r="DD125" s="36"/>
      <c r="DE125" s="36"/>
      <c r="DF125" s="36"/>
      <c r="DG125" s="36"/>
      <c r="DH125" s="36"/>
      <c r="DI125" s="402"/>
      <c r="DJ125" s="402"/>
      <c r="EO125" s="443"/>
      <c r="FB125" s="36"/>
      <c r="FD125" s="144"/>
    </row>
    <row r="126" spans="46:160" ht="24.95" customHeight="1">
      <c r="AT126" s="153"/>
      <c r="BC126" s="576"/>
      <c r="BQ126" s="36"/>
      <c r="BR126" s="36"/>
      <c r="BS126" s="36"/>
      <c r="BT126" s="36"/>
      <c r="BU126" s="36"/>
      <c r="BV126" s="36"/>
      <c r="BW126" s="36"/>
      <c r="CM126" s="36"/>
      <c r="DB126" s="36"/>
      <c r="DC126" s="36"/>
      <c r="DD126" s="36"/>
      <c r="DE126" s="36"/>
      <c r="DF126" s="36"/>
      <c r="DG126" s="36"/>
      <c r="DH126" s="36"/>
      <c r="DI126" s="402"/>
      <c r="DJ126" s="402"/>
      <c r="EO126" s="443"/>
      <c r="FB126" s="36"/>
      <c r="FD126" s="144"/>
    </row>
    <row r="127" spans="46:160" ht="24.95" customHeight="1">
      <c r="AT127" s="153"/>
      <c r="BC127" s="576"/>
      <c r="BQ127" s="36"/>
      <c r="BR127" s="36"/>
      <c r="BS127" s="36"/>
      <c r="BT127" s="36"/>
      <c r="BU127" s="36"/>
      <c r="BV127" s="36"/>
      <c r="BW127" s="36"/>
      <c r="CM127" s="36"/>
      <c r="DB127" s="36"/>
      <c r="DC127" s="36"/>
      <c r="DD127" s="36"/>
      <c r="DE127" s="36"/>
      <c r="DF127" s="36"/>
      <c r="DG127" s="36"/>
      <c r="DH127" s="36"/>
      <c r="DI127" s="402"/>
      <c r="DJ127" s="402"/>
      <c r="EO127" s="443"/>
      <c r="FB127" s="36"/>
      <c r="FD127" s="144"/>
    </row>
    <row r="128" spans="46:160" ht="24.95" customHeight="1">
      <c r="AT128" s="153"/>
      <c r="BC128" s="576"/>
      <c r="BQ128" s="36"/>
      <c r="BR128" s="36"/>
      <c r="BS128" s="36"/>
      <c r="BT128" s="36"/>
      <c r="BU128" s="36"/>
      <c r="BV128" s="36"/>
      <c r="BW128" s="36"/>
      <c r="CM128" s="36"/>
      <c r="DB128" s="36"/>
      <c r="DC128" s="36"/>
      <c r="DD128" s="36"/>
      <c r="DE128" s="36"/>
      <c r="DF128" s="36"/>
      <c r="DG128" s="36"/>
      <c r="DH128" s="36"/>
      <c r="DI128" s="402"/>
      <c r="DJ128" s="402"/>
      <c r="EO128" s="443"/>
      <c r="FB128" s="36"/>
      <c r="FD128" s="144"/>
    </row>
    <row r="129" spans="34:169" ht="24.95" customHeight="1">
      <c r="AT129" s="153"/>
      <c r="BC129" s="576"/>
      <c r="BQ129" s="36"/>
      <c r="BR129" s="36"/>
      <c r="BS129" s="36"/>
      <c r="BT129" s="36"/>
      <c r="BU129" s="36"/>
      <c r="BV129" s="36"/>
      <c r="BW129" s="36"/>
      <c r="CM129" s="36"/>
      <c r="DB129" s="36"/>
      <c r="DC129" s="36"/>
      <c r="DD129" s="36"/>
      <c r="DE129" s="36"/>
      <c r="DF129" s="36"/>
      <c r="DG129" s="36"/>
      <c r="DH129" s="36"/>
      <c r="DI129" s="402"/>
      <c r="DJ129" s="402"/>
      <c r="EO129" s="443"/>
      <c r="FB129" s="36"/>
      <c r="FD129" s="144"/>
    </row>
    <row r="130" spans="34:169" ht="24.95" customHeight="1">
      <c r="AT130" s="153"/>
      <c r="BQ130" s="36"/>
      <c r="BR130" s="36"/>
      <c r="BS130" s="36"/>
      <c r="BT130" s="36"/>
      <c r="BU130" s="36"/>
      <c r="BV130" s="36"/>
      <c r="BW130" s="36"/>
      <c r="CM130" s="36"/>
      <c r="DB130" s="36"/>
      <c r="DC130" s="36"/>
      <c r="DD130" s="36"/>
      <c r="DE130" s="36"/>
      <c r="DF130" s="36"/>
      <c r="DG130" s="36"/>
      <c r="DH130" s="36"/>
      <c r="DI130" s="402"/>
      <c r="DJ130" s="402"/>
      <c r="EO130" s="443"/>
      <c r="FB130" s="36"/>
      <c r="FD130" s="144"/>
    </row>
    <row r="131" spans="34:169" ht="24.95" customHeight="1">
      <c r="AT131" s="153"/>
      <c r="BQ131" s="36"/>
      <c r="BR131" s="36"/>
      <c r="BS131" s="36"/>
      <c r="BT131" s="36"/>
      <c r="BU131" s="36"/>
      <c r="BV131" s="36"/>
      <c r="BW131" s="36"/>
      <c r="CM131" s="36"/>
      <c r="DB131" s="36"/>
      <c r="DC131" s="36"/>
      <c r="DD131" s="36"/>
      <c r="DE131" s="36"/>
      <c r="DF131" s="36"/>
      <c r="DG131" s="36"/>
      <c r="DH131" s="36"/>
      <c r="DI131" s="402"/>
      <c r="DJ131" s="402"/>
      <c r="EO131" s="443"/>
      <c r="FB131" s="36"/>
      <c r="FD131" s="144"/>
    </row>
    <row r="132" spans="34:169" ht="24.95" customHeight="1">
      <c r="AT132" s="153"/>
      <c r="BC132" s="576"/>
      <c r="BQ132" s="36"/>
      <c r="BR132" s="36"/>
      <c r="BS132" s="36"/>
      <c r="BT132" s="36"/>
      <c r="BU132" s="36"/>
      <c r="BV132" s="36"/>
      <c r="BW132" s="36"/>
      <c r="CM132" s="36"/>
      <c r="DB132" s="36"/>
      <c r="DC132" s="36"/>
      <c r="DD132" s="36"/>
      <c r="DE132" s="36"/>
      <c r="DF132" s="36"/>
      <c r="DG132" s="36"/>
      <c r="DH132" s="36"/>
      <c r="DI132" s="402"/>
      <c r="DJ132" s="402"/>
      <c r="EO132" s="443"/>
      <c r="FB132" s="36"/>
      <c r="FD132" s="144"/>
    </row>
    <row r="133" spans="34:169" ht="24.95" customHeight="1">
      <c r="AT133" s="153"/>
      <c r="BC133" s="576"/>
      <c r="BQ133" s="36"/>
      <c r="BR133" s="36"/>
      <c r="BS133" s="36"/>
      <c r="BT133" s="36"/>
      <c r="BU133" s="36"/>
      <c r="BV133" s="36"/>
      <c r="BW133" s="36"/>
      <c r="CM133" s="36"/>
      <c r="DB133" s="36"/>
      <c r="DC133" s="36"/>
      <c r="DD133" s="36"/>
      <c r="DE133" s="36"/>
      <c r="DF133" s="36"/>
      <c r="DG133" s="36"/>
      <c r="DH133" s="36"/>
      <c r="DI133" s="402"/>
      <c r="DJ133" s="402"/>
      <c r="EO133" s="443"/>
      <c r="FB133" s="36"/>
      <c r="FD133" s="144"/>
    </row>
    <row r="134" spans="34:169" ht="24.95" customHeight="1">
      <c r="AT134" s="153"/>
      <c r="BC134" s="576"/>
      <c r="BQ134" s="36"/>
      <c r="BR134" s="36"/>
      <c r="BS134" s="36"/>
      <c r="BT134" s="36"/>
      <c r="BU134" s="36"/>
      <c r="BV134" s="36"/>
      <c r="BW134" s="36"/>
      <c r="CM134" s="36"/>
      <c r="DB134" s="36"/>
      <c r="DC134" s="36"/>
      <c r="DD134" s="36"/>
      <c r="DE134" s="36"/>
      <c r="DF134" s="36"/>
      <c r="DG134" s="36"/>
      <c r="DH134" s="36"/>
      <c r="DI134" s="402"/>
      <c r="DJ134" s="402"/>
      <c r="EO134" s="443"/>
      <c r="FB134" s="36"/>
      <c r="FD134" s="144"/>
    </row>
    <row r="135" spans="34:169" ht="24.95" customHeight="1">
      <c r="AT135" s="153"/>
      <c r="BC135" s="576"/>
      <c r="BQ135" s="36"/>
      <c r="BR135" s="36"/>
      <c r="BS135" s="36"/>
      <c r="BT135" s="36"/>
      <c r="BU135" s="36"/>
      <c r="BV135" s="36"/>
      <c r="BW135" s="36"/>
      <c r="CM135" s="36"/>
      <c r="DB135" s="36"/>
      <c r="DC135" s="36"/>
      <c r="DD135" s="36"/>
      <c r="DE135" s="36"/>
      <c r="DF135" s="36"/>
      <c r="DG135" s="36"/>
      <c r="DH135" s="36"/>
      <c r="DI135" s="402"/>
      <c r="DJ135" s="402"/>
      <c r="EO135" s="443"/>
      <c r="FB135" s="36"/>
      <c r="FD135" s="144"/>
      <c r="FM135" s="144"/>
    </row>
    <row r="136" spans="34:169" ht="24.95" customHeight="1">
      <c r="AT136" s="153"/>
      <c r="BC136" s="576"/>
      <c r="BQ136" s="36"/>
      <c r="BR136" s="36"/>
      <c r="BS136" s="36"/>
      <c r="BT136" s="36"/>
      <c r="BU136" s="36"/>
      <c r="BV136" s="36"/>
      <c r="BW136" s="36"/>
      <c r="CM136" s="36"/>
      <c r="DB136" s="36"/>
      <c r="DC136" s="36"/>
      <c r="DD136" s="36"/>
      <c r="DE136" s="36"/>
      <c r="DF136" s="36"/>
      <c r="DG136" s="36"/>
      <c r="DH136" s="36"/>
      <c r="DI136" s="402"/>
      <c r="DJ136" s="402"/>
      <c r="EO136" s="443"/>
      <c r="FB136" s="36"/>
    </row>
    <row r="137" spans="34:169" ht="24.95" customHeight="1">
      <c r="AT137" s="153"/>
      <c r="BC137" s="576"/>
      <c r="BQ137" s="36"/>
      <c r="BR137" s="36"/>
      <c r="BS137" s="36"/>
      <c r="BT137" s="36"/>
      <c r="BU137" s="36"/>
      <c r="BV137" s="36"/>
      <c r="BW137" s="36"/>
      <c r="CM137" s="36"/>
      <c r="DB137" s="36"/>
      <c r="DC137" s="36"/>
      <c r="DD137" s="36"/>
      <c r="DE137" s="36"/>
      <c r="DF137" s="36"/>
      <c r="DG137" s="36"/>
      <c r="DH137" s="36"/>
      <c r="DI137" s="402"/>
      <c r="DJ137" s="402"/>
      <c r="EO137" s="443"/>
      <c r="EU137" s="144"/>
      <c r="FB137" s="36"/>
    </row>
    <row r="138" spans="34:169" ht="24.95" customHeight="1">
      <c r="AT138" s="153"/>
      <c r="BC138" s="576"/>
      <c r="BQ138" s="36"/>
      <c r="BR138" s="36"/>
      <c r="BS138" s="36"/>
      <c r="BT138" s="36"/>
      <c r="BU138" s="36"/>
      <c r="BV138" s="36"/>
      <c r="BW138" s="36"/>
      <c r="CH138" s="397"/>
      <c r="CI138" s="397"/>
      <c r="CJ138" s="397"/>
      <c r="CK138" s="397"/>
      <c r="CL138" s="397"/>
      <c r="DB138" s="397"/>
      <c r="DC138" s="397"/>
      <c r="DD138" s="397"/>
      <c r="DE138" s="397"/>
      <c r="DF138" s="397"/>
      <c r="DG138" s="397"/>
      <c r="DH138" s="397"/>
      <c r="DI138" s="402"/>
      <c r="DJ138" s="402"/>
      <c r="EQ138" s="144"/>
      <c r="EU138" s="144"/>
      <c r="FB138" s="36"/>
      <c r="FG138" s="144"/>
    </row>
    <row r="139" spans="34:169">
      <c r="AT139" s="153"/>
      <c r="AV139" s="153"/>
      <c r="BC139" s="576"/>
      <c r="DI139" s="402"/>
      <c r="DJ139" s="402"/>
      <c r="EU139" s="144"/>
      <c r="FB139" s="36"/>
    </row>
    <row r="140" spans="34:169">
      <c r="AT140" s="153"/>
      <c r="BC140" s="576"/>
      <c r="CK140" s="578"/>
      <c r="CL140" s="153"/>
      <c r="CM140" s="397"/>
      <c r="DI140" s="402"/>
      <c r="DJ140" s="402"/>
    </row>
    <row r="141" spans="34:169">
      <c r="AT141" s="153"/>
      <c r="BC141" s="576"/>
      <c r="CK141" s="578"/>
      <c r="CL141" s="153"/>
      <c r="CM141" s="397"/>
      <c r="DI141" s="402"/>
      <c r="DJ141" s="402"/>
    </row>
    <row r="142" spans="34:169">
      <c r="AT142" s="153"/>
      <c r="BC142" s="576"/>
      <c r="CK142" s="578"/>
      <c r="CL142" s="153"/>
      <c r="CM142" s="397"/>
      <c r="DI142" s="402"/>
      <c r="DJ142" s="402"/>
    </row>
    <row r="143" spans="34:169">
      <c r="AH143" s="153"/>
      <c r="BC143" s="576"/>
      <c r="CK143" s="578"/>
      <c r="CL143" s="153"/>
      <c r="CM143" s="397"/>
      <c r="DI143" s="402"/>
      <c r="DJ143" s="402"/>
    </row>
    <row r="144" spans="34:169">
      <c r="BC144" s="576"/>
      <c r="CK144" s="578"/>
      <c r="CM144" s="397"/>
      <c r="DI144" s="402"/>
      <c r="DJ144" s="402"/>
    </row>
    <row r="145" spans="55:116">
      <c r="BC145" s="576"/>
      <c r="CK145" s="578"/>
      <c r="CM145" s="397"/>
      <c r="DI145" s="402"/>
      <c r="DJ145" s="402"/>
    </row>
    <row r="146" spans="55:116">
      <c r="BC146" s="576"/>
      <c r="CH146" s="417"/>
      <c r="CI146" s="153"/>
      <c r="CJ146" s="417"/>
      <c r="DI146" s="402"/>
      <c r="DJ146" s="402"/>
    </row>
    <row r="147" spans="55:116">
      <c r="BC147" s="576"/>
      <c r="CH147" s="417"/>
      <c r="CI147" s="153"/>
      <c r="CJ147" s="417"/>
      <c r="DI147" s="402"/>
      <c r="DJ147" s="402"/>
    </row>
    <row r="148" spans="55:116">
      <c r="BC148" s="576"/>
      <c r="DI148" s="402"/>
      <c r="DJ148" s="402"/>
    </row>
    <row r="149" spans="55:116">
      <c r="BC149" s="576"/>
      <c r="DI149" s="402"/>
      <c r="DJ149" s="402"/>
    </row>
    <row r="150" spans="55:116">
      <c r="BC150" s="576"/>
      <c r="DI150" s="402"/>
      <c r="DJ150" s="402"/>
    </row>
    <row r="151" spans="55:116">
      <c r="BC151" s="576"/>
      <c r="DI151" s="402"/>
      <c r="DJ151" s="402"/>
    </row>
    <row r="152" spans="55:116">
      <c r="BC152" s="576"/>
      <c r="DI152" s="402"/>
      <c r="DJ152" s="402"/>
    </row>
    <row r="153" spans="55:116">
      <c r="BC153" s="576"/>
      <c r="DI153" s="402"/>
      <c r="DJ153" s="402"/>
    </row>
    <row r="154" spans="55:116">
      <c r="BC154" s="576"/>
      <c r="DI154" s="402"/>
      <c r="DJ154" s="402"/>
    </row>
    <row r="155" spans="55:116">
      <c r="BC155" s="576"/>
      <c r="DI155" s="402"/>
      <c r="DJ155" s="402"/>
    </row>
    <row r="156" spans="55:116">
      <c r="BC156" s="576"/>
      <c r="DI156" s="402"/>
      <c r="DJ156" s="402"/>
    </row>
    <row r="157" spans="55:116">
      <c r="BC157" s="576"/>
      <c r="DI157" s="402"/>
      <c r="DJ157" s="402"/>
    </row>
    <row r="158" spans="55:116">
      <c r="BC158" s="576"/>
      <c r="DI158" s="402"/>
      <c r="DJ158" s="402"/>
    </row>
    <row r="159" spans="55:116">
      <c r="BC159" s="576"/>
      <c r="DI159" s="402"/>
      <c r="DJ159" s="402"/>
    </row>
    <row r="160" spans="55:116">
      <c r="BC160" s="576"/>
      <c r="DI160" s="402"/>
      <c r="DJ160" s="402"/>
      <c r="DK160" s="401"/>
      <c r="DL160" s="401"/>
    </row>
    <row r="161" spans="55:55">
      <c r="BC161" s="576"/>
    </row>
    <row r="162" spans="55:55">
      <c r="BC162" s="576"/>
    </row>
    <row r="163" spans="55:55">
      <c r="BC163" s="576"/>
    </row>
    <row r="164" spans="55:55">
      <c r="BC164" s="576"/>
    </row>
    <row r="165" spans="55:55">
      <c r="BC165" s="576"/>
    </row>
    <row r="166" spans="55:55">
      <c r="BC166" s="576"/>
    </row>
    <row r="167" spans="55:55">
      <c r="BC167" s="576"/>
    </row>
    <row r="168" spans="55:55">
      <c r="BC168" s="576"/>
    </row>
    <row r="169" spans="55:55">
      <c r="BC169" s="576"/>
    </row>
    <row r="170" spans="55:55">
      <c r="BC170" s="576"/>
    </row>
    <row r="171" spans="55:55">
      <c r="BC171" s="576"/>
    </row>
    <row r="172" spans="55:55">
      <c r="BC172" s="576"/>
    </row>
    <row r="173" spans="55:55">
      <c r="BC173" s="576"/>
    </row>
    <row r="188" spans="86:88">
      <c r="CH188" s="578"/>
      <c r="CI188" s="153"/>
      <c r="CJ188" s="153"/>
    </row>
    <row r="189" spans="86:88">
      <c r="CH189" s="578"/>
      <c r="CI189" s="153"/>
      <c r="CJ189" s="153"/>
    </row>
    <row r="190" spans="86:88">
      <c r="CH190" s="578"/>
      <c r="CI190" s="153"/>
      <c r="CJ190" s="153"/>
    </row>
    <row r="191" spans="86:88">
      <c r="CH191" s="578"/>
      <c r="CI191" s="153"/>
      <c r="CJ191" s="153"/>
    </row>
    <row r="192" spans="86:88">
      <c r="CH192" s="578"/>
      <c r="CI192" s="153"/>
      <c r="CJ192" s="153"/>
    </row>
    <row r="193" spans="86:88">
      <c r="CH193" s="578"/>
      <c r="CI193" s="153"/>
      <c r="CJ193" s="153"/>
    </row>
    <row r="194" spans="86:88">
      <c r="CH194" s="578"/>
      <c r="CI194" s="153"/>
      <c r="CJ194" s="153"/>
    </row>
    <row r="195" spans="86:88">
      <c r="CH195" s="578"/>
      <c r="CI195" s="153"/>
      <c r="CJ195" s="153"/>
    </row>
    <row r="196" spans="86:88">
      <c r="CH196" s="578"/>
      <c r="CI196" s="153"/>
      <c r="CJ196" s="153"/>
    </row>
    <row r="197" spans="86:88">
      <c r="CH197" s="578"/>
      <c r="CI197" s="153"/>
      <c r="CJ197" s="153"/>
    </row>
    <row r="198" spans="86:88">
      <c r="CH198" s="578"/>
      <c r="CI198" s="153"/>
      <c r="CJ198" s="153"/>
    </row>
    <row r="199" spans="86:88">
      <c r="CH199" s="578"/>
      <c r="CI199" s="153"/>
      <c r="CJ199" s="153"/>
    </row>
    <row r="200" spans="86:88">
      <c r="CH200" s="578"/>
      <c r="CI200" s="153"/>
      <c r="CJ200" s="153"/>
    </row>
    <row r="201" spans="86:88">
      <c r="CH201" s="578"/>
      <c r="CI201" s="153"/>
      <c r="CJ201" s="153"/>
    </row>
    <row r="202" spans="86:88">
      <c r="CH202" s="578"/>
      <c r="CI202" s="153"/>
      <c r="CJ202" s="153"/>
    </row>
    <row r="203" spans="86:88">
      <c r="CH203" s="578"/>
      <c r="CI203" s="153"/>
      <c r="CJ203" s="153"/>
    </row>
    <row r="204" spans="86:88">
      <c r="CH204" s="578"/>
      <c r="CI204" s="153"/>
      <c r="CJ204" s="153"/>
    </row>
    <row r="205" spans="86:88">
      <c r="CH205" s="578"/>
      <c r="CI205" s="153"/>
      <c r="CJ205" s="153"/>
    </row>
    <row r="206" spans="86:88">
      <c r="CH206" s="578"/>
      <c r="CI206" s="153"/>
      <c r="CJ206" s="153"/>
    </row>
    <row r="207" spans="86:88">
      <c r="CH207" s="578"/>
      <c r="CI207" s="153"/>
      <c r="CJ207" s="153"/>
    </row>
    <row r="208" spans="86:88">
      <c r="CH208" s="578"/>
      <c r="CI208" s="153"/>
      <c r="CJ208" s="153"/>
    </row>
    <row r="209" spans="86:88">
      <c r="CH209" s="578"/>
      <c r="CI209" s="153"/>
      <c r="CJ209" s="153"/>
    </row>
    <row r="210" spans="86:88">
      <c r="CH210" s="578"/>
      <c r="CI210" s="153"/>
      <c r="CJ210" s="153"/>
    </row>
    <row r="211" spans="86:88">
      <c r="CH211" s="578"/>
      <c r="CI211" s="153"/>
      <c r="CJ211" s="153"/>
    </row>
    <row r="212" spans="86:88">
      <c r="CH212" s="578"/>
      <c r="CI212" s="153"/>
      <c r="CJ212" s="153"/>
    </row>
    <row r="213" spans="86:88">
      <c r="CH213" s="578"/>
      <c r="CI213" s="153"/>
      <c r="CJ213" s="153"/>
    </row>
    <row r="214" spans="86:88">
      <c r="CH214" s="578"/>
      <c r="CI214" s="153"/>
      <c r="CJ214" s="153"/>
    </row>
    <row r="215" spans="86:88">
      <c r="CH215" s="578"/>
      <c r="CI215" s="153"/>
      <c r="CJ215" s="153"/>
    </row>
    <row r="216" spans="86:88">
      <c r="CH216" s="578"/>
      <c r="CI216" s="153"/>
      <c r="CJ216" s="153"/>
    </row>
    <row r="217" spans="86:88">
      <c r="CH217" s="578"/>
      <c r="CI217" s="153"/>
      <c r="CJ217" s="153"/>
    </row>
    <row r="218" spans="86:88">
      <c r="CH218" s="578"/>
      <c r="CI218" s="153"/>
      <c r="CJ218" s="153"/>
    </row>
    <row r="219" spans="86:88">
      <c r="CH219" s="578"/>
      <c r="CI219" s="153"/>
      <c r="CJ219" s="153"/>
    </row>
    <row r="220" spans="86:88">
      <c r="CH220" s="578"/>
      <c r="CI220" s="153"/>
      <c r="CJ220" s="153"/>
    </row>
    <row r="221" spans="86:88">
      <c r="CH221" s="578"/>
      <c r="CI221" s="153"/>
      <c r="CJ221" s="153"/>
    </row>
    <row r="222" spans="86:88">
      <c r="CH222" s="578"/>
      <c r="CI222" s="153"/>
      <c r="CJ222" s="153"/>
    </row>
    <row r="223" spans="86:88">
      <c r="CH223" s="578"/>
      <c r="CI223" s="153"/>
      <c r="CJ223" s="153"/>
    </row>
    <row r="224" spans="86:88">
      <c r="CH224" s="578"/>
      <c r="CI224" s="153"/>
      <c r="CJ224" s="153"/>
    </row>
  </sheetData>
  <sheetProtection formatCells="0" formatColumns="0" formatRows="0" insertColumns="0" insertRows="0" insertHyperlinks="0" deleteColumns="0" deleteRows="0" sort="0"/>
  <mergeCells count="551">
    <mergeCell ref="FJ16:FM16"/>
    <mergeCell ref="FJ17:FM17"/>
    <mergeCell ref="FJ18:FM18"/>
    <mergeCell ref="FJ19:FM19"/>
    <mergeCell ref="FJ20:FM20"/>
    <mergeCell ref="FJ21:FM21"/>
    <mergeCell ref="FJ22:FM22"/>
    <mergeCell ref="FJ23:FM23"/>
    <mergeCell ref="A3:B3"/>
    <mergeCell ref="DZ11:DZ12"/>
    <mergeCell ref="DZ15:DZ16"/>
    <mergeCell ref="DZ19:DZ20"/>
    <mergeCell ref="DQ6:DS6"/>
    <mergeCell ref="CG8:CL8"/>
    <mergeCell ref="DE4:DE5"/>
    <mergeCell ref="BL16:CF16"/>
    <mergeCell ref="DQ31:DQ32"/>
    <mergeCell ref="DQ11:DQ12"/>
    <mergeCell ref="DQ27:DQ28"/>
    <mergeCell ref="DQ23:DQ24"/>
    <mergeCell ref="DQ8:DV8"/>
    <mergeCell ref="CG15:CG16"/>
    <mergeCell ref="CI15:CK15"/>
    <mergeCell ref="DZ31:DZ32"/>
    <mergeCell ref="DW31:DW32"/>
    <mergeCell ref="CI31:CK31"/>
    <mergeCell ref="DS11:DU11"/>
    <mergeCell ref="DS12:DU12"/>
    <mergeCell ref="DS15:DU15"/>
    <mergeCell ref="DS16:DU16"/>
    <mergeCell ref="CM23:CM24"/>
    <mergeCell ref="CG23:CG24"/>
    <mergeCell ref="CI23:CK23"/>
    <mergeCell ref="CI24:CK24"/>
    <mergeCell ref="EG37:EG38"/>
    <mergeCell ref="EG61:EG62"/>
    <mergeCell ref="EH61:EJ61"/>
    <mergeCell ref="EH62:EJ62"/>
    <mergeCell ref="EH37:EJ37"/>
    <mergeCell ref="EH38:EJ38"/>
    <mergeCell ref="EE11:EE12"/>
    <mergeCell ref="EE15:EE16"/>
    <mergeCell ref="EG21:EG22"/>
    <mergeCell ref="EH21:EJ21"/>
    <mergeCell ref="EH22:EJ22"/>
    <mergeCell ref="EG29:EG30"/>
    <mergeCell ref="EH29:EJ29"/>
    <mergeCell ref="EH30:EJ30"/>
    <mergeCell ref="EH53:EJ53"/>
    <mergeCell ref="EH54:EJ54"/>
    <mergeCell ref="AI88:AI91"/>
    <mergeCell ref="AJ88:AJ89"/>
    <mergeCell ref="AJ90:AJ91"/>
    <mergeCell ref="DQ67:DQ68"/>
    <mergeCell ref="DQ71:DQ72"/>
    <mergeCell ref="AI96:AI99"/>
    <mergeCell ref="AJ96:AJ97"/>
    <mergeCell ref="AJ98:AJ99"/>
    <mergeCell ref="AI92:AI95"/>
    <mergeCell ref="AJ92:AJ93"/>
    <mergeCell ref="AJ94:AJ95"/>
    <mergeCell ref="AO96:AO99"/>
    <mergeCell ref="AO92:AO95"/>
    <mergeCell ref="AP96:AP97"/>
    <mergeCell ref="AP98:AP99"/>
    <mergeCell ref="AU96:AU99"/>
    <mergeCell ref="AV97:AV98"/>
    <mergeCell ref="AV93:AV94"/>
    <mergeCell ref="AU76:AU79"/>
    <mergeCell ref="AO88:AO91"/>
    <mergeCell ref="AU80:AU83"/>
    <mergeCell ref="AI76:AI79"/>
    <mergeCell ref="AJ76:AJ77"/>
    <mergeCell ref="AJ78:AJ79"/>
    <mergeCell ref="AI80:AI83"/>
    <mergeCell ref="AJ80:AJ81"/>
    <mergeCell ref="AJ82:AJ83"/>
    <mergeCell ref="AI84:AI87"/>
    <mergeCell ref="AJ84:AJ85"/>
    <mergeCell ref="AJ86:AJ87"/>
    <mergeCell ref="AI64:AI67"/>
    <mergeCell ref="AJ64:AJ65"/>
    <mergeCell ref="AJ66:AJ67"/>
    <mergeCell ref="AI68:AI71"/>
    <mergeCell ref="AJ68:AJ69"/>
    <mergeCell ref="AJ70:AJ71"/>
    <mergeCell ref="AI72:AI75"/>
    <mergeCell ref="AJ72:AJ73"/>
    <mergeCell ref="AJ74:AJ75"/>
    <mergeCell ref="AI52:AI55"/>
    <mergeCell ref="AJ52:AJ53"/>
    <mergeCell ref="AJ54:AJ55"/>
    <mergeCell ref="AI56:AI59"/>
    <mergeCell ref="AJ56:AJ57"/>
    <mergeCell ref="AJ58:AJ59"/>
    <mergeCell ref="AI60:AI63"/>
    <mergeCell ref="AJ60:AJ61"/>
    <mergeCell ref="AJ62:AJ63"/>
    <mergeCell ref="AJ42:AJ43"/>
    <mergeCell ref="AI44:AI47"/>
    <mergeCell ref="AJ44:AJ45"/>
    <mergeCell ref="AJ46:AJ47"/>
    <mergeCell ref="AI48:AI51"/>
    <mergeCell ref="AJ48:AJ49"/>
    <mergeCell ref="AJ50:AJ51"/>
    <mergeCell ref="AJ30:AJ31"/>
    <mergeCell ref="AI32:AI35"/>
    <mergeCell ref="AJ32:AJ33"/>
    <mergeCell ref="AJ34:AJ35"/>
    <mergeCell ref="AI40:AI43"/>
    <mergeCell ref="AJ40:AJ41"/>
    <mergeCell ref="AI28:AI31"/>
    <mergeCell ref="AJ28:AJ29"/>
    <mergeCell ref="AO32:AO35"/>
    <mergeCell ref="AO28:AO31"/>
    <mergeCell ref="AI36:AI39"/>
    <mergeCell ref="AJ36:AJ37"/>
    <mergeCell ref="AJ38:AJ39"/>
    <mergeCell ref="D3:E3"/>
    <mergeCell ref="I8:M8"/>
    <mergeCell ref="P8:T8"/>
    <mergeCell ref="A10:F10"/>
    <mergeCell ref="J10:K11"/>
    <mergeCell ref="P10:Q11"/>
    <mergeCell ref="R10:S11"/>
    <mergeCell ref="A11:F11"/>
    <mergeCell ref="H3:I3"/>
    <mergeCell ref="J3:M3"/>
    <mergeCell ref="B5:C5"/>
    <mergeCell ref="D5:F5"/>
    <mergeCell ref="H5:I5"/>
    <mergeCell ref="J5:L5"/>
    <mergeCell ref="U5:W5"/>
    <mergeCell ref="C15:D15"/>
    <mergeCell ref="A17:C17"/>
    <mergeCell ref="A18:C18"/>
    <mergeCell ref="B20:E20"/>
    <mergeCell ref="AO24:AO27"/>
    <mergeCell ref="AI20:AI23"/>
    <mergeCell ref="AJ20:AJ21"/>
    <mergeCell ref="AJ22:AJ23"/>
    <mergeCell ref="AI24:AI27"/>
    <mergeCell ref="AJ24:AJ25"/>
    <mergeCell ref="AJ26:AJ27"/>
    <mergeCell ref="DZ27:DZ28"/>
    <mergeCell ref="DW27:DW28"/>
    <mergeCell ref="CM27:CM28"/>
    <mergeCell ref="CI27:CK27"/>
    <mergeCell ref="AZ20:AZ23"/>
    <mergeCell ref="AZ24:AZ27"/>
    <mergeCell ref="AP22:AP23"/>
    <mergeCell ref="AP28:AP29"/>
    <mergeCell ref="DS27:DU27"/>
    <mergeCell ref="DS20:DU20"/>
    <mergeCell ref="DS24:DU24"/>
    <mergeCell ref="BN20:CF20"/>
    <mergeCell ref="DQ19:DQ20"/>
    <mergeCell ref="DS23:DU23"/>
    <mergeCell ref="DS19:DU19"/>
    <mergeCell ref="BE19:CF19"/>
    <mergeCell ref="BP24:CF24"/>
    <mergeCell ref="EU60:EU61"/>
    <mergeCell ref="FB61:FD61"/>
    <mergeCell ref="FB28:FD28"/>
    <mergeCell ref="FB27:FD27"/>
    <mergeCell ref="EV18:EX18"/>
    <mergeCell ref="EV19:EX19"/>
    <mergeCell ref="EU18:EU19"/>
    <mergeCell ref="FA27:FA28"/>
    <mergeCell ref="FA50:FE50"/>
    <mergeCell ref="FB52:FD52"/>
    <mergeCell ref="EU56:FE56"/>
    <mergeCell ref="FB53:FD53"/>
    <mergeCell ref="EV60:EX60"/>
    <mergeCell ref="EV61:EX61"/>
    <mergeCell ref="AP92:AP93"/>
    <mergeCell ref="AP88:AP89"/>
    <mergeCell ref="AV89:AV90"/>
    <mergeCell ref="AU92:AU95"/>
    <mergeCell ref="AP90:AP91"/>
    <mergeCell ref="AP94:AP95"/>
    <mergeCell ref="AU88:AU91"/>
    <mergeCell ref="AP74:AP75"/>
    <mergeCell ref="EA64:EC64"/>
    <mergeCell ref="DS71:DU71"/>
    <mergeCell ref="DS72:DU72"/>
    <mergeCell ref="DW63:DW64"/>
    <mergeCell ref="DW71:DW72"/>
    <mergeCell ref="CI63:CK63"/>
    <mergeCell ref="CG67:CG68"/>
    <mergeCell ref="DZ63:DZ64"/>
    <mergeCell ref="DZ67:DZ68"/>
    <mergeCell ref="DZ71:DZ72"/>
    <mergeCell ref="CU68:DP68"/>
    <mergeCell ref="CT72:DP72"/>
    <mergeCell ref="CY64:DP64"/>
    <mergeCell ref="CW64:CX64"/>
    <mergeCell ref="CO71:DP71"/>
    <mergeCell ref="CI71:CK71"/>
    <mergeCell ref="EG45:EG46"/>
    <mergeCell ref="EH45:EJ45"/>
    <mergeCell ref="EH46:EJ46"/>
    <mergeCell ref="EE59:EE60"/>
    <mergeCell ref="DZ51:DZ52"/>
    <mergeCell ref="DZ55:DZ56"/>
    <mergeCell ref="DZ59:DZ60"/>
    <mergeCell ref="AP52:AP53"/>
    <mergeCell ref="AP44:AP45"/>
    <mergeCell ref="AP46:AP47"/>
    <mergeCell ref="AP60:AP61"/>
    <mergeCell ref="DZ43:DZ44"/>
    <mergeCell ref="EA56:EC56"/>
    <mergeCell ref="AP48:AP49"/>
    <mergeCell ref="CI55:CK55"/>
    <mergeCell ref="CI51:CK51"/>
    <mergeCell ref="CM43:CM44"/>
    <mergeCell ref="CM55:CM56"/>
    <mergeCell ref="CM47:CM48"/>
    <mergeCell ref="DS48:DU48"/>
    <mergeCell ref="DA44:DB44"/>
    <mergeCell ref="AP30:AP31"/>
    <mergeCell ref="AP26:AP27"/>
    <mergeCell ref="AP42:AP43"/>
    <mergeCell ref="AO36:AO39"/>
    <mergeCell ref="AV65:AV66"/>
    <mergeCell ref="AU68:AU71"/>
    <mergeCell ref="AV69:AV70"/>
    <mergeCell ref="AO84:AO87"/>
    <mergeCell ref="AP84:AP85"/>
    <mergeCell ref="AP86:AP87"/>
    <mergeCell ref="AV77:AV78"/>
    <mergeCell ref="AV85:AV86"/>
    <mergeCell ref="AU84:AU87"/>
    <mergeCell ref="AP36:AP37"/>
    <mergeCell ref="AO76:AO79"/>
    <mergeCell ref="AP76:AP77"/>
    <mergeCell ref="AP78:AP79"/>
    <mergeCell ref="AO80:AO83"/>
    <mergeCell ref="AP80:AP81"/>
    <mergeCell ref="AP82:AP83"/>
    <mergeCell ref="AV81:AV82"/>
    <mergeCell ref="AO64:AO67"/>
    <mergeCell ref="AO60:AO63"/>
    <mergeCell ref="AP38:AP39"/>
    <mergeCell ref="AU72:AU75"/>
    <mergeCell ref="AV73:AV74"/>
    <mergeCell ref="EE43:EE44"/>
    <mergeCell ref="EE35:EE36"/>
    <mergeCell ref="EE39:EE40"/>
    <mergeCell ref="CM39:CM40"/>
    <mergeCell ref="CI43:CK43"/>
    <mergeCell ref="DZ47:DZ48"/>
    <mergeCell ref="DS36:DU36"/>
    <mergeCell ref="DZ35:DZ36"/>
    <mergeCell ref="DZ39:DZ40"/>
    <mergeCell ref="DW35:DW36"/>
    <mergeCell ref="DW47:DW48"/>
    <mergeCell ref="DW39:DW40"/>
    <mergeCell ref="DW43:DW44"/>
    <mergeCell ref="CI39:CK39"/>
    <mergeCell ref="CM35:CM36"/>
    <mergeCell ref="CI35:CK35"/>
    <mergeCell ref="DQ35:DQ36"/>
    <mergeCell ref="DW51:DW52"/>
    <mergeCell ref="DS55:DU55"/>
    <mergeCell ref="DS51:DU51"/>
    <mergeCell ref="DS47:DU47"/>
    <mergeCell ref="DS35:DU35"/>
    <mergeCell ref="AO48:AO51"/>
    <mergeCell ref="CM59:CM60"/>
    <mergeCell ref="DQ59:DQ60"/>
    <mergeCell ref="AO56:AO59"/>
    <mergeCell ref="AO44:AO47"/>
    <mergeCell ref="AP56:AP57"/>
    <mergeCell ref="DQ43:DQ44"/>
    <mergeCell ref="DQ55:DQ56"/>
    <mergeCell ref="DQ47:DQ48"/>
    <mergeCell ref="DQ51:DQ52"/>
    <mergeCell ref="AZ52:AZ55"/>
    <mergeCell ref="AO52:AO55"/>
    <mergeCell ref="AO40:AO43"/>
    <mergeCell ref="AP40:AP41"/>
    <mergeCell ref="CM31:CM32"/>
    <mergeCell ref="CG35:CG36"/>
    <mergeCell ref="CG27:CG28"/>
    <mergeCell ref="BX36:CF36"/>
    <mergeCell ref="BV32:CF32"/>
    <mergeCell ref="BS28:CF28"/>
    <mergeCell ref="DS39:DU39"/>
    <mergeCell ref="AZ56:AZ59"/>
    <mergeCell ref="CM51:CM52"/>
    <mergeCell ref="CG39:CG40"/>
    <mergeCell ref="DS43:DU43"/>
    <mergeCell ref="DS28:DU28"/>
    <mergeCell ref="DS32:DU32"/>
    <mergeCell ref="DJ48:DP48"/>
    <mergeCell ref="AZ32:AZ35"/>
    <mergeCell ref="CI48:CK48"/>
    <mergeCell ref="BX48:CF48"/>
    <mergeCell ref="BE47:CF47"/>
    <mergeCell ref="BE43:CF43"/>
    <mergeCell ref="BE31:CF31"/>
    <mergeCell ref="CI47:CK47"/>
    <mergeCell ref="CI28:CK28"/>
    <mergeCell ref="CI36:CK36"/>
    <mergeCell ref="CI40:CK40"/>
    <mergeCell ref="EL29:EL30"/>
    <mergeCell ref="DS31:DU31"/>
    <mergeCell ref="EE27:EE28"/>
    <mergeCell ref="EE31:EE32"/>
    <mergeCell ref="DZ23:DZ24"/>
    <mergeCell ref="DW15:DW16"/>
    <mergeCell ref="DW19:DW20"/>
    <mergeCell ref="EA16:EC16"/>
    <mergeCell ref="EA31:EC31"/>
    <mergeCell ref="EO8:ES8"/>
    <mergeCell ref="EO23:EO24"/>
    <mergeCell ref="EP23:ER23"/>
    <mergeCell ref="EP24:ER24"/>
    <mergeCell ref="CM19:CM20"/>
    <mergeCell ref="EE19:EE20"/>
    <mergeCell ref="EE23:EE24"/>
    <mergeCell ref="DQ15:DQ16"/>
    <mergeCell ref="DW23:DW24"/>
    <mergeCell ref="EL13:EL14"/>
    <mergeCell ref="EL21:EL22"/>
    <mergeCell ref="EA12:EC12"/>
    <mergeCell ref="FH8:FN8"/>
    <mergeCell ref="CG43:CG44"/>
    <mergeCell ref="EG8:EK8"/>
    <mergeCell ref="EG13:EG14"/>
    <mergeCell ref="EO13:EO14"/>
    <mergeCell ref="EP13:ER13"/>
    <mergeCell ref="EP33:ER33"/>
    <mergeCell ref="EU37:EU38"/>
    <mergeCell ref="EV37:EX37"/>
    <mergeCell ref="EV38:EX38"/>
    <mergeCell ref="EP43:ER43"/>
    <mergeCell ref="EA15:EC15"/>
    <mergeCell ref="EA23:EC23"/>
    <mergeCell ref="CI16:CK16"/>
    <mergeCell ref="EU8:EY8"/>
    <mergeCell ref="EH13:EJ13"/>
    <mergeCell ref="EP14:ER14"/>
    <mergeCell ref="CM11:CM12"/>
    <mergeCell ref="CM15:CM16"/>
    <mergeCell ref="FA8:FE8"/>
    <mergeCell ref="DS44:DU44"/>
    <mergeCell ref="EH14:EJ14"/>
    <mergeCell ref="EA11:EC11"/>
    <mergeCell ref="EO33:EO34"/>
    <mergeCell ref="A1:G1"/>
    <mergeCell ref="H1:P1"/>
    <mergeCell ref="DS68:DU68"/>
    <mergeCell ref="DS67:DU67"/>
    <mergeCell ref="DS64:DU64"/>
    <mergeCell ref="DS63:DU63"/>
    <mergeCell ref="DS60:DU60"/>
    <mergeCell ref="DS59:DU59"/>
    <mergeCell ref="AJ18:AM18"/>
    <mergeCell ref="AO18:AS18"/>
    <mergeCell ref="AU18:AY18"/>
    <mergeCell ref="AO68:AO71"/>
    <mergeCell ref="AP68:AP69"/>
    <mergeCell ref="AP70:AP71"/>
    <mergeCell ref="AP66:AP67"/>
    <mergeCell ref="AO20:AO23"/>
    <mergeCell ref="AP20:AP21"/>
    <mergeCell ref="AP62:AP63"/>
    <mergeCell ref="CI12:CK12"/>
    <mergeCell ref="CG11:CG12"/>
    <mergeCell ref="CI11:CK11"/>
    <mergeCell ref="BE39:CF39"/>
    <mergeCell ref="CG31:CG32"/>
    <mergeCell ref="AW10:AZ10"/>
    <mergeCell ref="EA71:EC71"/>
    <mergeCell ref="EA19:EC19"/>
    <mergeCell ref="EA20:EC20"/>
    <mergeCell ref="EA27:EC27"/>
    <mergeCell ref="EA28:EC28"/>
    <mergeCell ref="EA35:EC35"/>
    <mergeCell ref="EA36:EC36"/>
    <mergeCell ref="EA47:EC47"/>
    <mergeCell ref="CG71:CG72"/>
    <mergeCell ref="CG63:CG64"/>
    <mergeCell ref="CI59:CK59"/>
    <mergeCell ref="CM71:CM72"/>
    <mergeCell ref="DS52:DU52"/>
    <mergeCell ref="DS56:DU56"/>
    <mergeCell ref="CI56:CK56"/>
    <mergeCell ref="CI52:CK52"/>
    <mergeCell ref="DG52:DP52"/>
    <mergeCell ref="DE52:DF52"/>
    <mergeCell ref="CG59:CG60"/>
    <mergeCell ref="CG55:CG56"/>
    <mergeCell ref="CO56:DC56"/>
    <mergeCell ref="CO59:DP59"/>
    <mergeCell ref="CO60:CZ60"/>
    <mergeCell ref="CO63:DP63"/>
    <mergeCell ref="EA32:EC32"/>
    <mergeCell ref="EH70:EJ70"/>
    <mergeCell ref="FA58:FE58"/>
    <mergeCell ref="EV58:EX58"/>
    <mergeCell ref="FB66:FD66"/>
    <mergeCell ref="EV67:EX67"/>
    <mergeCell ref="FB67:FD67"/>
    <mergeCell ref="EG53:EG54"/>
    <mergeCell ref="EA52:EC52"/>
    <mergeCell ref="EA55:EC55"/>
    <mergeCell ref="EA59:EC59"/>
    <mergeCell ref="EA60:EC60"/>
    <mergeCell ref="EA63:EC63"/>
    <mergeCell ref="FA64:FE64"/>
    <mergeCell ref="FA52:FA53"/>
    <mergeCell ref="EU66:EU67"/>
    <mergeCell ref="EV66:EX66"/>
    <mergeCell ref="FA66:FA67"/>
    <mergeCell ref="FB60:FD60"/>
    <mergeCell ref="FA60:FA61"/>
    <mergeCell ref="EL37:EL38"/>
    <mergeCell ref="EP34:ER34"/>
    <mergeCell ref="EL45:EL46"/>
    <mergeCell ref="EL53:EL54"/>
    <mergeCell ref="EE71:EE72"/>
    <mergeCell ref="AC2:AE2"/>
    <mergeCell ref="AW8:AZ8"/>
    <mergeCell ref="AF9:AZ9"/>
    <mergeCell ref="EP44:ER44"/>
    <mergeCell ref="DW55:DW56"/>
    <mergeCell ref="EE63:EE64"/>
    <mergeCell ref="EE67:EE68"/>
    <mergeCell ref="DW67:DW68"/>
    <mergeCell ref="EA48:EC48"/>
    <mergeCell ref="EA39:EC39"/>
    <mergeCell ref="EA43:EC43"/>
    <mergeCell ref="EA44:EC44"/>
    <mergeCell ref="EA51:EC51"/>
    <mergeCell ref="DQ63:DQ64"/>
    <mergeCell ref="EO43:EO44"/>
    <mergeCell ref="CM63:CM64"/>
    <mergeCell ref="CM67:CM68"/>
    <mergeCell ref="DW11:DW12"/>
    <mergeCell ref="CI19:CK19"/>
    <mergeCell ref="CG19:CG20"/>
    <mergeCell ref="EA72:EC72"/>
    <mergeCell ref="EA24:EC24"/>
    <mergeCell ref="EA67:EC67"/>
    <mergeCell ref="CO47:DP47"/>
    <mergeCell ref="CO48:DH48"/>
    <mergeCell ref="CO51:DP51"/>
    <mergeCell ref="CO52:DD52"/>
    <mergeCell ref="CS68:CT68"/>
    <mergeCell ref="CO55:DP55"/>
    <mergeCell ref="EL69:EL70"/>
    <mergeCell ref="EG69:EG70"/>
    <mergeCell ref="EL61:EL62"/>
    <mergeCell ref="EA68:EC68"/>
    <mergeCell ref="EE47:EE48"/>
    <mergeCell ref="EE51:EE52"/>
    <mergeCell ref="EE55:EE56"/>
    <mergeCell ref="BE27:CF27"/>
    <mergeCell ref="BE23:CF23"/>
    <mergeCell ref="AV33:AV34"/>
    <mergeCell ref="AP58:AP59"/>
    <mergeCell ref="AP50:AP51"/>
    <mergeCell ref="AP54:AP55"/>
    <mergeCell ref="EH69:EJ69"/>
    <mergeCell ref="CI4:CK4"/>
    <mergeCell ref="DO40:DP40"/>
    <mergeCell ref="CI64:CK64"/>
    <mergeCell ref="CI68:CK68"/>
    <mergeCell ref="CI67:CK67"/>
    <mergeCell ref="DW59:DW60"/>
    <mergeCell ref="CO64:CV64"/>
    <mergeCell ref="CO67:DP67"/>
    <mergeCell ref="CI32:CK32"/>
    <mergeCell ref="CI44:CK44"/>
    <mergeCell ref="DS40:DU40"/>
    <mergeCell ref="DZ8:ED8"/>
    <mergeCell ref="EA40:EC40"/>
    <mergeCell ref="DQ39:DQ40"/>
    <mergeCell ref="CI20:CK20"/>
    <mergeCell ref="CO43:DP43"/>
    <mergeCell ref="CO44:CZ44"/>
    <mergeCell ref="AP64:AP65"/>
    <mergeCell ref="AO72:AO75"/>
    <mergeCell ref="AP72:AP73"/>
    <mergeCell ref="BH12:CF12"/>
    <mergeCell ref="BE44:CB44"/>
    <mergeCell ref="BE48:BW48"/>
    <mergeCell ref="BE12:BG12"/>
    <mergeCell ref="BE16:BK16"/>
    <mergeCell ref="BE20:BL20"/>
    <mergeCell ref="BE24:BO24"/>
    <mergeCell ref="BE28:BR28"/>
    <mergeCell ref="BE32:BT32"/>
    <mergeCell ref="BE36:BW36"/>
    <mergeCell ref="AZ60:AZ63"/>
    <mergeCell ref="AZ28:AZ31"/>
    <mergeCell ref="AZ48:AZ51"/>
    <mergeCell ref="AU64:AU67"/>
    <mergeCell ref="AP34:AP35"/>
    <mergeCell ref="AP24:AP25"/>
    <mergeCell ref="AP32:AP33"/>
    <mergeCell ref="AZ36:AZ39"/>
    <mergeCell ref="AZ40:AZ43"/>
    <mergeCell ref="AZ44:AZ47"/>
    <mergeCell ref="BE35:CF35"/>
    <mergeCell ref="CM75:CM76"/>
    <mergeCell ref="CN43:CN44"/>
    <mergeCell ref="BY40:BZ40"/>
    <mergeCell ref="BE60:CF60"/>
    <mergeCell ref="BE63:CF63"/>
    <mergeCell ref="BE64:CF64"/>
    <mergeCell ref="BE67:CF67"/>
    <mergeCell ref="BE68:CF68"/>
    <mergeCell ref="BE71:CF71"/>
    <mergeCell ref="BE59:CF59"/>
    <mergeCell ref="BE56:CF56"/>
    <mergeCell ref="CI60:CK60"/>
    <mergeCell ref="BE55:CF55"/>
    <mergeCell ref="BE51:CF51"/>
    <mergeCell ref="BE52:CF52"/>
    <mergeCell ref="CG47:CG48"/>
    <mergeCell ref="CI72:CK72"/>
    <mergeCell ref="CG51:CG52"/>
    <mergeCell ref="BE40:BX40"/>
    <mergeCell ref="CO68:CR68"/>
    <mergeCell ref="CO72:CR72"/>
    <mergeCell ref="CG2:CK2"/>
    <mergeCell ref="BE72:CF72"/>
    <mergeCell ref="CO11:DP11"/>
    <mergeCell ref="CO12:DP12"/>
    <mergeCell ref="CO15:DP15"/>
    <mergeCell ref="CO16:DP16"/>
    <mergeCell ref="CO19:DP19"/>
    <mergeCell ref="CO20:DP20"/>
    <mergeCell ref="CO23:DP23"/>
    <mergeCell ref="CO24:DP24"/>
    <mergeCell ref="CO27:DP27"/>
    <mergeCell ref="CO28:DP28"/>
    <mergeCell ref="CO31:DP31"/>
    <mergeCell ref="CO32:DP32"/>
    <mergeCell ref="CO35:DP35"/>
    <mergeCell ref="CO36:DP36"/>
    <mergeCell ref="CO39:DP39"/>
    <mergeCell ref="CO40:DL40"/>
    <mergeCell ref="BE11:CF11"/>
    <mergeCell ref="BE15:CF15"/>
    <mergeCell ref="DD56:DP56"/>
    <mergeCell ref="DL44:DP44"/>
  </mergeCells>
  <conditionalFormatting sqref="ES23:ES24">
    <cfRule type="duplicateValues" dxfId="967" priority="1397"/>
  </conditionalFormatting>
  <conditionalFormatting sqref="ES33:ES36">
    <cfRule type="duplicateValues" dxfId="966" priority="1395"/>
  </conditionalFormatting>
  <conditionalFormatting sqref="ES43:ES44">
    <cfRule type="duplicateValues" dxfId="965" priority="1393"/>
  </conditionalFormatting>
  <conditionalFormatting sqref="EY37:EY38">
    <cfRule type="duplicateValues" dxfId="964" priority="1391"/>
    <cfRule type="iconSet" priority="1392">
      <iconSet>
        <cfvo type="percent" val="0"/>
        <cfvo type="percent" val="12"/>
        <cfvo type="percent" val="13"/>
      </iconSet>
    </cfRule>
  </conditionalFormatting>
  <conditionalFormatting sqref="AO60:AO61">
    <cfRule type="duplicateValues" dxfId="963" priority="1390"/>
  </conditionalFormatting>
  <conditionalFormatting sqref="AO62:AO63">
    <cfRule type="duplicateValues" dxfId="962" priority="1388"/>
    <cfRule type="duplicateValues" dxfId="961" priority="1389"/>
  </conditionalFormatting>
  <conditionalFormatting sqref="AO64:AO65">
    <cfRule type="duplicateValues" dxfId="960" priority="1387"/>
  </conditionalFormatting>
  <conditionalFormatting sqref="AO66:AO67">
    <cfRule type="duplicateValues" dxfId="959" priority="1385"/>
    <cfRule type="duplicateValues" dxfId="958" priority="1386"/>
  </conditionalFormatting>
  <conditionalFormatting sqref="AO68:AO69">
    <cfRule type="duplicateValues" dxfId="957" priority="1384"/>
  </conditionalFormatting>
  <conditionalFormatting sqref="AO70:AO71">
    <cfRule type="duplicateValues" dxfId="956" priority="1382"/>
    <cfRule type="duplicateValues" dxfId="955" priority="1383"/>
  </conditionalFormatting>
  <conditionalFormatting sqref="AO72:AO73">
    <cfRule type="duplicateValues" dxfId="954" priority="1381"/>
  </conditionalFormatting>
  <conditionalFormatting sqref="AO74:AO75">
    <cfRule type="duplicateValues" dxfId="953" priority="1379"/>
    <cfRule type="duplicateValues" dxfId="952" priority="1380"/>
  </conditionalFormatting>
  <conditionalFormatting sqref="AO76:AO77">
    <cfRule type="duplicateValues" dxfId="951" priority="1378"/>
  </conditionalFormatting>
  <conditionalFormatting sqref="AO78:AO79">
    <cfRule type="duplicateValues" dxfId="950" priority="1376"/>
    <cfRule type="duplicateValues" dxfId="949" priority="1377"/>
  </conditionalFormatting>
  <conditionalFormatting sqref="AO80:AO81">
    <cfRule type="duplicateValues" dxfId="948" priority="1375"/>
  </conditionalFormatting>
  <conditionalFormatting sqref="AO82:AO83">
    <cfRule type="duplicateValues" dxfId="947" priority="1373"/>
    <cfRule type="duplicateValues" dxfId="946" priority="1374"/>
  </conditionalFormatting>
  <conditionalFormatting sqref="AO84:AO85 AO92:AO93">
    <cfRule type="duplicateValues" dxfId="945" priority="1372"/>
  </conditionalFormatting>
  <conditionalFormatting sqref="AO86:AO87 AO94:AO95">
    <cfRule type="duplicateValues" dxfId="944" priority="1370"/>
    <cfRule type="duplicateValues" dxfId="943" priority="1371"/>
  </conditionalFormatting>
  <conditionalFormatting sqref="AO88:AO89 AO96:AO97">
    <cfRule type="duplicateValues" dxfId="942" priority="1369"/>
  </conditionalFormatting>
  <conditionalFormatting sqref="AO90:AO91 AO98:AO99">
    <cfRule type="duplicateValues" dxfId="941" priority="1367"/>
    <cfRule type="duplicateValues" dxfId="940" priority="1368"/>
  </conditionalFormatting>
  <conditionalFormatting sqref="FE27:FE28">
    <cfRule type="duplicateValues" dxfId="939" priority="1365"/>
    <cfRule type="iconSet" priority="1366">
      <iconSet>
        <cfvo type="percent" val="0"/>
        <cfvo type="percent" val="12"/>
        <cfvo type="percent" val="13"/>
      </iconSet>
    </cfRule>
  </conditionalFormatting>
  <conditionalFormatting sqref="AX97:AX98 AX33:AX34 AX77:AX78 AX81:AX82 AX85:AX86 AX89:AX90 AX93:AX94 AR20:AR99 AX69:AX70 AX65:AX66 AX73:AX74">
    <cfRule type="containsText" dxfId="938" priority="1338" operator="containsText" text="résultat">
      <formula>NOT(ISERROR(SEARCH("résultat",AR20)))</formula>
    </cfRule>
    <cfRule type="containsText" dxfId="937" priority="1339" operator="containsText" text="OFFICE">
      <formula>NOT(ISERROR(SEARCH("OFFICE",AR20)))</formula>
    </cfRule>
  </conditionalFormatting>
  <conditionalFormatting sqref="AX93:AX94 AX97:AX98 AX33:AX34 AX77:AX78 AX81:AX82 AX85:AX86 AX89:AX90 AR60:AR99 AX69:AX70 AX65:AX66 AX73:AX74">
    <cfRule type="containsText" dxfId="936" priority="1337" operator="containsText" text="résultat">
      <formula>NOT(ISERROR(SEARCH("résultat",AR33)))</formula>
    </cfRule>
  </conditionalFormatting>
  <conditionalFormatting sqref="FE52:FE53">
    <cfRule type="duplicateValues" dxfId="935" priority="1335"/>
    <cfRule type="iconSet" priority="1336">
      <iconSet>
        <cfvo type="percent" val="0"/>
        <cfvo type="percent" val="12"/>
        <cfvo type="percent" val="13"/>
      </iconSet>
    </cfRule>
  </conditionalFormatting>
  <conditionalFormatting sqref="FH16">
    <cfRule type="expression" dxfId="934" priority="1317">
      <formula>(OR(FK9=9,FK9=8,FK9=7,FK9=6,FK9=5,FK9=4,FK9=3,FK9=2,FK9=1))</formula>
    </cfRule>
  </conditionalFormatting>
  <conditionalFormatting sqref="AS20:AS21">
    <cfRule type="iconSet" priority="1311">
      <iconSet iconSet="3Signs">
        <cfvo type="percent" val="0"/>
        <cfvo type="percent" val="12"/>
        <cfvo type="percent" val="13" gte="0"/>
      </iconSet>
    </cfRule>
  </conditionalFormatting>
  <conditionalFormatting sqref="AS22:AS23">
    <cfRule type="iconSet" priority="1310">
      <iconSet iconSet="3Signs">
        <cfvo type="percent" val="0"/>
        <cfvo type="percent" val="12"/>
        <cfvo type="percent" val="13" gte="0"/>
      </iconSet>
    </cfRule>
  </conditionalFormatting>
  <conditionalFormatting sqref="AS24:AS25">
    <cfRule type="iconSet" priority="1309">
      <iconSet iconSet="3Signs">
        <cfvo type="percent" val="0"/>
        <cfvo type="percent" val="12"/>
        <cfvo type="percent" val="13" gte="0"/>
      </iconSet>
    </cfRule>
  </conditionalFormatting>
  <conditionalFormatting sqref="AS26:AS27">
    <cfRule type="iconSet" priority="1308">
      <iconSet iconSet="3Signs">
        <cfvo type="percent" val="0"/>
        <cfvo type="percent" val="12"/>
        <cfvo type="percent" val="13" gte="0"/>
      </iconSet>
    </cfRule>
  </conditionalFormatting>
  <conditionalFormatting sqref="AS28:AS29">
    <cfRule type="iconSet" priority="1307">
      <iconSet iconSet="3Signs">
        <cfvo type="percent" val="0"/>
        <cfvo type="percent" val="12"/>
        <cfvo type="percent" val="13" gte="0"/>
      </iconSet>
    </cfRule>
  </conditionalFormatting>
  <conditionalFormatting sqref="AS30:AS31">
    <cfRule type="iconSet" priority="1306">
      <iconSet iconSet="3Signs">
        <cfvo type="percent" val="0"/>
        <cfvo type="percent" val="12"/>
        <cfvo type="percent" val="13" gte="0"/>
      </iconSet>
    </cfRule>
  </conditionalFormatting>
  <conditionalFormatting sqref="AS32:AS33">
    <cfRule type="iconSet" priority="1305">
      <iconSet iconSet="3Signs">
        <cfvo type="percent" val="0"/>
        <cfvo type="percent" val="12"/>
        <cfvo type="percent" val="13" gte="0"/>
      </iconSet>
    </cfRule>
  </conditionalFormatting>
  <conditionalFormatting sqref="AS34:AS35">
    <cfRule type="iconSet" priority="1304">
      <iconSet iconSet="3Signs">
        <cfvo type="percent" val="0"/>
        <cfvo type="percent" val="12"/>
        <cfvo type="percent" val="13" gte="0"/>
      </iconSet>
    </cfRule>
  </conditionalFormatting>
  <conditionalFormatting sqref="AM22:AM23">
    <cfRule type="iconSet" priority="1299">
      <iconSet iconSet="3Signs">
        <cfvo type="percent" val="0"/>
        <cfvo type="percent" val="12"/>
        <cfvo type="percent" val="13" gte="0"/>
      </iconSet>
    </cfRule>
  </conditionalFormatting>
  <conditionalFormatting sqref="AS36:AS37">
    <cfRule type="iconSet" priority="1290">
      <iconSet iconSet="3Signs">
        <cfvo type="percent" val="0"/>
        <cfvo type="percent" val="12"/>
        <cfvo type="percent" val="23" gte="0"/>
      </iconSet>
    </cfRule>
  </conditionalFormatting>
  <conditionalFormatting sqref="AS38:AS39">
    <cfRule type="iconSet" priority="1289">
      <iconSet iconSet="3Signs">
        <cfvo type="percent" val="0"/>
        <cfvo type="percent" val="12"/>
        <cfvo type="percent" val="13" gte="0"/>
      </iconSet>
    </cfRule>
  </conditionalFormatting>
  <conditionalFormatting sqref="AS40:AS41">
    <cfRule type="iconSet" priority="1288">
      <iconSet iconSet="3Signs">
        <cfvo type="percent" val="0"/>
        <cfvo type="percent" val="12"/>
        <cfvo type="percent" val="13" gte="0"/>
      </iconSet>
    </cfRule>
  </conditionalFormatting>
  <conditionalFormatting sqref="AS42:AS43">
    <cfRule type="iconSet" priority="1287">
      <iconSet iconSet="3Signs">
        <cfvo type="percent" val="0"/>
        <cfvo type="percent" val="12"/>
        <cfvo type="percent" val="13" gte="0"/>
      </iconSet>
    </cfRule>
  </conditionalFormatting>
  <conditionalFormatting sqref="AS44:AS45 AS52:AS53">
    <cfRule type="iconSet" priority="1286">
      <iconSet iconSet="3Signs">
        <cfvo type="percent" val="0"/>
        <cfvo type="percent" val="12"/>
        <cfvo type="percent" val="13" gte="0"/>
      </iconSet>
    </cfRule>
  </conditionalFormatting>
  <conditionalFormatting sqref="AS46:AS47 AS54:AS55">
    <cfRule type="iconSet" priority="1285">
      <iconSet iconSet="3Signs">
        <cfvo type="percent" val="0"/>
        <cfvo type="percent" val="12"/>
        <cfvo type="percent" val="13" gte="0"/>
      </iconSet>
    </cfRule>
  </conditionalFormatting>
  <conditionalFormatting sqref="AS48:AS49 AS56:AS57">
    <cfRule type="iconSet" priority="1284">
      <iconSet iconSet="3Signs">
        <cfvo type="percent" val="0"/>
        <cfvo type="percent" val="12"/>
        <cfvo type="percent" val="13" gte="0"/>
      </iconSet>
    </cfRule>
  </conditionalFormatting>
  <conditionalFormatting sqref="AS50:AS51 AS58:AS59">
    <cfRule type="iconSet" priority="1283">
      <iconSet iconSet="3Signs">
        <cfvo type="percent" val="0"/>
        <cfvo type="percent" val="12"/>
        <cfvo type="percent" val="13" gte="0"/>
      </iconSet>
    </cfRule>
  </conditionalFormatting>
  <conditionalFormatting sqref="AS60:AS61">
    <cfRule type="iconSet" priority="1282">
      <iconSet iconSet="3Signs">
        <cfvo type="percent" val="0"/>
        <cfvo type="percent" val="12"/>
        <cfvo type="percent" val="13" gte="0"/>
      </iconSet>
    </cfRule>
  </conditionalFormatting>
  <conditionalFormatting sqref="AS62:AS63">
    <cfRule type="iconSet" priority="1281">
      <iconSet iconSet="3Signs">
        <cfvo type="percent" val="0"/>
        <cfvo type="percent" val="12"/>
        <cfvo type="percent" val="13" gte="0"/>
      </iconSet>
    </cfRule>
  </conditionalFormatting>
  <conditionalFormatting sqref="AS64:AS65">
    <cfRule type="iconSet" priority="1280">
      <iconSet iconSet="3Signs">
        <cfvo type="percent" val="0"/>
        <cfvo type="percent" val="12"/>
        <cfvo type="percent" val="13" gte="0"/>
      </iconSet>
    </cfRule>
  </conditionalFormatting>
  <conditionalFormatting sqref="AS66:AS67">
    <cfRule type="iconSet" priority="1279">
      <iconSet iconSet="3Signs">
        <cfvo type="percent" val="0"/>
        <cfvo type="percent" val="12"/>
        <cfvo type="percent" val="13" gte="0"/>
      </iconSet>
    </cfRule>
  </conditionalFormatting>
  <conditionalFormatting sqref="AS68:AS69">
    <cfRule type="iconSet" priority="1278">
      <iconSet iconSet="3Signs">
        <cfvo type="percent" val="0"/>
        <cfvo type="percent" val="12"/>
        <cfvo type="percent" val="13" gte="0"/>
      </iconSet>
    </cfRule>
  </conditionalFormatting>
  <conditionalFormatting sqref="AS70:AS71">
    <cfRule type="iconSet" priority="1277">
      <iconSet iconSet="3Signs">
        <cfvo type="percent" val="0"/>
        <cfvo type="percent" val="12"/>
        <cfvo type="percent" val="13" gte="0"/>
      </iconSet>
    </cfRule>
  </conditionalFormatting>
  <conditionalFormatting sqref="AS72:AS73">
    <cfRule type="iconSet" priority="1276">
      <iconSet iconSet="3Signs">
        <cfvo type="percent" val="0"/>
        <cfvo type="percent" val="12"/>
        <cfvo type="percent" val="13" gte="0"/>
      </iconSet>
    </cfRule>
  </conditionalFormatting>
  <conditionalFormatting sqref="AS74:AS75">
    <cfRule type="iconSet" priority="1275">
      <iconSet iconSet="3Signs">
        <cfvo type="percent" val="0"/>
        <cfvo type="percent" val="12"/>
        <cfvo type="percent" val="13" gte="0"/>
      </iconSet>
    </cfRule>
  </conditionalFormatting>
  <conditionalFormatting sqref="AS76:AS77">
    <cfRule type="iconSet" priority="1274">
      <iconSet iconSet="3Signs">
        <cfvo type="percent" val="0"/>
        <cfvo type="percent" val="12"/>
        <cfvo type="percent" val="13" gte="0"/>
      </iconSet>
    </cfRule>
  </conditionalFormatting>
  <conditionalFormatting sqref="AS78:AS79">
    <cfRule type="iconSet" priority="1273">
      <iconSet iconSet="3Signs">
        <cfvo type="percent" val="0"/>
        <cfvo type="percent" val="12"/>
        <cfvo type="percent" val="13" gte="0"/>
      </iconSet>
    </cfRule>
  </conditionalFormatting>
  <conditionalFormatting sqref="AS80:AS81">
    <cfRule type="iconSet" priority="1272">
      <iconSet iconSet="3Signs">
        <cfvo type="percent" val="0"/>
        <cfvo type="percent" val="12"/>
        <cfvo type="percent" val="13" gte="0"/>
      </iconSet>
    </cfRule>
  </conditionalFormatting>
  <conditionalFormatting sqref="AS82:AS83">
    <cfRule type="iconSet" priority="1271">
      <iconSet>
        <cfvo type="percent" val="0"/>
        <cfvo type="percent" val="12"/>
        <cfvo type="percent" val="13" gte="0"/>
      </iconSet>
    </cfRule>
  </conditionalFormatting>
  <conditionalFormatting sqref="AS84:AS85 AS92:AS93">
    <cfRule type="iconSet" priority="1270">
      <iconSet iconSet="3Signs">
        <cfvo type="percent" val="0"/>
        <cfvo type="percent" val="12"/>
        <cfvo type="percent" val="13" gte="0"/>
      </iconSet>
    </cfRule>
  </conditionalFormatting>
  <conditionalFormatting sqref="AS86:AS87 AS94:AS95">
    <cfRule type="iconSet" priority="1269">
      <iconSet iconSet="3Signs">
        <cfvo type="percent" val="0"/>
        <cfvo type="percent" val="12"/>
        <cfvo type="percent" val="13" gte="0"/>
      </iconSet>
    </cfRule>
  </conditionalFormatting>
  <conditionalFormatting sqref="AS88:AS89 AS96:AS97">
    <cfRule type="iconSet" priority="1268">
      <iconSet iconSet="3Signs">
        <cfvo type="percent" val="0"/>
        <cfvo type="percent" val="12"/>
        <cfvo type="percent" val="13" gte="0"/>
      </iconSet>
    </cfRule>
  </conditionalFormatting>
  <conditionalFormatting sqref="AS90:AS91 AS98:AS99">
    <cfRule type="iconSet" priority="1267">
      <iconSet iconSet="3Signs">
        <cfvo type="percent" val="0"/>
        <cfvo type="percent" val="12"/>
        <cfvo type="percent" val="13" gte="0"/>
      </iconSet>
    </cfRule>
  </conditionalFormatting>
  <conditionalFormatting sqref="AM20:AM21">
    <cfRule type="iconSet" priority="1266">
      <iconSet iconSet="3Signs">
        <cfvo type="percent" val="0"/>
        <cfvo type="percent" val="12"/>
        <cfvo type="percent" val="13" gte="0"/>
      </iconSet>
    </cfRule>
  </conditionalFormatting>
  <conditionalFormatting sqref="AM24:AM25">
    <cfRule type="iconSet" priority="1265">
      <iconSet iconSet="3Signs">
        <cfvo type="percent" val="0"/>
        <cfvo type="percent" val="12"/>
        <cfvo type="percent" val="13" gte="0"/>
      </iconSet>
    </cfRule>
  </conditionalFormatting>
  <conditionalFormatting sqref="AM26:AM27">
    <cfRule type="iconSet" priority="1264">
      <iconSet iconSet="3Signs">
        <cfvo type="percent" val="0"/>
        <cfvo type="percent" val="12"/>
        <cfvo type="percent" val="13" gte="0"/>
      </iconSet>
    </cfRule>
  </conditionalFormatting>
  <conditionalFormatting sqref="AM28:AM29">
    <cfRule type="iconSet" priority="1263">
      <iconSet iconSet="3Signs">
        <cfvo type="percent" val="0"/>
        <cfvo type="percent" val="12"/>
        <cfvo type="percent" val="13" gte="0"/>
      </iconSet>
    </cfRule>
  </conditionalFormatting>
  <conditionalFormatting sqref="AM30:AM31">
    <cfRule type="iconSet" priority="1262">
      <iconSet iconSet="3Signs">
        <cfvo type="percent" val="0"/>
        <cfvo type="percent" val="12"/>
        <cfvo type="percent" val="13" gte="0"/>
      </iconSet>
    </cfRule>
  </conditionalFormatting>
  <conditionalFormatting sqref="AM32:AM33">
    <cfRule type="iconSet" priority="1261">
      <iconSet iconSet="3Signs">
        <cfvo type="percent" val="0"/>
        <cfvo type="percent" val="12"/>
        <cfvo type="percent" val="13" gte="0"/>
      </iconSet>
    </cfRule>
  </conditionalFormatting>
  <conditionalFormatting sqref="AM34:AM35">
    <cfRule type="iconSet" priority="1259">
      <iconSet iconSet="3Signs">
        <cfvo type="percent" val="0"/>
        <cfvo type="percent" val="12"/>
        <cfvo type="percent" val="13" gte="0"/>
      </iconSet>
    </cfRule>
    <cfRule type="iconSet" priority="1260">
      <iconSet iconSet="3Signs">
        <cfvo type="percent" val="0"/>
        <cfvo type="percent" val="12"/>
        <cfvo type="percent" val="13" gte="0"/>
      </iconSet>
    </cfRule>
  </conditionalFormatting>
  <conditionalFormatting sqref="AM36:AM37">
    <cfRule type="iconSet" priority="1258">
      <iconSet iconSet="3Signs">
        <cfvo type="percent" val="0"/>
        <cfvo type="percent" val="12"/>
        <cfvo type="percent" val="13" gte="0"/>
      </iconSet>
    </cfRule>
  </conditionalFormatting>
  <conditionalFormatting sqref="AM38:AM39">
    <cfRule type="iconSet" priority="1256">
      <iconSet iconSet="3Signs">
        <cfvo type="percent" val="0"/>
        <cfvo type="percent" val="12"/>
        <cfvo type="percent" val="13" gte="0"/>
      </iconSet>
    </cfRule>
    <cfRule type="iconSet" priority="1257">
      <iconSet iconSet="3Signs">
        <cfvo type="percent" val="0"/>
        <cfvo type="percent" val="12"/>
        <cfvo type="percent" val="13"/>
      </iconSet>
    </cfRule>
  </conditionalFormatting>
  <conditionalFormatting sqref="AM40:AM41">
    <cfRule type="iconSet" priority="1255">
      <iconSet iconSet="3Signs">
        <cfvo type="percent" val="0"/>
        <cfvo type="percent" val="12"/>
        <cfvo type="percent" val="13" gte="0"/>
      </iconSet>
    </cfRule>
  </conditionalFormatting>
  <conditionalFormatting sqref="AM42:AM43">
    <cfRule type="iconSet" priority="1254">
      <iconSet iconSet="3Signs">
        <cfvo type="percent" val="0"/>
        <cfvo type="percent" val="12"/>
        <cfvo type="percent" val="13" gte="0"/>
      </iconSet>
    </cfRule>
  </conditionalFormatting>
  <conditionalFormatting sqref="AM44:AM45 AM52:AM53">
    <cfRule type="iconSet" priority="1253">
      <iconSet iconSet="3Signs">
        <cfvo type="percent" val="0"/>
        <cfvo type="percent" val="12"/>
        <cfvo type="percent" val="13" gte="0"/>
      </iconSet>
    </cfRule>
  </conditionalFormatting>
  <conditionalFormatting sqref="AM46:AM47 AM54:AM55">
    <cfRule type="iconSet" priority="1252">
      <iconSet iconSet="3Signs">
        <cfvo type="percent" val="0"/>
        <cfvo type="percent" val="12"/>
        <cfvo type="percent" val="13" gte="0"/>
      </iconSet>
    </cfRule>
  </conditionalFormatting>
  <conditionalFormatting sqref="AM48:AM49 AM56:AM57">
    <cfRule type="iconSet" priority="1251">
      <iconSet>
        <cfvo type="percent" val="0"/>
        <cfvo type="percent" val="12"/>
        <cfvo type="percent" val="13" gte="0"/>
      </iconSet>
    </cfRule>
  </conditionalFormatting>
  <conditionalFormatting sqref="AM50:AM51 AM58:AM59">
    <cfRule type="iconSet" priority="1250">
      <iconSet iconSet="3Signs">
        <cfvo type="percent" val="0"/>
        <cfvo type="percent" val="12"/>
        <cfvo type="percent" val="13" gte="0"/>
      </iconSet>
    </cfRule>
  </conditionalFormatting>
  <conditionalFormatting sqref="AM60:AM61">
    <cfRule type="iconSet" priority="1249">
      <iconSet iconSet="3Signs">
        <cfvo type="percent" val="0"/>
        <cfvo type="percent" val="12"/>
        <cfvo type="percent" val="13" gte="0"/>
      </iconSet>
    </cfRule>
  </conditionalFormatting>
  <conditionalFormatting sqref="AM62:AM63">
    <cfRule type="iconSet" priority="1248">
      <iconSet iconSet="3Signs">
        <cfvo type="percent" val="0"/>
        <cfvo type="percent" val="12"/>
        <cfvo type="percent" val="13" gte="0"/>
      </iconSet>
    </cfRule>
  </conditionalFormatting>
  <conditionalFormatting sqref="AM64:AM65">
    <cfRule type="iconSet" priority="1247">
      <iconSet iconSet="3Signs">
        <cfvo type="percent" val="0"/>
        <cfvo type="percent" val="12"/>
        <cfvo type="percent" val="13" gte="0"/>
      </iconSet>
    </cfRule>
  </conditionalFormatting>
  <conditionalFormatting sqref="AM66:AM67">
    <cfRule type="iconSet" priority="1246">
      <iconSet iconSet="3Signs">
        <cfvo type="percent" val="0"/>
        <cfvo type="percent" val="12"/>
        <cfvo type="percent" val="13" gte="0"/>
      </iconSet>
    </cfRule>
  </conditionalFormatting>
  <conditionalFormatting sqref="AM68:AM69">
    <cfRule type="iconSet" priority="1245">
      <iconSet iconSet="3Signs">
        <cfvo type="percent" val="0"/>
        <cfvo type="percent" val="12"/>
        <cfvo type="percent" val="13" gte="0"/>
      </iconSet>
    </cfRule>
  </conditionalFormatting>
  <conditionalFormatting sqref="AM70:AM71">
    <cfRule type="iconSet" priority="1244">
      <iconSet iconSet="3Signs">
        <cfvo type="percent" val="0"/>
        <cfvo type="percent" val="12"/>
        <cfvo type="percent" val="13" gte="0"/>
      </iconSet>
    </cfRule>
  </conditionalFormatting>
  <conditionalFormatting sqref="AM72:AM73">
    <cfRule type="iconSet" priority="1243">
      <iconSet iconSet="3Signs">
        <cfvo type="percent" val="0"/>
        <cfvo type="percent" val="12"/>
        <cfvo type="percent" val="13" gte="0"/>
      </iconSet>
    </cfRule>
  </conditionalFormatting>
  <conditionalFormatting sqref="AM74:AM75">
    <cfRule type="iconSet" priority="1242">
      <iconSet iconSet="3Signs">
        <cfvo type="percent" val="0"/>
        <cfvo type="percent" val="12"/>
        <cfvo type="percent" val="13" gte="0"/>
      </iconSet>
    </cfRule>
  </conditionalFormatting>
  <conditionalFormatting sqref="AM76:AM77">
    <cfRule type="iconSet" priority="1241">
      <iconSet iconSet="3Signs">
        <cfvo type="percent" val="0"/>
        <cfvo type="percent" val="12"/>
        <cfvo type="percent" val="13" gte="0"/>
      </iconSet>
    </cfRule>
  </conditionalFormatting>
  <conditionalFormatting sqref="AM78:AM79">
    <cfRule type="iconSet" priority="1240">
      <iconSet iconSet="3Signs">
        <cfvo type="percent" val="0"/>
        <cfvo type="percent" val="12"/>
        <cfvo type="percent" val="13" gte="0"/>
      </iconSet>
    </cfRule>
  </conditionalFormatting>
  <conditionalFormatting sqref="AM80:AM81">
    <cfRule type="iconSet" priority="1239">
      <iconSet iconSet="3Signs">
        <cfvo type="percent" val="0"/>
        <cfvo type="percent" val="12"/>
        <cfvo type="percent" val="13" gte="0"/>
      </iconSet>
    </cfRule>
  </conditionalFormatting>
  <conditionalFormatting sqref="AM82:AM83">
    <cfRule type="iconSet" priority="1238">
      <iconSet iconSet="3Signs">
        <cfvo type="percent" val="0"/>
        <cfvo type="percent" val="12"/>
        <cfvo type="percent" val="13" gte="0"/>
      </iconSet>
    </cfRule>
  </conditionalFormatting>
  <conditionalFormatting sqref="AM84:AM85 AM92:AM93">
    <cfRule type="iconSet" priority="1237">
      <iconSet iconSet="3Signs">
        <cfvo type="percent" val="0"/>
        <cfvo type="percent" val="12"/>
        <cfvo type="percent" val="13" gte="0"/>
      </iconSet>
    </cfRule>
  </conditionalFormatting>
  <conditionalFormatting sqref="AM86:AM87 AM94:AM95">
    <cfRule type="iconSet" priority="1236">
      <iconSet iconSet="3Signs">
        <cfvo type="percent" val="0"/>
        <cfvo type="percent" val="12"/>
        <cfvo type="percent" val="13" gte="0"/>
      </iconSet>
    </cfRule>
  </conditionalFormatting>
  <conditionalFormatting sqref="AM88:AM89 AM96:AM97">
    <cfRule type="iconSet" priority="1235">
      <iconSet iconSet="3Signs">
        <cfvo type="percent" val="0"/>
        <cfvo type="percent" val="12"/>
        <cfvo type="percent" val="13" gte="0"/>
      </iconSet>
    </cfRule>
  </conditionalFormatting>
  <conditionalFormatting sqref="AM90:AM91 AM98:AM99">
    <cfRule type="iconSet" priority="1234">
      <iconSet iconSet="3Signs">
        <cfvo type="percent" val="0"/>
        <cfvo type="percent" val="12"/>
        <cfvo type="percent" val="13" gte="0"/>
      </iconSet>
    </cfRule>
  </conditionalFormatting>
  <conditionalFormatting sqref="BC76 BC28 BC36">
    <cfRule type="expression" dxfId="933" priority="1201" stopIfTrue="1">
      <formula>(OR(#REF!="1",#REF!="2",#REF!="3"))</formula>
    </cfRule>
  </conditionalFormatting>
  <conditionalFormatting sqref="BC77 BC29 BC37">
    <cfRule type="expression" dxfId="932" priority="1200">
      <formula>(OR(#REF!="2",#REF!="3"))</formula>
    </cfRule>
  </conditionalFormatting>
  <conditionalFormatting sqref="BC32 BC76 BC28">
    <cfRule type="expression" dxfId="931" priority="1105" stopIfTrue="1">
      <formula>(OR(#REF!="1",#REF!="2",#REF!="3"))</formula>
    </cfRule>
  </conditionalFormatting>
  <conditionalFormatting sqref="BC29 BC33 BC77">
    <cfRule type="expression" dxfId="930" priority="1104">
      <formula>(OR(#REF!="2",#REF!="3"))</formula>
    </cfRule>
  </conditionalFormatting>
  <conditionalFormatting sqref="BC28 BC24 BC64 BC68 BC72 BC76 BC80 BC84 BC88 BC92 BC96">
    <cfRule type="expression" dxfId="929" priority="993" stopIfTrue="1">
      <formula>(OR(#REF!="1",#REF!="2",#REF!="3"))</formula>
    </cfRule>
  </conditionalFormatting>
  <conditionalFormatting sqref="BC29 BC25 BC65 BC69 BC73 BC77 BC81 BC85 BC89 BC93 BC97">
    <cfRule type="expression" dxfId="928" priority="992">
      <formula>(OR(#REF!="2",#REF!="3"))</formula>
    </cfRule>
  </conditionalFormatting>
  <conditionalFormatting sqref="BC64 BC56 BC28 BC36 BC40 BC44 BC48 BC52 BC68 BC72 BC76 BC80 BC84 BC88 BC92 BC96 BC32">
    <cfRule type="expression" dxfId="927" priority="989" stopIfTrue="1">
      <formula>(OR(#REF!="1",#REF!="2",#REF!="3"))</formula>
    </cfRule>
  </conditionalFormatting>
  <conditionalFormatting sqref="BC65 BC49 BC53 BC57 BC37 BC41 BC45 BC69 BC73 BC77 BC81 BC85 BC89 BC93 BC97 BC29 BC33">
    <cfRule type="expression" dxfId="926" priority="988">
      <formula>(OR(#REF!="2",#REF!="3"))</formula>
    </cfRule>
  </conditionalFormatting>
  <conditionalFormatting sqref="AM84:AM85">
    <cfRule type="iconSet" priority="694">
      <iconSet iconSet="3Signs">
        <cfvo type="percent" val="0"/>
        <cfvo type="percent" val="12"/>
        <cfvo type="percent" val="13" gte="0"/>
      </iconSet>
    </cfRule>
  </conditionalFormatting>
  <conditionalFormatting sqref="AM86:AM87">
    <cfRule type="iconSet" priority="693">
      <iconSet iconSet="3Signs">
        <cfvo type="percent" val="0"/>
        <cfvo type="percent" val="12"/>
        <cfvo type="percent" val="13" gte="0"/>
      </iconSet>
    </cfRule>
  </conditionalFormatting>
  <conditionalFormatting sqref="AM88:AM89">
    <cfRule type="iconSet" priority="692">
      <iconSet iconSet="3Signs">
        <cfvo type="percent" val="0"/>
        <cfvo type="percent" val="12"/>
        <cfvo type="percent" val="13" gte="0"/>
      </iconSet>
    </cfRule>
  </conditionalFormatting>
  <conditionalFormatting sqref="AM90:AM91">
    <cfRule type="iconSet" priority="691">
      <iconSet iconSet="3Signs">
        <cfvo type="percent" val="0"/>
        <cfvo type="percent" val="12"/>
        <cfvo type="percent" val="13" gte="0"/>
      </iconSet>
    </cfRule>
  </conditionalFormatting>
  <conditionalFormatting sqref="AM92:AM93">
    <cfRule type="iconSet" priority="690">
      <iconSet iconSet="3Signs">
        <cfvo type="percent" val="0"/>
        <cfvo type="percent" val="12"/>
        <cfvo type="percent" val="13" gte="0"/>
      </iconSet>
    </cfRule>
  </conditionalFormatting>
  <conditionalFormatting sqref="AM94:AM95">
    <cfRule type="iconSet" priority="689">
      <iconSet iconSet="3Signs">
        <cfvo type="percent" val="0"/>
        <cfvo type="percent" val="12"/>
        <cfvo type="percent" val="13" gte="0"/>
      </iconSet>
    </cfRule>
  </conditionalFormatting>
  <conditionalFormatting sqref="AM96:AM97">
    <cfRule type="iconSet" priority="670">
      <iconSet iconSet="3Signs">
        <cfvo type="percent" val="0"/>
        <cfvo type="percent" val="12"/>
        <cfvo type="percent" val="13" gte="0"/>
      </iconSet>
    </cfRule>
  </conditionalFormatting>
  <conditionalFormatting sqref="AM98:AM99">
    <cfRule type="iconSet" priority="669">
      <iconSet iconSet="3Signs">
        <cfvo type="percent" val="0"/>
        <cfvo type="percent" val="12"/>
        <cfvo type="percent" val="13" gte="0"/>
      </iconSet>
    </cfRule>
  </conditionalFormatting>
  <conditionalFormatting sqref="EK13:EL14">
    <cfRule type="duplicateValues" dxfId="925" priority="634"/>
  </conditionalFormatting>
  <conditionalFormatting sqref="EK21:EL22">
    <cfRule type="duplicateValues" dxfId="924" priority="632"/>
  </conditionalFormatting>
  <conditionalFormatting sqref="EK69:EL70">
    <cfRule type="duplicateValues" dxfId="923" priority="630"/>
  </conditionalFormatting>
  <conditionalFormatting sqref="CL11:CL12">
    <cfRule type="iconSet" priority="614">
      <iconSet iconSet="3Signs">
        <cfvo type="percent" val="0"/>
        <cfvo type="percent" val="12"/>
        <cfvo type="percent" val="13" gte="0"/>
      </iconSet>
    </cfRule>
  </conditionalFormatting>
  <conditionalFormatting sqref="CL15:CL16">
    <cfRule type="iconSet" priority="613">
      <iconSet iconSet="3Signs">
        <cfvo type="percent" val="0"/>
        <cfvo type="percent" val="12"/>
        <cfvo type="percent" val="13" gte="0"/>
      </iconSet>
    </cfRule>
  </conditionalFormatting>
  <conditionalFormatting sqref="CL19:CL20">
    <cfRule type="iconSet" priority="612">
      <iconSet iconSet="3Signs">
        <cfvo type="percent" val="0"/>
        <cfvo type="percent" val="12"/>
        <cfvo type="percent" val="13" gte="0"/>
      </iconSet>
    </cfRule>
  </conditionalFormatting>
  <conditionalFormatting sqref="CL23:CL24">
    <cfRule type="iconSet" priority="611">
      <iconSet iconSet="3Signs">
        <cfvo type="percent" val="0"/>
        <cfvo type="percent" val="12"/>
        <cfvo type="percent" val="13" gte="0"/>
      </iconSet>
    </cfRule>
  </conditionalFormatting>
  <conditionalFormatting sqref="CL27:CL28">
    <cfRule type="iconSet" priority="610">
      <iconSet iconSet="3Signs">
        <cfvo type="percent" val="0"/>
        <cfvo type="percent" val="12"/>
        <cfvo type="percent" val="13" gte="0"/>
      </iconSet>
    </cfRule>
  </conditionalFormatting>
  <conditionalFormatting sqref="CL31:CL32">
    <cfRule type="iconSet" priority="609">
      <iconSet iconSet="3Signs">
        <cfvo type="percent" val="0"/>
        <cfvo type="percent" val="12"/>
        <cfvo type="percent" val="13" gte="0"/>
      </iconSet>
    </cfRule>
  </conditionalFormatting>
  <conditionalFormatting sqref="CL35:CL36">
    <cfRule type="iconSet" priority="608">
      <iconSet iconSet="3Signs">
        <cfvo type="percent" val="0"/>
        <cfvo type="percent" val="12"/>
        <cfvo type="percent" val="13" gte="0"/>
      </iconSet>
    </cfRule>
  </conditionalFormatting>
  <conditionalFormatting sqref="CL39:CL40">
    <cfRule type="iconSet" priority="607">
      <iconSet iconSet="3Signs">
        <cfvo type="percent" val="0"/>
        <cfvo type="percent" val="12"/>
        <cfvo type="percent" val="13" gte="0"/>
      </iconSet>
    </cfRule>
  </conditionalFormatting>
  <conditionalFormatting sqref="DV27:DV28">
    <cfRule type="iconSet" priority="606">
      <iconSet iconSet="3Signs">
        <cfvo type="percent" val="0"/>
        <cfvo type="percent" val="12"/>
        <cfvo type="percent" val="13" gte="0"/>
      </iconSet>
    </cfRule>
  </conditionalFormatting>
  <conditionalFormatting sqref="DV31:DV32">
    <cfRule type="iconSet" priority="605">
      <iconSet iconSet="3Signs">
        <cfvo type="percent" val="0"/>
        <cfvo type="percent" val="12"/>
        <cfvo type="percent" val="13" gte="0"/>
      </iconSet>
    </cfRule>
  </conditionalFormatting>
  <conditionalFormatting sqref="DV19:DV20">
    <cfRule type="iconSet" priority="604">
      <iconSet iconSet="3Signs">
        <cfvo type="percent" val="0"/>
        <cfvo type="percent" val="12"/>
        <cfvo type="percent" val="13" gte="0"/>
      </iconSet>
    </cfRule>
  </conditionalFormatting>
  <conditionalFormatting sqref="CL43:CL44">
    <cfRule type="iconSet" priority="603">
      <iconSet iconSet="3Signs">
        <cfvo type="percent" val="0"/>
        <cfvo type="percent" val="12"/>
        <cfvo type="percent" val="13" gte="0"/>
      </iconSet>
    </cfRule>
  </conditionalFormatting>
  <conditionalFormatting sqref="CL47:CL48">
    <cfRule type="iconSet" priority="599">
      <iconSet iconSet="3Signs">
        <cfvo type="percent" val="0"/>
        <cfvo type="percent" val="12"/>
        <cfvo type="percent" val="13" gte="0"/>
      </iconSet>
    </cfRule>
  </conditionalFormatting>
  <conditionalFormatting sqref="CL51:CL52">
    <cfRule type="iconSet" priority="598">
      <iconSet iconSet="3Signs">
        <cfvo type="percent" val="0"/>
        <cfvo type="percent" val="12"/>
        <cfvo type="percent" val="13" gte="0"/>
      </iconSet>
    </cfRule>
  </conditionalFormatting>
  <conditionalFormatting sqref="CL55:CL56">
    <cfRule type="iconSet" priority="596">
      <iconSet iconSet="3Signs">
        <cfvo type="percent" val="0"/>
        <cfvo type="percent" val="12"/>
        <cfvo type="percent" val="13" gte="0"/>
      </iconSet>
    </cfRule>
  </conditionalFormatting>
  <conditionalFormatting sqref="CL59:CL60">
    <cfRule type="iconSet" priority="595">
      <iconSet iconSet="3Signs">
        <cfvo type="percent" val="0"/>
        <cfvo type="percent" val="12"/>
        <cfvo type="percent" val="13" gte="0"/>
      </iconSet>
    </cfRule>
  </conditionalFormatting>
  <conditionalFormatting sqref="CL63:CL64">
    <cfRule type="iconSet" priority="594">
      <iconSet iconSet="3Signs">
        <cfvo type="percent" val="0"/>
        <cfvo type="percent" val="12"/>
        <cfvo type="percent" val="13" gte="0"/>
      </iconSet>
    </cfRule>
  </conditionalFormatting>
  <conditionalFormatting sqref="CL67:CL68">
    <cfRule type="iconSet" priority="593">
      <iconSet iconSet="3Signs">
        <cfvo type="percent" val="0"/>
        <cfvo type="percent" val="12"/>
        <cfvo type="percent" val="13" gte="0"/>
      </iconSet>
    </cfRule>
  </conditionalFormatting>
  <conditionalFormatting sqref="CL71:CL72">
    <cfRule type="iconSet" priority="592">
      <iconSet iconSet="3Signs">
        <cfvo type="percent" val="0"/>
        <cfvo type="percent" val="12"/>
        <cfvo type="percent" val="13" gte="0"/>
      </iconSet>
    </cfRule>
  </conditionalFormatting>
  <conditionalFormatting sqref="DV11:DV12">
    <cfRule type="iconSet" priority="583">
      <iconSet iconSet="3Signs">
        <cfvo type="percent" val="0"/>
        <cfvo type="percent" val="12"/>
        <cfvo type="percent" val="13" gte="0"/>
      </iconSet>
    </cfRule>
  </conditionalFormatting>
  <conditionalFormatting sqref="DV15:DV16">
    <cfRule type="iconSet" priority="582">
      <iconSet iconSet="3Signs">
        <cfvo type="percent" val="0"/>
        <cfvo type="percent" val="12"/>
        <cfvo type="percent" val="13" gte="0"/>
      </iconSet>
    </cfRule>
  </conditionalFormatting>
  <conditionalFormatting sqref="EK13:EL14">
    <cfRule type="duplicateValues" dxfId="922" priority="547"/>
    <cfRule type="iconSet" priority="548">
      <iconSet>
        <cfvo type="percent" val="0"/>
        <cfvo type="percent" val="12"/>
        <cfvo type="percent" val="13"/>
      </iconSet>
    </cfRule>
  </conditionalFormatting>
  <conditionalFormatting sqref="EK13:EL14">
    <cfRule type="duplicateValues" dxfId="921" priority="545"/>
    <cfRule type="iconSet" priority="546">
      <iconSet iconSet="3Signs">
        <cfvo type="percent" val="0"/>
        <cfvo type="percent" val="12"/>
        <cfvo type="percent" val="13" gte="0"/>
      </iconSet>
    </cfRule>
  </conditionalFormatting>
  <conditionalFormatting sqref="EK21:EL22">
    <cfRule type="duplicateValues" dxfId="920" priority="543"/>
    <cfRule type="iconSet" priority="544">
      <iconSet>
        <cfvo type="percent" val="0"/>
        <cfvo type="percent" val="12"/>
        <cfvo type="percent" val="13"/>
      </iconSet>
    </cfRule>
  </conditionalFormatting>
  <conditionalFormatting sqref="EK21:EL22">
    <cfRule type="duplicateValues" dxfId="919" priority="541"/>
    <cfRule type="iconSet" priority="542">
      <iconSet iconSet="3Signs">
        <cfvo type="percent" val="0"/>
        <cfvo type="percent" val="12"/>
        <cfvo type="percent" val="13" gte="0"/>
      </iconSet>
    </cfRule>
  </conditionalFormatting>
  <conditionalFormatting sqref="EK29:EL30">
    <cfRule type="duplicateValues" dxfId="918" priority="539"/>
    <cfRule type="iconSet" priority="540">
      <iconSet>
        <cfvo type="percent" val="0"/>
        <cfvo type="percent" val="12"/>
        <cfvo type="percent" val="13"/>
      </iconSet>
    </cfRule>
  </conditionalFormatting>
  <conditionalFormatting sqref="EK29:EL30">
    <cfRule type="duplicateValues" dxfId="917" priority="537"/>
    <cfRule type="iconSet" priority="538">
      <iconSet iconSet="3Signs">
        <cfvo type="percent" val="0"/>
        <cfvo type="percent" val="12"/>
        <cfvo type="percent" val="13" gte="0"/>
      </iconSet>
    </cfRule>
  </conditionalFormatting>
  <conditionalFormatting sqref="EK37:EL38">
    <cfRule type="duplicateValues" dxfId="916" priority="535"/>
    <cfRule type="iconSet" priority="536">
      <iconSet>
        <cfvo type="percent" val="0"/>
        <cfvo type="percent" val="12"/>
        <cfvo type="percent" val="13"/>
      </iconSet>
    </cfRule>
  </conditionalFormatting>
  <conditionalFormatting sqref="EK37:EL38">
    <cfRule type="duplicateValues" dxfId="915" priority="533"/>
    <cfRule type="iconSet" priority="534">
      <iconSet iconSet="3Signs">
        <cfvo type="percent" val="0"/>
        <cfvo type="percent" val="12"/>
        <cfvo type="percent" val="13" gte="0"/>
      </iconSet>
    </cfRule>
  </conditionalFormatting>
  <conditionalFormatting sqref="EK45:EL46">
    <cfRule type="duplicateValues" dxfId="914" priority="531"/>
    <cfRule type="iconSet" priority="532">
      <iconSet>
        <cfvo type="percent" val="0"/>
        <cfvo type="percent" val="12"/>
        <cfvo type="percent" val="13"/>
      </iconSet>
    </cfRule>
  </conditionalFormatting>
  <conditionalFormatting sqref="EK45:EL46">
    <cfRule type="duplicateValues" dxfId="913" priority="529"/>
    <cfRule type="iconSet" priority="530">
      <iconSet iconSet="3Signs">
        <cfvo type="percent" val="0"/>
        <cfvo type="percent" val="12"/>
        <cfvo type="percent" val="13" gte="0"/>
      </iconSet>
    </cfRule>
  </conditionalFormatting>
  <conditionalFormatting sqref="EK53:EL54">
    <cfRule type="duplicateValues" dxfId="912" priority="527"/>
    <cfRule type="iconSet" priority="528">
      <iconSet>
        <cfvo type="percent" val="0"/>
        <cfvo type="percent" val="12"/>
        <cfvo type="percent" val="13"/>
      </iconSet>
    </cfRule>
  </conditionalFormatting>
  <conditionalFormatting sqref="EK53:EL54">
    <cfRule type="duplicateValues" dxfId="911" priority="525"/>
    <cfRule type="iconSet" priority="526">
      <iconSet iconSet="3Signs">
        <cfvo type="percent" val="0"/>
        <cfvo type="percent" val="12"/>
        <cfvo type="percent" val="13" gte="0"/>
      </iconSet>
    </cfRule>
  </conditionalFormatting>
  <conditionalFormatting sqref="EK61:EL62">
    <cfRule type="duplicateValues" dxfId="910" priority="523"/>
    <cfRule type="iconSet" priority="524">
      <iconSet>
        <cfvo type="percent" val="0"/>
        <cfvo type="percent" val="12"/>
        <cfvo type="percent" val="13"/>
      </iconSet>
    </cfRule>
  </conditionalFormatting>
  <conditionalFormatting sqref="EK61:EL62">
    <cfRule type="duplicateValues" dxfId="909" priority="521"/>
    <cfRule type="iconSet" priority="522">
      <iconSet iconSet="3Signs">
        <cfvo type="percent" val="0"/>
        <cfvo type="percent" val="12"/>
        <cfvo type="percent" val="13" gte="0"/>
      </iconSet>
    </cfRule>
  </conditionalFormatting>
  <conditionalFormatting sqref="EK69:EL70">
    <cfRule type="duplicateValues" dxfId="908" priority="519"/>
    <cfRule type="iconSet" priority="520">
      <iconSet>
        <cfvo type="percent" val="0"/>
        <cfvo type="percent" val="12"/>
        <cfvo type="percent" val="13"/>
      </iconSet>
    </cfRule>
  </conditionalFormatting>
  <conditionalFormatting sqref="EK69:EL70">
    <cfRule type="duplicateValues" dxfId="907" priority="517"/>
    <cfRule type="iconSet" priority="518">
      <iconSet iconSet="3Signs">
        <cfvo type="percent" val="0"/>
        <cfvo type="percent" val="12"/>
        <cfvo type="percent" val="13" gte="0"/>
      </iconSet>
    </cfRule>
  </conditionalFormatting>
  <conditionalFormatting sqref="ES13:ES14">
    <cfRule type="duplicateValues" dxfId="906" priority="515"/>
  </conditionalFormatting>
  <conditionalFormatting sqref="ES13:ES14">
    <cfRule type="duplicateValues" dxfId="905" priority="513"/>
    <cfRule type="iconSet" priority="514">
      <iconSet iconSet="3Signs">
        <cfvo type="percent" val="0"/>
        <cfvo type="percent" val="12"/>
        <cfvo type="percent" val="13" gte="0"/>
      </iconSet>
    </cfRule>
  </conditionalFormatting>
  <conditionalFormatting sqref="ES23:ES24">
    <cfRule type="duplicateValues" dxfId="904" priority="511"/>
    <cfRule type="iconSet" priority="512">
      <iconSet>
        <cfvo type="percent" val="0"/>
        <cfvo type="percent" val="12"/>
        <cfvo type="percent" val="13"/>
      </iconSet>
    </cfRule>
  </conditionalFormatting>
  <conditionalFormatting sqref="ES23:ES24">
    <cfRule type="duplicateValues" dxfId="903" priority="509"/>
    <cfRule type="iconSet" priority="510">
      <iconSet iconSet="3Signs">
        <cfvo type="percent" val="0"/>
        <cfvo type="percent" val="12"/>
        <cfvo type="percent" val="13" gte="0"/>
      </iconSet>
    </cfRule>
  </conditionalFormatting>
  <conditionalFormatting sqref="ES33:ES36">
    <cfRule type="duplicateValues" dxfId="902" priority="507"/>
    <cfRule type="iconSet" priority="508">
      <iconSet>
        <cfvo type="percent" val="0"/>
        <cfvo type="percent" val="12"/>
        <cfvo type="percent" val="13"/>
      </iconSet>
    </cfRule>
  </conditionalFormatting>
  <conditionalFormatting sqref="ES33:ES36">
    <cfRule type="duplicateValues" dxfId="901" priority="505"/>
    <cfRule type="iconSet" priority="506">
      <iconSet iconSet="3Signs">
        <cfvo type="percent" val="0"/>
        <cfvo type="percent" val="12"/>
        <cfvo type="percent" val="13" gte="0"/>
      </iconSet>
    </cfRule>
  </conditionalFormatting>
  <conditionalFormatting sqref="ES43:ES44">
    <cfRule type="duplicateValues" dxfId="900" priority="503"/>
    <cfRule type="iconSet" priority="504">
      <iconSet>
        <cfvo type="percent" val="0"/>
        <cfvo type="percent" val="12"/>
        <cfvo type="percent" val="13"/>
      </iconSet>
    </cfRule>
  </conditionalFormatting>
  <conditionalFormatting sqref="ES43:ES44">
    <cfRule type="duplicateValues" dxfId="899" priority="501"/>
    <cfRule type="iconSet" priority="502">
      <iconSet iconSet="3Signs">
        <cfvo type="percent" val="0"/>
        <cfvo type="percent" val="12"/>
        <cfvo type="percent" val="13" gte="0"/>
      </iconSet>
    </cfRule>
  </conditionalFormatting>
  <conditionalFormatting sqref="EY37:EY38">
    <cfRule type="duplicateValues" dxfId="898" priority="496"/>
  </conditionalFormatting>
  <conditionalFormatting sqref="EY37:EY38">
    <cfRule type="duplicateValues" dxfId="897" priority="493"/>
    <cfRule type="iconSet" priority="494">
      <iconSet iconSet="3Signs">
        <cfvo type="percent" val="0"/>
        <cfvo type="percent" val="12"/>
        <cfvo type="percent" val="13" gte="0"/>
      </iconSet>
    </cfRule>
  </conditionalFormatting>
  <conditionalFormatting sqref="EY60:EY61">
    <cfRule type="iconSet" priority="490">
      <iconSet iconSet="3Signs">
        <cfvo type="percent" val="0"/>
        <cfvo type="percent" val="12"/>
        <cfvo type="percent" val="13" gte="0"/>
      </iconSet>
    </cfRule>
  </conditionalFormatting>
  <conditionalFormatting sqref="EY66:EY67">
    <cfRule type="iconSet" priority="486">
      <iconSet iconSet="3Signs">
        <cfvo type="percent" val="0"/>
        <cfvo type="percent" val="12"/>
        <cfvo type="percent" val="13" gte="0"/>
      </iconSet>
    </cfRule>
  </conditionalFormatting>
  <conditionalFormatting sqref="FE27:FE28">
    <cfRule type="duplicateValues" dxfId="896" priority="484"/>
  </conditionalFormatting>
  <conditionalFormatting sqref="FE27:FE28">
    <cfRule type="duplicateValues" dxfId="895" priority="481"/>
    <cfRule type="iconSet" priority="482">
      <iconSet iconSet="3Signs">
        <cfvo type="percent" val="0"/>
        <cfvo type="percent" val="12"/>
        <cfvo type="percent" val="13" gte="0"/>
      </iconSet>
    </cfRule>
  </conditionalFormatting>
  <conditionalFormatting sqref="FE52:FE53">
    <cfRule type="duplicateValues" dxfId="894" priority="480"/>
  </conditionalFormatting>
  <conditionalFormatting sqref="FE52:FE53">
    <cfRule type="duplicateValues" dxfId="893" priority="477"/>
    <cfRule type="iconSet" priority="478">
      <iconSet iconSet="3Signs">
        <cfvo type="percent" val="0"/>
        <cfvo type="percent" val="12"/>
        <cfvo type="percent" val="13" gte="0"/>
      </iconSet>
    </cfRule>
  </conditionalFormatting>
  <conditionalFormatting sqref="FE60:FE61">
    <cfRule type="iconSet" priority="474">
      <iconSet iconSet="3Signs">
        <cfvo type="percent" val="0"/>
        <cfvo type="percent" val="12"/>
        <cfvo type="percent" val="13" gte="0"/>
      </iconSet>
    </cfRule>
  </conditionalFormatting>
  <conditionalFormatting sqref="FE66:FE67">
    <cfRule type="iconSet" priority="470">
      <iconSet iconSet="3Signs">
        <cfvo type="percent" val="0"/>
        <cfvo type="percent" val="12"/>
        <cfvo type="percent" val="13" gte="0"/>
      </iconSet>
    </cfRule>
  </conditionalFormatting>
  <conditionalFormatting sqref="BC92">
    <cfRule type="expression" dxfId="892" priority="1987" stopIfTrue="1">
      <formula>(OR(#REF!="1",#REF!="2",#REF!="3"))</formula>
    </cfRule>
  </conditionalFormatting>
  <conditionalFormatting sqref="BC93">
    <cfRule type="expression" dxfId="891" priority="1989">
      <formula>(OR(#REF!="2",#REF!="3"))</formula>
    </cfRule>
  </conditionalFormatting>
  <conditionalFormatting sqref="BC92">
    <cfRule type="expression" dxfId="890" priority="2069" stopIfTrue="1">
      <formula>(OR(#REF!="1",#REF!="2",#REF!="3"))</formula>
    </cfRule>
  </conditionalFormatting>
  <conditionalFormatting sqref="BC93">
    <cfRule type="expression" dxfId="889" priority="2071">
      <formula>(OR(#REF!="2",#REF!="3"))</formula>
    </cfRule>
  </conditionalFormatting>
  <conditionalFormatting sqref="BC36">
    <cfRule type="expression" dxfId="888" priority="2397" stopIfTrue="1">
      <formula>(OR(#REF!="1",#REF!="2",#REF!="3"))</formula>
    </cfRule>
  </conditionalFormatting>
  <conditionalFormatting sqref="BC37">
    <cfRule type="expression" dxfId="887" priority="2398">
      <formula>(OR(#REF!="2",#REF!="3"))</formula>
    </cfRule>
  </conditionalFormatting>
  <conditionalFormatting sqref="AH23">
    <cfRule type="cellIs" dxfId="886" priority="464" operator="equal">
      <formula>4</formula>
    </cfRule>
  </conditionalFormatting>
  <conditionalFormatting sqref="AH28">
    <cfRule type="cellIs" dxfId="885" priority="463" operator="equal">
      <formula>9</formula>
    </cfRule>
  </conditionalFormatting>
  <conditionalFormatting sqref="AH30">
    <cfRule type="cellIs" dxfId="884" priority="462" operator="equal">
      <formula>11</formula>
    </cfRule>
  </conditionalFormatting>
  <conditionalFormatting sqref="AH31">
    <cfRule type="cellIs" dxfId="883" priority="461" operator="equal">
      <formula>12</formula>
    </cfRule>
  </conditionalFormatting>
  <conditionalFormatting sqref="AH76:AH79 AH84:AH87 AH92:AH95 AH68:AH70">
    <cfRule type="cellIs" dxfId="882" priority="460" operator="greaterThan">
      <formula>0</formula>
    </cfRule>
  </conditionalFormatting>
  <conditionalFormatting sqref="AH83 AH87 AH91 AH95 AH99 AH79">
    <cfRule type="cellIs" dxfId="881" priority="459" operator="equal">
      <formula>0</formula>
    </cfRule>
  </conditionalFormatting>
  <conditionalFormatting sqref="AH80:AH83 AH88:AH91 AH96:AH99">
    <cfRule type="cellIs" dxfId="880" priority="458" operator="greaterThan">
      <formula>0</formula>
    </cfRule>
  </conditionalFormatting>
  <conditionalFormatting sqref="AH75">
    <cfRule type="cellIs" dxfId="879" priority="456" operator="greaterThan">
      <formula>0</formula>
    </cfRule>
    <cfRule type="cellIs" dxfId="878" priority="457" operator="equal">
      <formula>0</formula>
    </cfRule>
  </conditionalFormatting>
  <conditionalFormatting sqref="BC28">
    <cfRule type="expression" dxfId="877" priority="2945" stopIfTrue="1">
      <formula>(OR(#REF!="1",#REF!="2",#REF!="3"))</formula>
    </cfRule>
  </conditionalFormatting>
  <conditionalFormatting sqref="DV35:DV36">
    <cfRule type="iconSet" priority="454">
      <iconSet iconSet="3Signs">
        <cfvo type="percent" val="0"/>
        <cfvo type="percent" val="12"/>
        <cfvo type="percent" val="13" gte="0"/>
      </iconSet>
    </cfRule>
  </conditionalFormatting>
  <conditionalFormatting sqref="DV39:DV40">
    <cfRule type="iconSet" priority="453">
      <iconSet iconSet="3Signs">
        <cfvo type="percent" val="0"/>
        <cfvo type="percent" val="12"/>
        <cfvo type="percent" val="13" gte="0"/>
      </iconSet>
    </cfRule>
  </conditionalFormatting>
  <conditionalFormatting sqref="DV43:DV44">
    <cfRule type="iconSet" priority="452">
      <iconSet iconSet="3Signs">
        <cfvo type="percent" val="0"/>
        <cfvo type="percent" val="12"/>
        <cfvo type="percent" val="13" gte="0"/>
      </iconSet>
    </cfRule>
  </conditionalFormatting>
  <conditionalFormatting sqref="DV47:DV48">
    <cfRule type="iconSet" priority="451">
      <iconSet iconSet="3Signs">
        <cfvo type="percent" val="0"/>
        <cfvo type="percent" val="12"/>
        <cfvo type="percent" val="13" gte="0"/>
      </iconSet>
    </cfRule>
  </conditionalFormatting>
  <conditionalFormatting sqref="DV51:DV52">
    <cfRule type="iconSet" priority="450">
      <iconSet iconSet="3Signs">
        <cfvo type="percent" val="0"/>
        <cfvo type="percent" val="12"/>
        <cfvo type="percent" val="13" gte="0"/>
      </iconSet>
    </cfRule>
  </conditionalFormatting>
  <conditionalFormatting sqref="DV55:DV56">
    <cfRule type="iconSet" priority="449">
      <iconSet iconSet="3Signs">
        <cfvo type="percent" val="0"/>
        <cfvo type="percent" val="12"/>
        <cfvo type="percent" val="13" gte="0"/>
      </iconSet>
    </cfRule>
  </conditionalFormatting>
  <conditionalFormatting sqref="DV59:DV60">
    <cfRule type="iconSet" priority="448">
      <iconSet iconSet="3Signs">
        <cfvo type="percent" val="0"/>
        <cfvo type="percent" val="12"/>
        <cfvo type="percent" val="13" gte="0"/>
      </iconSet>
    </cfRule>
  </conditionalFormatting>
  <conditionalFormatting sqref="DV63:DV64">
    <cfRule type="iconSet" priority="447">
      <iconSet iconSet="3Signs">
        <cfvo type="percent" val="0"/>
        <cfvo type="percent" val="12"/>
        <cfvo type="percent" val="13" gte="0"/>
      </iconSet>
    </cfRule>
  </conditionalFormatting>
  <conditionalFormatting sqref="DV67:DV68">
    <cfRule type="iconSet" priority="446">
      <iconSet iconSet="3Signs">
        <cfvo type="percent" val="0"/>
        <cfvo type="percent" val="12"/>
        <cfvo type="percent" val="13" gte="0"/>
      </iconSet>
    </cfRule>
  </conditionalFormatting>
  <conditionalFormatting sqref="DV71:DV72">
    <cfRule type="iconSet" priority="445">
      <iconSet iconSet="3Signs">
        <cfvo type="percent" val="0"/>
        <cfvo type="percent" val="12"/>
        <cfvo type="percent" val="13" gte="0"/>
      </iconSet>
    </cfRule>
  </conditionalFormatting>
  <conditionalFormatting sqref="DV23:DV24">
    <cfRule type="iconSet" priority="442">
      <iconSet iconSet="3Signs">
        <cfvo type="percent" val="0"/>
        <cfvo type="percent" val="12"/>
        <cfvo type="percent" val="13" gte="0"/>
      </iconSet>
    </cfRule>
  </conditionalFormatting>
  <conditionalFormatting sqref="BC72">
    <cfRule type="expression" dxfId="876" priority="3653" stopIfTrue="1">
      <formula>(OR(#REF!="1",#REF!="2",#REF!="3"))</formula>
    </cfRule>
  </conditionalFormatting>
  <conditionalFormatting sqref="BC73">
    <cfRule type="expression" dxfId="875" priority="3654">
      <formula>(OR(#REF!="2",#REF!="3"))</formula>
    </cfRule>
  </conditionalFormatting>
  <conditionalFormatting sqref="BC72">
    <cfRule type="expression" dxfId="874" priority="3657" stopIfTrue="1">
      <formula>(OR(#REF!="1",#REF!="2",#REF!="3"))</formula>
    </cfRule>
  </conditionalFormatting>
  <conditionalFormatting sqref="BC73">
    <cfRule type="expression" dxfId="873" priority="3658">
      <formula>(OR(#REF!="2",#REF!="3"))</formula>
    </cfRule>
  </conditionalFormatting>
  <conditionalFormatting sqref="BC56 BC40 BC48 BC44 BC52">
    <cfRule type="expression" dxfId="872" priority="3725" stopIfTrue="1">
      <formula>(OR(#REF!="1",#REF!="2",#REF!="3"))</formula>
    </cfRule>
  </conditionalFormatting>
  <conditionalFormatting sqref="BC57 BC41 BC49 BC45 BC53">
    <cfRule type="expression" dxfId="871" priority="3728">
      <formula>(OR(#REF!="2",#REF!="3"))</formula>
    </cfRule>
  </conditionalFormatting>
  <conditionalFormatting sqref="BC60">
    <cfRule type="expression" dxfId="870" priority="8684" stopIfTrue="1">
      <formula>(OR(EX1048569="1",EX1048569="2",EX1048569="3"))</formula>
    </cfRule>
  </conditionalFormatting>
  <conditionalFormatting sqref="BC61">
    <cfRule type="expression" dxfId="869" priority="8686">
      <formula>(OR(EX1048569="2",EX1048569="3"))</formula>
    </cfRule>
  </conditionalFormatting>
  <conditionalFormatting sqref="BC96">
    <cfRule type="expression" dxfId="868" priority="8708" stopIfTrue="1">
      <formula>(OR(EU57="1",EU57="2",EU57="3"))</formula>
    </cfRule>
  </conditionalFormatting>
  <conditionalFormatting sqref="BC97">
    <cfRule type="expression" dxfId="867" priority="8710">
      <formula>(OR(EU57="2",EU57="3"))</formula>
    </cfRule>
  </conditionalFormatting>
  <conditionalFormatting sqref="EE15:EE16">
    <cfRule type="duplicateValues" dxfId="866" priority="426"/>
    <cfRule type="iconSet" priority="427">
      <iconSet iconSet="3Signs">
        <cfvo type="percent" val="0"/>
        <cfvo type="percent" val="12"/>
        <cfvo type="percent" val="13" gte="0"/>
      </iconSet>
    </cfRule>
  </conditionalFormatting>
  <conditionalFormatting sqref="EE19:EE20">
    <cfRule type="duplicateValues" dxfId="865" priority="424"/>
    <cfRule type="iconSet" priority="425">
      <iconSet>
        <cfvo type="percent" val="0"/>
        <cfvo type="percent" val="12"/>
        <cfvo type="percent" val="13"/>
      </iconSet>
    </cfRule>
  </conditionalFormatting>
  <conditionalFormatting sqref="EE19:EE20">
    <cfRule type="duplicateValues" dxfId="864" priority="422"/>
    <cfRule type="iconSet" priority="423">
      <iconSet iconSet="3Signs">
        <cfvo type="percent" val="0"/>
        <cfvo type="percent" val="12"/>
        <cfvo type="percent" val="13" gte="0"/>
      </iconSet>
    </cfRule>
  </conditionalFormatting>
  <conditionalFormatting sqref="EE23:EE24">
    <cfRule type="duplicateValues" dxfId="863" priority="418"/>
    <cfRule type="iconSet" priority="419">
      <iconSet>
        <cfvo type="percent" val="0"/>
        <cfvo type="percent" val="12"/>
        <cfvo type="percent" val="13"/>
      </iconSet>
    </cfRule>
  </conditionalFormatting>
  <conditionalFormatting sqref="EE23:EE24">
    <cfRule type="duplicateValues" dxfId="862" priority="416"/>
    <cfRule type="iconSet" priority="417">
      <iconSet iconSet="3Signs">
        <cfvo type="percent" val="0"/>
        <cfvo type="percent" val="12"/>
        <cfvo type="percent" val="13" gte="0"/>
      </iconSet>
    </cfRule>
  </conditionalFormatting>
  <conditionalFormatting sqref="EE27:EE28">
    <cfRule type="duplicateValues" dxfId="861" priority="412"/>
    <cfRule type="iconSet" priority="413">
      <iconSet>
        <cfvo type="percent" val="0"/>
        <cfvo type="percent" val="12"/>
        <cfvo type="percent" val="13"/>
      </iconSet>
    </cfRule>
  </conditionalFormatting>
  <conditionalFormatting sqref="EE27:EE28">
    <cfRule type="duplicateValues" dxfId="860" priority="410"/>
    <cfRule type="iconSet" priority="411">
      <iconSet iconSet="3Signs">
        <cfvo type="percent" val="0"/>
        <cfvo type="percent" val="12"/>
        <cfvo type="percent" val="13" gte="0"/>
      </iconSet>
    </cfRule>
  </conditionalFormatting>
  <conditionalFormatting sqref="EE31:EE32">
    <cfRule type="duplicateValues" dxfId="859" priority="406"/>
    <cfRule type="iconSet" priority="407">
      <iconSet>
        <cfvo type="percent" val="0"/>
        <cfvo type="percent" val="12"/>
        <cfvo type="percent" val="13"/>
      </iconSet>
    </cfRule>
  </conditionalFormatting>
  <conditionalFormatting sqref="EE31:EE32">
    <cfRule type="duplicateValues" dxfId="858" priority="404"/>
    <cfRule type="iconSet" priority="405">
      <iconSet iconSet="3Signs">
        <cfvo type="percent" val="0"/>
        <cfvo type="percent" val="12"/>
        <cfvo type="percent" val="13" gte="0"/>
      </iconSet>
    </cfRule>
  </conditionalFormatting>
  <conditionalFormatting sqref="EE35:EE36">
    <cfRule type="duplicateValues" dxfId="857" priority="400"/>
    <cfRule type="iconSet" priority="401">
      <iconSet>
        <cfvo type="percent" val="0"/>
        <cfvo type="percent" val="12"/>
        <cfvo type="percent" val="13"/>
      </iconSet>
    </cfRule>
  </conditionalFormatting>
  <conditionalFormatting sqref="EE35:EE36">
    <cfRule type="duplicateValues" dxfId="856" priority="398"/>
    <cfRule type="iconSet" priority="399">
      <iconSet iconSet="3Signs">
        <cfvo type="percent" val="0"/>
        <cfvo type="percent" val="12"/>
        <cfvo type="percent" val="13" gte="0"/>
      </iconSet>
    </cfRule>
  </conditionalFormatting>
  <conditionalFormatting sqref="EE39:EE40">
    <cfRule type="duplicateValues" dxfId="855" priority="394"/>
    <cfRule type="iconSet" priority="395">
      <iconSet>
        <cfvo type="percent" val="0"/>
        <cfvo type="percent" val="12"/>
        <cfvo type="percent" val="13"/>
      </iconSet>
    </cfRule>
  </conditionalFormatting>
  <conditionalFormatting sqref="EE39:EE40">
    <cfRule type="duplicateValues" dxfId="854" priority="392"/>
    <cfRule type="iconSet" priority="393">
      <iconSet iconSet="3Signs">
        <cfvo type="percent" val="0"/>
        <cfvo type="percent" val="12"/>
        <cfvo type="percent" val="13" gte="0"/>
      </iconSet>
    </cfRule>
  </conditionalFormatting>
  <conditionalFormatting sqref="EE43:EE44">
    <cfRule type="duplicateValues" dxfId="853" priority="388"/>
    <cfRule type="iconSet" priority="389">
      <iconSet>
        <cfvo type="percent" val="0"/>
        <cfvo type="percent" val="12"/>
        <cfvo type="percent" val="13"/>
      </iconSet>
    </cfRule>
  </conditionalFormatting>
  <conditionalFormatting sqref="EE43:EE44">
    <cfRule type="duplicateValues" dxfId="852" priority="386"/>
    <cfRule type="iconSet" priority="387">
      <iconSet iconSet="3Signs">
        <cfvo type="percent" val="0"/>
        <cfvo type="percent" val="12"/>
        <cfvo type="percent" val="13" gte="0"/>
      </iconSet>
    </cfRule>
  </conditionalFormatting>
  <conditionalFormatting sqref="EE47:EE48">
    <cfRule type="duplicateValues" dxfId="851" priority="382"/>
    <cfRule type="iconSet" priority="383">
      <iconSet>
        <cfvo type="percent" val="0"/>
        <cfvo type="percent" val="12"/>
        <cfvo type="percent" val="13"/>
      </iconSet>
    </cfRule>
  </conditionalFormatting>
  <conditionalFormatting sqref="EE47:EE48">
    <cfRule type="duplicateValues" dxfId="850" priority="380"/>
    <cfRule type="iconSet" priority="381">
      <iconSet iconSet="3Signs">
        <cfvo type="percent" val="0"/>
        <cfvo type="percent" val="12"/>
        <cfvo type="percent" val="13" gte="0"/>
      </iconSet>
    </cfRule>
  </conditionalFormatting>
  <conditionalFormatting sqref="EE51:EE52">
    <cfRule type="duplicateValues" dxfId="849" priority="376"/>
    <cfRule type="iconSet" priority="377">
      <iconSet>
        <cfvo type="percent" val="0"/>
        <cfvo type="percent" val="12"/>
        <cfvo type="percent" val="13"/>
      </iconSet>
    </cfRule>
  </conditionalFormatting>
  <conditionalFormatting sqref="EE51:EE52">
    <cfRule type="duplicateValues" dxfId="848" priority="374"/>
    <cfRule type="iconSet" priority="375">
      <iconSet iconSet="3Signs">
        <cfvo type="percent" val="0"/>
        <cfvo type="percent" val="12"/>
        <cfvo type="percent" val="13" gte="0"/>
      </iconSet>
    </cfRule>
  </conditionalFormatting>
  <conditionalFormatting sqref="EE55:EE56">
    <cfRule type="duplicateValues" dxfId="847" priority="370"/>
    <cfRule type="iconSet" priority="371">
      <iconSet>
        <cfvo type="percent" val="0"/>
        <cfvo type="percent" val="12"/>
        <cfvo type="percent" val="13"/>
      </iconSet>
    </cfRule>
  </conditionalFormatting>
  <conditionalFormatting sqref="EE55:EE56">
    <cfRule type="duplicateValues" dxfId="846" priority="368"/>
    <cfRule type="iconSet" priority="369">
      <iconSet iconSet="3Signs">
        <cfvo type="percent" val="0"/>
        <cfvo type="percent" val="12"/>
        <cfvo type="percent" val="13" gte="0"/>
      </iconSet>
    </cfRule>
  </conditionalFormatting>
  <conditionalFormatting sqref="EE59:EE60">
    <cfRule type="duplicateValues" dxfId="845" priority="364"/>
    <cfRule type="iconSet" priority="365">
      <iconSet>
        <cfvo type="percent" val="0"/>
        <cfvo type="percent" val="12"/>
        <cfvo type="percent" val="13"/>
      </iconSet>
    </cfRule>
  </conditionalFormatting>
  <conditionalFormatting sqref="EE59:EE60">
    <cfRule type="duplicateValues" dxfId="844" priority="362"/>
    <cfRule type="iconSet" priority="363">
      <iconSet iconSet="3Signs">
        <cfvo type="percent" val="0"/>
        <cfvo type="percent" val="12"/>
        <cfvo type="percent" val="13" gte="0"/>
      </iconSet>
    </cfRule>
  </conditionalFormatting>
  <conditionalFormatting sqref="EE63:EE64">
    <cfRule type="duplicateValues" dxfId="843" priority="358"/>
    <cfRule type="iconSet" priority="359">
      <iconSet>
        <cfvo type="percent" val="0"/>
        <cfvo type="percent" val="12"/>
        <cfvo type="percent" val="13"/>
      </iconSet>
    </cfRule>
  </conditionalFormatting>
  <conditionalFormatting sqref="EE63:EE64">
    <cfRule type="duplicateValues" dxfId="842" priority="356"/>
    <cfRule type="iconSet" priority="357">
      <iconSet iconSet="3Signs">
        <cfvo type="percent" val="0"/>
        <cfvo type="percent" val="12"/>
        <cfvo type="percent" val="13" gte="0"/>
      </iconSet>
    </cfRule>
  </conditionalFormatting>
  <conditionalFormatting sqref="EE67:EE68">
    <cfRule type="duplicateValues" dxfId="841" priority="352"/>
    <cfRule type="iconSet" priority="353">
      <iconSet>
        <cfvo type="percent" val="0"/>
        <cfvo type="percent" val="12"/>
        <cfvo type="percent" val="13"/>
      </iconSet>
    </cfRule>
  </conditionalFormatting>
  <conditionalFormatting sqref="EE67:EE68">
    <cfRule type="duplicateValues" dxfId="840" priority="350"/>
    <cfRule type="iconSet" priority="351">
      <iconSet iconSet="3Signs">
        <cfvo type="percent" val="0"/>
        <cfvo type="percent" val="12"/>
        <cfvo type="percent" val="13" gte="0"/>
      </iconSet>
    </cfRule>
  </conditionalFormatting>
  <conditionalFormatting sqref="EE71:EE72">
    <cfRule type="duplicateValues" dxfId="839" priority="346"/>
    <cfRule type="iconSet" priority="347">
      <iconSet>
        <cfvo type="percent" val="0"/>
        <cfvo type="percent" val="12"/>
        <cfvo type="percent" val="13"/>
      </iconSet>
    </cfRule>
  </conditionalFormatting>
  <conditionalFormatting sqref="EE71:EE72">
    <cfRule type="duplicateValues" dxfId="838" priority="344"/>
    <cfRule type="iconSet" priority="345">
      <iconSet iconSet="3Signs">
        <cfvo type="percent" val="0"/>
        <cfvo type="percent" val="12"/>
        <cfvo type="percent" val="13" gte="0"/>
      </iconSet>
    </cfRule>
  </conditionalFormatting>
  <conditionalFormatting sqref="ED11:EE12">
    <cfRule type="duplicateValues" dxfId="837" priority="10682"/>
    <cfRule type="iconSet" priority="10683">
      <iconSet iconSet="3Signs">
        <cfvo type="percent" val="0"/>
        <cfvo type="percent" val="12"/>
        <cfvo type="percent" val="13" gte="0"/>
      </iconSet>
    </cfRule>
  </conditionalFormatting>
  <conditionalFormatting sqref="ED15:EE16">
    <cfRule type="duplicateValues" dxfId="836" priority="10860"/>
    <cfRule type="iconSet" priority="10861">
      <iconSet>
        <cfvo type="percent" val="0"/>
        <cfvo type="percent" val="12"/>
        <cfvo type="percent" val="13"/>
      </iconSet>
    </cfRule>
  </conditionalFormatting>
  <conditionalFormatting sqref="ED39:EE40">
    <cfRule type="duplicateValues" dxfId="835" priority="10862"/>
    <cfRule type="iconSet" priority="10863">
      <iconSet>
        <cfvo type="percent" val="0"/>
        <cfvo type="percent" val="12"/>
        <cfvo type="percent" val="13"/>
      </iconSet>
    </cfRule>
  </conditionalFormatting>
  <conditionalFormatting sqref="ED43:EE44">
    <cfRule type="duplicateValues" dxfId="834" priority="10969"/>
    <cfRule type="iconSet" priority="10970">
      <iconSet>
        <cfvo type="percent" val="0"/>
        <cfvo type="percent" val="12"/>
        <cfvo type="percent" val="13"/>
      </iconSet>
    </cfRule>
  </conditionalFormatting>
  <conditionalFormatting sqref="ED47:EE48">
    <cfRule type="duplicateValues" dxfId="833" priority="10971"/>
    <cfRule type="iconSet" priority="10972">
      <iconSet>
        <cfvo type="percent" val="0"/>
        <cfvo type="percent" val="12"/>
        <cfvo type="percent" val="13"/>
      </iconSet>
    </cfRule>
  </conditionalFormatting>
  <conditionalFormatting sqref="ED15:EE16">
    <cfRule type="duplicateValues" dxfId="832" priority="11026"/>
    <cfRule type="iconSet" priority="11027">
      <iconSet iconSet="3Signs">
        <cfvo type="percent" val="0"/>
        <cfvo type="percent" val="12"/>
        <cfvo type="percent" val="13" gte="0"/>
      </iconSet>
    </cfRule>
  </conditionalFormatting>
  <conditionalFormatting sqref="ED19:EE20">
    <cfRule type="duplicateValues" dxfId="831" priority="11028"/>
    <cfRule type="iconSet" priority="11029">
      <iconSet iconSet="3Signs">
        <cfvo type="percent" val="0"/>
        <cfvo type="percent" val="12"/>
        <cfvo type="percent" val="13" gte="0"/>
      </iconSet>
    </cfRule>
  </conditionalFormatting>
  <conditionalFormatting sqref="ED23:EE24">
    <cfRule type="duplicateValues" dxfId="830" priority="11030"/>
    <cfRule type="iconSet" priority="11031">
      <iconSet iconSet="3Signs">
        <cfvo type="percent" val="0"/>
        <cfvo type="percent" val="12"/>
        <cfvo type="percent" val="13" gte="0"/>
      </iconSet>
    </cfRule>
  </conditionalFormatting>
  <conditionalFormatting sqref="ED27:EE28">
    <cfRule type="duplicateValues" dxfId="829" priority="11032"/>
    <cfRule type="iconSet" priority="11033">
      <iconSet iconSet="3Signs">
        <cfvo type="percent" val="0"/>
        <cfvo type="percent" val="12"/>
        <cfvo type="percent" val="13" gte="0"/>
      </iconSet>
    </cfRule>
  </conditionalFormatting>
  <conditionalFormatting sqref="ED31:EE32">
    <cfRule type="duplicateValues" dxfId="828" priority="11034"/>
    <cfRule type="iconSet" priority="11035">
      <iconSet iconSet="3Signs">
        <cfvo type="percent" val="0"/>
        <cfvo type="percent" val="12"/>
        <cfvo type="percent" val="13" gte="0"/>
      </iconSet>
    </cfRule>
  </conditionalFormatting>
  <conditionalFormatting sqref="ED35:EE36">
    <cfRule type="duplicateValues" dxfId="827" priority="11036"/>
    <cfRule type="iconSet" priority="11037">
      <iconSet iconSet="3Signs">
        <cfvo type="percent" val="0"/>
        <cfvo type="percent" val="12"/>
        <cfvo type="percent" val="13" gte="0"/>
      </iconSet>
    </cfRule>
  </conditionalFormatting>
  <conditionalFormatting sqref="ED39:EE40">
    <cfRule type="duplicateValues" dxfId="826" priority="11038"/>
    <cfRule type="iconSet" priority="11039">
      <iconSet iconSet="3Signs">
        <cfvo type="percent" val="0"/>
        <cfvo type="percent" val="12"/>
        <cfvo type="percent" val="13" gte="0"/>
      </iconSet>
    </cfRule>
  </conditionalFormatting>
  <conditionalFormatting sqref="ED43:EE44">
    <cfRule type="duplicateValues" dxfId="825" priority="11040"/>
    <cfRule type="iconSet" priority="11041">
      <iconSet iconSet="3Signs">
        <cfvo type="percent" val="0"/>
        <cfvo type="percent" val="12"/>
        <cfvo type="percent" val="13" gte="0"/>
      </iconSet>
    </cfRule>
  </conditionalFormatting>
  <conditionalFormatting sqref="ED47:EE48">
    <cfRule type="duplicateValues" dxfId="824" priority="11042"/>
    <cfRule type="iconSet" priority="11043">
      <iconSet iconSet="3Signs">
        <cfvo type="percent" val="0"/>
        <cfvo type="percent" val="12"/>
        <cfvo type="percent" val="13" gte="0"/>
      </iconSet>
    </cfRule>
  </conditionalFormatting>
  <conditionalFormatting sqref="ED51:EE52">
    <cfRule type="duplicateValues" dxfId="823" priority="11044"/>
    <cfRule type="iconSet" priority="11045">
      <iconSet iconSet="3Signs">
        <cfvo type="percent" val="0"/>
        <cfvo type="percent" val="12"/>
        <cfvo type="percent" val="13" gte="0"/>
      </iconSet>
    </cfRule>
  </conditionalFormatting>
  <conditionalFormatting sqref="ED55:EE56">
    <cfRule type="duplicateValues" dxfId="822" priority="11046"/>
    <cfRule type="iconSet" priority="11047">
      <iconSet iconSet="3Signs">
        <cfvo type="percent" val="0"/>
        <cfvo type="percent" val="12"/>
        <cfvo type="percent" val="13" gte="0"/>
      </iconSet>
    </cfRule>
  </conditionalFormatting>
  <conditionalFormatting sqref="ED59:EE60">
    <cfRule type="duplicateValues" dxfId="821" priority="11048"/>
    <cfRule type="iconSet" priority="11049">
      <iconSet iconSet="3Signs">
        <cfvo type="percent" val="0"/>
        <cfvo type="percent" val="12"/>
        <cfvo type="percent" val="13" gte="0"/>
      </iconSet>
    </cfRule>
  </conditionalFormatting>
  <conditionalFormatting sqref="ED63:EE64">
    <cfRule type="duplicateValues" dxfId="820" priority="11050"/>
    <cfRule type="iconSet" priority="11051">
      <iconSet iconSet="3Signs">
        <cfvo type="percent" val="0"/>
        <cfvo type="percent" val="12"/>
        <cfvo type="percent" val="13" gte="0"/>
      </iconSet>
    </cfRule>
  </conditionalFormatting>
  <conditionalFormatting sqref="ED67:EE68">
    <cfRule type="duplicateValues" dxfId="819" priority="11052"/>
    <cfRule type="iconSet" priority="11053">
      <iconSet iconSet="3Signs">
        <cfvo type="percent" val="0"/>
        <cfvo type="percent" val="12"/>
        <cfvo type="percent" val="13" gte="0"/>
      </iconSet>
    </cfRule>
  </conditionalFormatting>
  <conditionalFormatting sqref="EL13:EL14">
    <cfRule type="duplicateValues" dxfId="818" priority="340"/>
    <cfRule type="iconSet" priority="341">
      <iconSet iconSet="3Signs">
        <cfvo type="percent" val="0"/>
        <cfvo type="percent" val="12"/>
        <cfvo type="percent" val="13" gte="0"/>
      </iconSet>
    </cfRule>
  </conditionalFormatting>
  <conditionalFormatting sqref="EL21:EL22">
    <cfRule type="duplicateValues" dxfId="817" priority="339"/>
  </conditionalFormatting>
  <conditionalFormatting sqref="EL21:EL22">
    <cfRule type="duplicateValues" dxfId="816" priority="337"/>
    <cfRule type="iconSet" priority="338">
      <iconSet>
        <cfvo type="percent" val="0"/>
        <cfvo type="percent" val="12"/>
        <cfvo type="percent" val="13"/>
      </iconSet>
    </cfRule>
  </conditionalFormatting>
  <conditionalFormatting sqref="EL21:EL22">
    <cfRule type="duplicateValues" dxfId="815" priority="335"/>
    <cfRule type="iconSet" priority="336">
      <iconSet iconSet="3Signs">
        <cfvo type="percent" val="0"/>
        <cfvo type="percent" val="12"/>
        <cfvo type="percent" val="13" gte="0"/>
      </iconSet>
    </cfRule>
  </conditionalFormatting>
  <conditionalFormatting sqref="EL29:EL30">
    <cfRule type="duplicateValues" dxfId="814" priority="332"/>
  </conditionalFormatting>
  <conditionalFormatting sqref="EL29:EL30">
    <cfRule type="duplicateValues" dxfId="813" priority="330"/>
    <cfRule type="iconSet" priority="331">
      <iconSet>
        <cfvo type="percent" val="0"/>
        <cfvo type="percent" val="12"/>
        <cfvo type="percent" val="13"/>
      </iconSet>
    </cfRule>
  </conditionalFormatting>
  <conditionalFormatting sqref="EL29:EL30">
    <cfRule type="duplicateValues" dxfId="812" priority="328"/>
    <cfRule type="iconSet" priority="329">
      <iconSet iconSet="3Signs">
        <cfvo type="percent" val="0"/>
        <cfvo type="percent" val="12"/>
        <cfvo type="percent" val="13" gte="0"/>
      </iconSet>
    </cfRule>
  </conditionalFormatting>
  <conditionalFormatting sqref="EL37:EL38">
    <cfRule type="duplicateValues" dxfId="811" priority="325"/>
  </conditionalFormatting>
  <conditionalFormatting sqref="EL37:EL38">
    <cfRule type="duplicateValues" dxfId="810" priority="323"/>
    <cfRule type="iconSet" priority="324">
      <iconSet>
        <cfvo type="percent" val="0"/>
        <cfvo type="percent" val="12"/>
        <cfvo type="percent" val="13"/>
      </iconSet>
    </cfRule>
  </conditionalFormatting>
  <conditionalFormatting sqref="EL37:EL38">
    <cfRule type="duplicateValues" dxfId="809" priority="321"/>
    <cfRule type="iconSet" priority="322">
      <iconSet iconSet="3Signs">
        <cfvo type="percent" val="0"/>
        <cfvo type="percent" val="12"/>
        <cfvo type="percent" val="13" gte="0"/>
      </iconSet>
    </cfRule>
  </conditionalFormatting>
  <conditionalFormatting sqref="EL45:EL46">
    <cfRule type="duplicateValues" dxfId="808" priority="318"/>
  </conditionalFormatting>
  <conditionalFormatting sqref="EL45:EL46">
    <cfRule type="duplicateValues" dxfId="807" priority="316"/>
    <cfRule type="iconSet" priority="317">
      <iconSet>
        <cfvo type="percent" val="0"/>
        <cfvo type="percent" val="12"/>
        <cfvo type="percent" val="13"/>
      </iconSet>
    </cfRule>
  </conditionalFormatting>
  <conditionalFormatting sqref="EL45:EL46">
    <cfRule type="duplicateValues" dxfId="806" priority="314"/>
    <cfRule type="iconSet" priority="315">
      <iconSet iconSet="3Signs">
        <cfvo type="percent" val="0"/>
        <cfvo type="percent" val="12"/>
        <cfvo type="percent" val="13" gte="0"/>
      </iconSet>
    </cfRule>
  </conditionalFormatting>
  <conditionalFormatting sqref="EL53:EL54">
    <cfRule type="duplicateValues" dxfId="805" priority="311"/>
  </conditionalFormatting>
  <conditionalFormatting sqref="EL53:EL54">
    <cfRule type="duplicateValues" dxfId="804" priority="309"/>
    <cfRule type="iconSet" priority="310">
      <iconSet>
        <cfvo type="percent" val="0"/>
        <cfvo type="percent" val="12"/>
        <cfvo type="percent" val="13"/>
      </iconSet>
    </cfRule>
  </conditionalFormatting>
  <conditionalFormatting sqref="EL53:EL54">
    <cfRule type="duplicateValues" dxfId="803" priority="307"/>
    <cfRule type="iconSet" priority="308">
      <iconSet iconSet="3Signs">
        <cfvo type="percent" val="0"/>
        <cfvo type="percent" val="12"/>
        <cfvo type="percent" val="13" gte="0"/>
      </iconSet>
    </cfRule>
  </conditionalFormatting>
  <conditionalFormatting sqref="EL61:EL62">
    <cfRule type="duplicateValues" dxfId="802" priority="304"/>
  </conditionalFormatting>
  <conditionalFormatting sqref="EL61:EL62">
    <cfRule type="duplicateValues" dxfId="801" priority="302"/>
    <cfRule type="iconSet" priority="303">
      <iconSet>
        <cfvo type="percent" val="0"/>
        <cfvo type="percent" val="12"/>
        <cfvo type="percent" val="13"/>
      </iconSet>
    </cfRule>
  </conditionalFormatting>
  <conditionalFormatting sqref="EL61:EL62">
    <cfRule type="duplicateValues" dxfId="800" priority="300"/>
    <cfRule type="iconSet" priority="301">
      <iconSet iconSet="3Signs">
        <cfvo type="percent" val="0"/>
        <cfvo type="percent" val="12"/>
        <cfvo type="percent" val="13" gte="0"/>
      </iconSet>
    </cfRule>
  </conditionalFormatting>
  <conditionalFormatting sqref="EL69:EL70">
    <cfRule type="duplicateValues" dxfId="799" priority="297"/>
  </conditionalFormatting>
  <conditionalFormatting sqref="EL69:EL70">
    <cfRule type="duplicateValues" dxfId="798" priority="295"/>
    <cfRule type="iconSet" priority="296">
      <iconSet>
        <cfvo type="percent" val="0"/>
        <cfvo type="percent" val="12"/>
        <cfvo type="percent" val="13"/>
      </iconSet>
    </cfRule>
  </conditionalFormatting>
  <conditionalFormatting sqref="EL69:EL70">
    <cfRule type="duplicateValues" dxfId="797" priority="293"/>
    <cfRule type="iconSet" priority="294">
      <iconSet iconSet="3Signs">
        <cfvo type="percent" val="0"/>
        <cfvo type="percent" val="12"/>
        <cfvo type="percent" val="13" gte="0"/>
      </iconSet>
    </cfRule>
  </conditionalFormatting>
  <conditionalFormatting sqref="EP13:ER44">
    <cfRule type="duplicateValues" dxfId="796" priority="9"/>
    <cfRule type="duplicateValues" dxfId="795" priority="12"/>
    <cfRule type="duplicateValues" dxfId="794" priority="13956"/>
  </conditionalFormatting>
  <conditionalFormatting sqref="EY18:EY34">
    <cfRule type="duplicateValues" dxfId="793" priority="13957"/>
    <cfRule type="iconSet" priority="13958">
      <iconSet>
        <cfvo type="percent" val="0"/>
        <cfvo type="percent" val="12"/>
        <cfvo type="percent" val="13"/>
      </iconSet>
    </cfRule>
  </conditionalFormatting>
  <conditionalFormatting sqref="EY18:EY34">
    <cfRule type="duplicateValues" dxfId="792" priority="13961"/>
  </conditionalFormatting>
  <conditionalFormatting sqref="EY18:EY34">
    <cfRule type="duplicateValues" dxfId="791" priority="13963"/>
    <cfRule type="iconSet" priority="13964">
      <iconSet iconSet="3Signs">
        <cfvo type="percent" val="0"/>
        <cfvo type="percent" val="12"/>
        <cfvo type="percent" val="13" gte="0"/>
      </iconSet>
    </cfRule>
  </conditionalFormatting>
  <conditionalFormatting sqref="CI12:CI72 CJ45:CK47 CJ25:CK27 CJ49:CK51 CJ37:CK39 DS11:DS72 DT13:DU14 DT17:DU19 DT21:DU23 DT25:DU27 DT29:DU31 DT33:DU35 DT37:DU39 DT41:DU43 DT45:DU47 DT49:DU51 DT53:DU55 CJ69:CK70 CJ65:CK66 CJ61:CK63 CJ57:CK59 CJ53:CK55 CJ33:CK35 CJ29:CK31 CJ41:CK43 CJ21:CK23 CJ13:CK15 CJ17:CK19 DT57:DU59 DT61:DU67 DT69:DU71 AL20:AL99">
    <cfRule type="containsText" dxfId="790" priority="286" operator="containsText" text="OFFICE">
      <formula>NOT(ISERROR(SEARCH("OFFICE",AL11)))</formula>
    </cfRule>
  </conditionalFormatting>
  <conditionalFormatting sqref="BC80">
    <cfRule type="expression" dxfId="789" priority="14926" stopIfTrue="1">
      <formula>(OR(ET10="1",ET10="2",ET10="3"))</formula>
    </cfRule>
  </conditionalFormatting>
  <conditionalFormatting sqref="BC81">
    <cfRule type="expression" dxfId="788" priority="14928">
      <formula>(OR(ET10="2",ET10="3"))</formula>
    </cfRule>
  </conditionalFormatting>
  <conditionalFormatting sqref="BC84">
    <cfRule type="expression" dxfId="787" priority="14934" stopIfTrue="1">
      <formula>(OR(EU19="1",EU19="2",EU19="3"))</formula>
    </cfRule>
  </conditionalFormatting>
  <conditionalFormatting sqref="BC85">
    <cfRule type="expression" dxfId="786" priority="14936">
      <formula>(OR(EU19="2",EU19="3"))</formula>
    </cfRule>
  </conditionalFormatting>
  <conditionalFormatting sqref="BC88">
    <cfRule type="expression" dxfId="785" priority="14974" stopIfTrue="1">
      <formula>(OR(EU38="1",EU38="2",EU38="3"))</formula>
    </cfRule>
  </conditionalFormatting>
  <conditionalFormatting sqref="BC89">
    <cfRule type="expression" dxfId="784" priority="14976">
      <formula>(OR(EU38="2",EU38="3"))</formula>
    </cfRule>
  </conditionalFormatting>
  <conditionalFormatting sqref="BC60">
    <cfRule type="expression" dxfId="783" priority="15058" stopIfTrue="1">
      <formula>(OR(EZ1048569="1",EZ1048569="2",EZ1048569="3"))</formula>
    </cfRule>
  </conditionalFormatting>
  <conditionalFormatting sqref="BC61">
    <cfRule type="expression" dxfId="782" priority="15060">
      <formula>(OR(EZ1048569="2",EZ1048569="3"))</formula>
    </cfRule>
  </conditionalFormatting>
  <conditionalFormatting sqref="BC80">
    <cfRule type="expression" dxfId="781" priority="15066" stopIfTrue="1">
      <formula>(OR(EU10="1",EU10="2",EU10="3"))</formula>
    </cfRule>
  </conditionalFormatting>
  <conditionalFormatting sqref="BC81">
    <cfRule type="expression" dxfId="780" priority="15068">
      <formula>(OR(EU10="2",EU10="3"))</formula>
    </cfRule>
  </conditionalFormatting>
  <conditionalFormatting sqref="BC84">
    <cfRule type="expression" dxfId="779" priority="15074" stopIfTrue="1">
      <formula>(OR(EV19="1",EV19="2",EV19="3"))</formula>
    </cfRule>
  </conditionalFormatting>
  <conditionalFormatting sqref="BC85">
    <cfRule type="expression" dxfId="778" priority="15076">
      <formula>(OR(EV19="2",EV19="3"))</formula>
    </cfRule>
  </conditionalFormatting>
  <conditionalFormatting sqref="BC96">
    <cfRule type="expression" dxfId="777" priority="15082" stopIfTrue="1">
      <formula>(OR(EW57="1",EW57="2",EW57="3"))</formula>
    </cfRule>
  </conditionalFormatting>
  <conditionalFormatting sqref="BC97">
    <cfRule type="expression" dxfId="776" priority="15084">
      <formula>(OR(EW57="2",EW57="3"))</formula>
    </cfRule>
  </conditionalFormatting>
  <conditionalFormatting sqref="BC32">
    <cfRule type="expression" dxfId="775" priority="15098" stopIfTrue="1">
      <formula>(OR(CH6="1",CH6="2",CH6="3"))</formula>
    </cfRule>
  </conditionalFormatting>
  <conditionalFormatting sqref="BC33">
    <cfRule type="expression" dxfId="774" priority="15100">
      <formula>(OR(CH6="2",CH6="3"))</formula>
    </cfRule>
  </conditionalFormatting>
  <conditionalFormatting sqref="BC24">
    <cfRule type="expression" dxfId="773" priority="15106" stopIfTrue="1">
      <formula>(OR(CH6="1",CH6="2",CH6="3"))</formula>
    </cfRule>
  </conditionalFormatting>
  <conditionalFormatting sqref="BC25">
    <cfRule type="expression" dxfId="772" priority="15108">
      <formula>(OR(CH6="2",CH6="3"))</formula>
    </cfRule>
  </conditionalFormatting>
  <conditionalFormatting sqref="BC88">
    <cfRule type="expression" dxfId="771" priority="15114" stopIfTrue="1">
      <formula>(OR(EV38="1",EV38="2",EV38="3"))</formula>
    </cfRule>
  </conditionalFormatting>
  <conditionalFormatting sqref="BC89">
    <cfRule type="expression" dxfId="770" priority="15116">
      <formula>(OR(EV38="2",EV38="3"))</formula>
    </cfRule>
  </conditionalFormatting>
  <conditionalFormatting sqref="DS36 CI56 DS32 CI52">
    <cfRule type="containsText" dxfId="769" priority="245" operator="containsText" text="OFFICE">
      <formula>NOT(ISERROR(SEARCH("OFFICE",CI32)))</formula>
    </cfRule>
  </conditionalFormatting>
  <conditionalFormatting sqref="ED19:EE21">
    <cfRule type="duplicateValues" dxfId="768" priority="15678"/>
    <cfRule type="iconSet" priority="15679">
      <iconSet>
        <cfvo type="percent" val="0"/>
        <cfvo type="percent" val="12"/>
        <cfvo type="percent" val="13"/>
      </iconSet>
    </cfRule>
  </conditionalFormatting>
  <conditionalFormatting sqref="ED23:EE25">
    <cfRule type="duplicateValues" dxfId="767" priority="16244"/>
    <cfRule type="iconSet" priority="16245">
      <iconSet>
        <cfvo type="percent" val="0"/>
        <cfvo type="percent" val="12"/>
        <cfvo type="percent" val="13"/>
      </iconSet>
    </cfRule>
  </conditionalFormatting>
  <conditionalFormatting sqref="ED27:EE29">
    <cfRule type="duplicateValues" dxfId="766" priority="16816"/>
    <cfRule type="iconSet" priority="16817">
      <iconSet>
        <cfvo type="percent" val="0"/>
        <cfvo type="percent" val="12"/>
        <cfvo type="percent" val="13"/>
      </iconSet>
    </cfRule>
  </conditionalFormatting>
  <conditionalFormatting sqref="ED31:EE33">
    <cfRule type="duplicateValues" dxfId="765" priority="18375"/>
    <cfRule type="iconSet" priority="18376">
      <iconSet>
        <cfvo type="percent" val="0"/>
        <cfvo type="percent" val="12"/>
        <cfvo type="percent" val="13"/>
      </iconSet>
    </cfRule>
  </conditionalFormatting>
  <conditionalFormatting sqref="ED35:EE37">
    <cfRule type="duplicateValues" dxfId="764" priority="18911"/>
    <cfRule type="iconSet" priority="18912">
      <iconSet>
        <cfvo type="percent" val="0"/>
        <cfvo type="percent" val="12"/>
        <cfvo type="percent" val="13"/>
      </iconSet>
    </cfRule>
  </conditionalFormatting>
  <conditionalFormatting sqref="DY42">
    <cfRule type="duplicateValues" dxfId="763" priority="19568"/>
  </conditionalFormatting>
  <conditionalFormatting sqref="ED51:EE53">
    <cfRule type="duplicateValues" dxfId="762" priority="22268"/>
    <cfRule type="iconSet" priority="22269">
      <iconSet>
        <cfvo type="percent" val="0"/>
        <cfvo type="percent" val="12"/>
        <cfvo type="percent" val="13"/>
      </iconSet>
    </cfRule>
  </conditionalFormatting>
  <conditionalFormatting sqref="ED55:EE57">
    <cfRule type="duplicateValues" dxfId="761" priority="22837"/>
    <cfRule type="iconSet" priority="22838">
      <iconSet>
        <cfvo type="percent" val="0"/>
        <cfvo type="percent" val="12"/>
        <cfvo type="percent" val="13"/>
      </iconSet>
    </cfRule>
  </conditionalFormatting>
  <conditionalFormatting sqref="ED59:EE61">
    <cfRule type="duplicateValues" dxfId="760" priority="23538"/>
    <cfRule type="iconSet" priority="23539">
      <iconSet>
        <cfvo type="percent" val="0"/>
        <cfvo type="percent" val="12"/>
        <cfvo type="percent" val="13"/>
      </iconSet>
    </cfRule>
  </conditionalFormatting>
  <conditionalFormatting sqref="ED63:EE65">
    <cfRule type="duplicateValues" dxfId="759" priority="24247"/>
    <cfRule type="iconSet" priority="24248">
      <iconSet>
        <cfvo type="percent" val="0"/>
        <cfvo type="percent" val="12"/>
        <cfvo type="percent" val="13"/>
      </iconSet>
    </cfRule>
  </conditionalFormatting>
  <conditionalFormatting sqref="EA11:EA12 EB69:EC70 EB65:EC66 EB61:EC62 EB57:EC58 EB53:EC54 EB49:EC50 EB45:EC46 EB14:EC14 EA42:EC42 EA14:EA16 EA18:EA41 EA43:EA72 EB18:EC18 EB21:EC22 EB25:EC26 EB29:EC30 EB33:EC34 EB37:EC38 EB41:EC41">
    <cfRule type="duplicateValues" dxfId="758" priority="24892"/>
  </conditionalFormatting>
  <conditionalFormatting sqref="ED67:EE69">
    <cfRule type="duplicateValues" dxfId="757" priority="24965"/>
    <cfRule type="iconSet" priority="24966">
      <iconSet>
        <cfvo type="percent" val="0"/>
        <cfvo type="percent" val="12"/>
        <cfvo type="percent" val="13"/>
      </iconSet>
    </cfRule>
  </conditionalFormatting>
  <conditionalFormatting sqref="DY11:DY12 DY43:DY72 DY18:DY41 DY14:DY16">
    <cfRule type="duplicateValues" dxfId="756" priority="25099"/>
  </conditionalFormatting>
  <conditionalFormatting sqref="ED71:EE74 EE75 DM75:DO100">
    <cfRule type="duplicateValues" dxfId="755" priority="25563"/>
    <cfRule type="iconSet" priority="25564">
      <iconSet>
        <cfvo type="percent" val="0"/>
        <cfvo type="percent" val="12"/>
        <cfvo type="percent" val="13"/>
      </iconSet>
    </cfRule>
  </conditionalFormatting>
  <conditionalFormatting sqref="ED71:EE74 EE75 DM75:DO100">
    <cfRule type="duplicateValues" dxfId="754" priority="25569"/>
    <cfRule type="iconSet" priority="25570">
      <iconSet iconSet="3Signs">
        <cfvo type="percent" val="0"/>
        <cfvo type="percent" val="12"/>
        <cfvo type="percent" val="13" gte="0"/>
      </iconSet>
    </cfRule>
  </conditionalFormatting>
  <conditionalFormatting sqref="EK45:EL51">
    <cfRule type="duplicateValues" dxfId="753" priority="28562"/>
  </conditionalFormatting>
  <conditionalFormatting sqref="EK53:EL59">
    <cfRule type="duplicateValues" dxfId="752" priority="29141"/>
  </conditionalFormatting>
  <conditionalFormatting sqref="EK61:EL62 EL63:EL67">
    <cfRule type="duplicateValues" dxfId="751" priority="29851"/>
  </conditionalFormatting>
  <conditionalFormatting sqref="ES58 EH77:EK77 DY76:EA76 EN53:ER53 EM47">
    <cfRule type="duplicateValues" dxfId="750" priority="30143"/>
  </conditionalFormatting>
  <conditionalFormatting sqref="BC22">
    <cfRule type="expression" dxfId="749" priority="232">
      <formula>(EW1048508="3")</formula>
    </cfRule>
  </conditionalFormatting>
  <conditionalFormatting sqref="BC26">
    <cfRule type="expression" dxfId="748" priority="228">
      <formula>(DQ6="3")</formula>
    </cfRule>
  </conditionalFormatting>
  <conditionalFormatting sqref="BC38 BC42 BC46 BC50 BC54 BC58 BC78 BC30 BC34">
    <cfRule type="expression" dxfId="747" priority="226">
      <formula>(#REF!="3")</formula>
    </cfRule>
  </conditionalFormatting>
  <conditionalFormatting sqref="BC34">
    <cfRule type="cellIs" dxfId="746" priority="211" operator="equal">
      <formula>0</formula>
    </cfRule>
    <cfRule type="expression" dxfId="745" priority="212">
      <formula>(DQ6="3")</formula>
    </cfRule>
  </conditionalFormatting>
  <conditionalFormatting sqref="BC62">
    <cfRule type="expression" dxfId="744" priority="188">
      <formula>(FY1048566="3")</formula>
    </cfRule>
  </conditionalFormatting>
  <conditionalFormatting sqref="BC62">
    <cfRule type="expression" dxfId="743" priority="186">
      <formula>(GA1048566="3")</formula>
    </cfRule>
  </conditionalFormatting>
  <conditionalFormatting sqref="BC74">
    <cfRule type="expression" dxfId="742" priority="27">
      <formula>IF(J10&gt;620,J10&lt;810)</formula>
    </cfRule>
    <cfRule type="expression" dxfId="741" priority="90">
      <formula>IF(J10&gt;560,J10&lt;610)</formula>
    </cfRule>
    <cfRule type="cellIs" dxfId="740" priority="177" operator="equal">
      <formula>0</formula>
    </cfRule>
    <cfRule type="expression" dxfId="739" priority="178">
      <formula>(#REF!="3")</formula>
    </cfRule>
  </conditionalFormatting>
  <conditionalFormatting sqref="BC9">
    <cfRule type="expression" dxfId="738" priority="126" stopIfTrue="1">
      <formula>(OR(EA1048558="1",EA1048558="2",EA1048558="3"))</formula>
    </cfRule>
  </conditionalFormatting>
  <conditionalFormatting sqref="BC10">
    <cfRule type="expression" dxfId="737" priority="125">
      <formula>(OR(EA1048558="2",EA1048558="3"))</formula>
    </cfRule>
  </conditionalFormatting>
  <conditionalFormatting sqref="BC7:BC12">
    <cfRule type="expression" dxfId="736" priority="124" stopIfTrue="1">
      <formula>(OR(EA1048555="1",EA1048555="2",EA1048555="3"))</formula>
    </cfRule>
  </conditionalFormatting>
  <conditionalFormatting sqref="BC10 BC12 BC8">
    <cfRule type="expression" dxfId="735" priority="123">
      <formula>(OR(EA1048555="2",EA1048555="3"))</formula>
    </cfRule>
  </conditionalFormatting>
  <conditionalFormatting sqref="BC11">
    <cfRule type="expression" dxfId="734" priority="122" stopIfTrue="1">
      <formula>(OR(EA1048561="1",EA1048561="2",EA1048561="3"))</formula>
    </cfRule>
  </conditionalFormatting>
  <conditionalFormatting sqref="BC12">
    <cfRule type="expression" dxfId="733" priority="121">
      <formula>(OR(EA1048561="2",EA1048561="3"))</formula>
    </cfRule>
  </conditionalFormatting>
  <conditionalFormatting sqref="FJ16">
    <cfRule type="expression" dxfId="732" priority="31689">
      <formula>(OR($FK$9+$FL$10=8,$FK$9+$FL$10=7,$FK$9+$FL$10=6,$FK$9+$FL$10=5,$FK$9+$FL$10=4,$FK$9+$FL$10=3,$FK$9+$FL$10=2,$FK$9+$FL$10=1))</formula>
    </cfRule>
  </conditionalFormatting>
  <conditionalFormatting sqref="FH22">
    <cfRule type="expression" dxfId="731" priority="31690">
      <formula>(OR($FK$9+$FL$10=8,$FK$9+$FL$10=7))</formula>
    </cfRule>
  </conditionalFormatting>
  <conditionalFormatting sqref="FH23 FJ23">
    <cfRule type="expression" dxfId="730" priority="31691">
      <formula>(OR($FK$9+$FL$10=8))</formula>
    </cfRule>
  </conditionalFormatting>
  <conditionalFormatting sqref="FH17">
    <cfRule type="expression" dxfId="729" priority="31693">
      <formula>(OR($FK$9+$FL$10=8,$FK$9+$FL$10=7,$FK$9+$FL$10=6,$FK$9+$FL$10=5,$FK$9+$FL$10=4,$FK$9+$FL$10=3,$FK$9+$FL$10=2))</formula>
    </cfRule>
  </conditionalFormatting>
  <conditionalFormatting sqref="FH18">
    <cfRule type="expression" dxfId="728" priority="31694">
      <formula>(OR($FK$9+$FL$10=8,$FK$9+$FL$10=7,$FK$9+$FL$10=6,$FK$9+$FL$10=5,$FK$9+$FL$10=4,$FK$9+$FL$10=3))</formula>
    </cfRule>
  </conditionalFormatting>
  <conditionalFormatting sqref="FH19 FJ19">
    <cfRule type="expression" dxfId="727" priority="31695">
      <formula>(OR($FK$9+$FL$10=8,$FK$9+$FL$10=7,$FK$9+$FL$10=6,$FK$9+$FL$10=5,$FK$9+$FL$10=4))</formula>
    </cfRule>
  </conditionalFormatting>
  <conditionalFormatting sqref="FH20 FJ20">
    <cfRule type="expression" dxfId="726" priority="31697">
      <formula>(OR($FK$9+$FL$10=8,$FK$9+$FL$10=7,$FK$9+$FL$10=6,$FK$9+$FL$10=5))</formula>
    </cfRule>
  </conditionalFormatting>
  <conditionalFormatting sqref="FH21 FJ21">
    <cfRule type="expression" dxfId="725" priority="31699">
      <formula>(OR($FK$9+$FL$10=8,$FK$9+$FL$10=7,$FK$9+$FL$10=6))</formula>
    </cfRule>
  </conditionalFormatting>
  <conditionalFormatting sqref="FJ17">
    <cfRule type="expression" dxfId="724" priority="31701">
      <formula>(OR($FK$9+$FL$10=9,$FK$9+$FL$10=8,$FK$9+$FL$10=7,$FK$9+$FL$10=6,$FK$9+$FL$10=5,$FK$9+$FL$10=4,$FK$9+$FL$10=3,$FK$9+$FL$10=2))</formula>
    </cfRule>
  </conditionalFormatting>
  <conditionalFormatting sqref="FJ22">
    <cfRule type="expression" dxfId="723" priority="31702">
      <formula>(OR($FK$9+$FL$10=8,$FK$9+$FL$10=7))</formula>
    </cfRule>
  </conditionalFormatting>
  <conditionalFormatting sqref="FJ18">
    <cfRule type="expression" dxfId="722" priority="31703">
      <formula>-(OR($FK$9+$FL$10=8,$FK$9+$FL$10=7,$FK$9+$FL$10=6,$FK$9+$FL$10=5,$FK$9+$FL$10=4,$FK$9+$FL$10=3))</formula>
    </cfRule>
  </conditionalFormatting>
  <conditionalFormatting sqref="AY65:AY66">
    <cfRule type="iconSet" priority="108">
      <iconSet iconSet="3Signs">
        <cfvo type="percent" val="0"/>
        <cfvo type="percent" val="12"/>
        <cfvo type="percent" val="13" gte="0"/>
      </iconSet>
    </cfRule>
  </conditionalFormatting>
  <conditionalFormatting sqref="AY69:AY70">
    <cfRule type="iconSet" priority="107">
      <iconSet iconSet="3Signs">
        <cfvo type="percent" val="0"/>
        <cfvo type="percent" val="12"/>
        <cfvo type="percent" val="13" gte="0"/>
      </iconSet>
    </cfRule>
  </conditionalFormatting>
  <conditionalFormatting sqref="AY73:AY74">
    <cfRule type="iconSet" priority="106">
      <iconSet iconSet="3Signs">
        <cfvo type="percent" val="0"/>
        <cfvo type="percent" val="12"/>
        <cfvo type="percent" val="13" gte="0"/>
      </iconSet>
    </cfRule>
  </conditionalFormatting>
  <conditionalFormatting sqref="AY77:AY78">
    <cfRule type="iconSet" priority="105">
      <iconSet iconSet="3Signs">
        <cfvo type="percent" val="0"/>
        <cfvo type="percent" val="12"/>
        <cfvo type="percent" val="13" gte="0"/>
      </iconSet>
    </cfRule>
  </conditionalFormatting>
  <conditionalFormatting sqref="AY81:AY82">
    <cfRule type="iconSet" priority="104">
      <iconSet iconSet="3Signs">
        <cfvo type="percent" val="0"/>
        <cfvo type="percent" val="12"/>
        <cfvo type="percent" val="13" gte="0"/>
      </iconSet>
    </cfRule>
  </conditionalFormatting>
  <conditionalFormatting sqref="AY85:AY86">
    <cfRule type="iconSet" priority="103">
      <iconSet iconSet="3Signs">
        <cfvo type="percent" val="0"/>
        <cfvo type="percent" val="12"/>
        <cfvo type="percent" val="13" gte="0"/>
      </iconSet>
    </cfRule>
  </conditionalFormatting>
  <conditionalFormatting sqref="AY89:AY90">
    <cfRule type="iconSet" priority="102">
      <iconSet iconSet="3Signs">
        <cfvo type="percent" val="0"/>
        <cfvo type="percent" val="12"/>
        <cfvo type="percent" val="13" gte="0"/>
      </iconSet>
    </cfRule>
  </conditionalFormatting>
  <conditionalFormatting sqref="AY93:AY94">
    <cfRule type="iconSet" priority="101">
      <iconSet iconSet="3Signs">
        <cfvo type="percent" val="0"/>
        <cfvo type="percent" val="12"/>
        <cfvo type="percent" val="13" gte="0"/>
      </iconSet>
    </cfRule>
  </conditionalFormatting>
  <conditionalFormatting sqref="AY97:AY98">
    <cfRule type="iconSet" priority="100">
      <iconSet iconSet="3Signs">
        <cfvo type="percent" val="0"/>
        <cfvo type="percent" val="12"/>
        <cfvo type="percent" val="13" gte="0"/>
      </iconSet>
    </cfRule>
  </conditionalFormatting>
  <conditionalFormatting sqref="CI40">
    <cfRule type="expression" dxfId="721" priority="32222">
      <formula>IF($J$10&gt;590,J10&lt;650)</formula>
    </cfRule>
  </conditionalFormatting>
  <conditionalFormatting sqref="CI48">
    <cfRule type="expression" dxfId="720" priority="32228">
      <formula>OR(J10=620)</formula>
    </cfRule>
  </conditionalFormatting>
  <conditionalFormatting sqref="AH20:AH99">
    <cfRule type="duplicateValues" dxfId="719" priority="97"/>
  </conditionalFormatting>
  <conditionalFormatting sqref="BC66">
    <cfRule type="expression" dxfId="718" priority="92">
      <formula>OR(J10&gt;500)</formula>
    </cfRule>
  </conditionalFormatting>
  <conditionalFormatting sqref="BC70">
    <cfRule type="expression" dxfId="717" priority="84">
      <formula>OR(J10&gt;550)</formula>
    </cfRule>
  </conditionalFormatting>
  <conditionalFormatting sqref="BC78">
    <cfRule type="expression" dxfId="716" priority="21">
      <formula>IF(J10&gt;660,J10&lt;810)</formula>
    </cfRule>
    <cfRule type="expression" dxfId="715" priority="26">
      <formula>IF(J10&gt;630,J10&lt;650)</formula>
    </cfRule>
    <cfRule type="expression" dxfId="714" priority="87">
      <formula>IF($J$10&gt;600,J10&lt;610)</formula>
    </cfRule>
  </conditionalFormatting>
  <conditionalFormatting sqref="BC20">
    <cfRule type="expression" dxfId="713" priority="33911" stopIfTrue="1">
      <formula>(OR(#REF!="1",#REF!="2",#REF!="3"))</formula>
    </cfRule>
  </conditionalFormatting>
  <conditionalFormatting sqref="BC21">
    <cfRule type="expression" dxfId="712" priority="33912">
      <formula>(OR(#REF!="2",#REF!="3"))</formula>
    </cfRule>
  </conditionalFormatting>
  <conditionalFormatting sqref="BC82">
    <cfRule type="expression" dxfId="711" priority="19">
      <formula>IF(J10&gt;700,J10&lt;810)</formula>
    </cfRule>
    <cfRule type="expression" dxfId="710" priority="20">
      <formula>IF(J10&gt;670,J10&lt;690)</formula>
    </cfRule>
    <cfRule type="expression" dxfId="709" priority="25">
      <formula>IF(J10&gt;640,J10&lt;650)</formula>
    </cfRule>
    <cfRule type="expression" dxfId="708" priority="34041">
      <formula>(GC5="3")</formula>
    </cfRule>
  </conditionalFormatting>
  <conditionalFormatting sqref="BC86">
    <cfRule type="expression" dxfId="707" priority="15">
      <formula>IF(J10&gt;740,J10&lt;810)</formula>
    </cfRule>
    <cfRule type="expression" dxfId="706" priority="18">
      <formula>IF(J10&gt;710,J10&lt;730)</formula>
    </cfRule>
    <cfRule type="expression" dxfId="705" priority="34046">
      <formula>(GD14="3")</formula>
    </cfRule>
  </conditionalFormatting>
  <conditionalFormatting sqref="BC90 BC94 BC98">
    <cfRule type="expression" dxfId="704" priority="34051">
      <formula>(GD33="3")</formula>
    </cfRule>
  </conditionalFormatting>
  <conditionalFormatting sqref="CI16:CK16">
    <cfRule type="expression" dxfId="703" priority="58">
      <formula>OR($J$10&gt;740)</formula>
    </cfRule>
  </conditionalFormatting>
  <conditionalFormatting sqref="CI12:CK12">
    <cfRule type="expression" dxfId="702" priority="57">
      <formula>OR(J10&gt;780)</formula>
    </cfRule>
  </conditionalFormatting>
  <conditionalFormatting sqref="CI20:CK20">
    <cfRule type="expression" dxfId="701" priority="55">
      <formula>OR(J10&gt;730)</formula>
    </cfRule>
    <cfRule type="expression" dxfId="700" priority="56">
      <formula>OR(J10&gt;720)</formula>
    </cfRule>
  </conditionalFormatting>
  <conditionalFormatting sqref="CI24:CK24">
    <cfRule type="expression" dxfId="699" priority="54">
      <formula>OR(J10&gt;700)</formula>
    </cfRule>
  </conditionalFormatting>
  <conditionalFormatting sqref="CI28:CK28">
    <cfRule type="expression" dxfId="698" priority="53">
      <formula>OR(J10&gt;670)</formula>
    </cfRule>
  </conditionalFormatting>
  <conditionalFormatting sqref="CI32:CK32">
    <cfRule type="expression" dxfId="697" priority="51">
      <formula>OR(J10&gt;650)</formula>
    </cfRule>
    <cfRule type="expression" dxfId="696" priority="52">
      <formula>OR(J10&gt;640)</formula>
    </cfRule>
  </conditionalFormatting>
  <conditionalFormatting sqref="CI36:CK36">
    <cfRule type="expression" dxfId="695" priority="50">
      <formula>OR(J10&gt;620)</formula>
    </cfRule>
  </conditionalFormatting>
  <conditionalFormatting sqref="DS40:DU40">
    <cfRule type="expression" dxfId="694" priority="47">
      <formula>OR(J10&gt;570)</formula>
    </cfRule>
    <cfRule type="expression" dxfId="693" priority="48">
      <formula>OR(J10&gt;550)</formula>
    </cfRule>
  </conditionalFormatting>
  <conditionalFormatting sqref="DS44:DU44">
    <cfRule type="expression" dxfId="692" priority="45">
      <formula>OR(J10&gt;690)</formula>
    </cfRule>
    <cfRule type="expression" dxfId="691" priority="46">
      <formula>OR(J10&gt;580)</formula>
    </cfRule>
  </conditionalFormatting>
  <conditionalFormatting sqref="DS48:DU48">
    <cfRule type="expression" dxfId="690" priority="43">
      <formula>OR(J10&gt;610)</formula>
    </cfRule>
    <cfRule type="expression" dxfId="689" priority="44">
      <formula>OR(J10&gt;600)</formula>
    </cfRule>
  </conditionalFormatting>
  <conditionalFormatting sqref="DS52:DU52">
    <cfRule type="expression" dxfId="688" priority="41">
      <formula>OR(J10&gt;650)</formula>
    </cfRule>
    <cfRule type="expression" dxfId="687" priority="42">
      <formula>OR(J10&gt;630)</formula>
    </cfRule>
  </conditionalFormatting>
  <conditionalFormatting sqref="DS56:DU56">
    <cfRule type="expression" dxfId="686" priority="40">
      <formula>OR(J10&gt;660)</formula>
    </cfRule>
  </conditionalFormatting>
  <conditionalFormatting sqref="DS60:DU60">
    <cfRule type="expression" dxfId="685" priority="38">
      <formula>OR(J10&gt;690)</formula>
    </cfRule>
    <cfRule type="expression" dxfId="684" priority="39">
      <formula>OR(J10&gt;680)</formula>
    </cfRule>
  </conditionalFormatting>
  <conditionalFormatting sqref="DS64:DU64">
    <cfRule type="expression" dxfId="683" priority="16">
      <formula>IF(J10&gt;720,J10&lt;730)</formula>
    </cfRule>
    <cfRule type="expression" dxfId="682" priority="35">
      <formula>OR(J10&gt;730)</formula>
    </cfRule>
  </conditionalFormatting>
  <conditionalFormatting sqref="DS68:DU68">
    <cfRule type="expression" dxfId="681" priority="33">
      <formula>OR(J10&gt;770)</formula>
    </cfRule>
    <cfRule type="expression" dxfId="680" priority="34">
      <formula>OR(J10&gt;750)</formula>
    </cfRule>
  </conditionalFormatting>
  <conditionalFormatting sqref="DS72:DU72">
    <cfRule type="expression" dxfId="679" priority="31">
      <formula>OR(J10&gt;770)</formula>
    </cfRule>
    <cfRule type="expression" dxfId="678" priority="32">
      <formula>OR(J10&gt;760)</formula>
    </cfRule>
  </conditionalFormatting>
  <conditionalFormatting sqref="CI44:CK44">
    <cfRule type="expression" dxfId="677" priority="29">
      <formula>OR(J10&gt;570)</formula>
    </cfRule>
    <cfRule type="expression" dxfId="676" priority="30">
      <formula>OR($J$10&gt;560)</formula>
    </cfRule>
  </conditionalFormatting>
  <conditionalFormatting sqref="CI40:CK40">
    <cfRule type="expression" dxfId="675" priority="24">
      <formula>OR(J10&gt;610)</formula>
    </cfRule>
  </conditionalFormatting>
  <conditionalFormatting sqref="BC90">
    <cfRule type="expression" dxfId="674" priority="14">
      <formula>IF(J10&gt;750,J10&lt;810)</formula>
    </cfRule>
    <cfRule type="expression" dxfId="673" priority="17">
      <formula>IF(J10&gt;720,J10&lt;730)</formula>
    </cfRule>
  </conditionalFormatting>
  <conditionalFormatting sqref="BC94">
    <cfRule type="expression" dxfId="672" priority="13">
      <formula>IF(J10&gt;760,J10&lt;770)</formula>
    </cfRule>
  </conditionalFormatting>
  <conditionalFormatting sqref="CI11:CI72 DS11:DS72">
    <cfRule type="duplicateValues" dxfId="671" priority="11"/>
  </conditionalFormatting>
  <conditionalFormatting sqref="EH13:EJ71">
    <cfRule type="duplicateValues" dxfId="670" priority="10"/>
  </conditionalFormatting>
  <conditionalFormatting sqref="EV18:EX38">
    <cfRule type="duplicateValues" dxfId="669" priority="8"/>
  </conditionalFormatting>
  <conditionalFormatting sqref="EV60:EV67">
    <cfRule type="duplicateValues" dxfId="668" priority="7"/>
  </conditionalFormatting>
  <conditionalFormatting sqref="BC20:BC98">
    <cfRule type="duplicateValues" dxfId="667" priority="4"/>
  </conditionalFormatting>
  <conditionalFormatting sqref="FJ16:FJ23">
    <cfRule type="duplicateValues" dxfId="666" priority="34702"/>
  </conditionalFormatting>
  <dataValidations count="3">
    <dataValidation type="list" allowBlank="1" showInputMessage="1" showErrorMessage="1" sqref="J3">
      <formula1>INDIRECT($H$3)</formula1>
    </dataValidation>
    <dataValidation type="list" allowBlank="1" showInputMessage="1" showErrorMessage="1" sqref="J5">
      <formula1>INDIRECT($D$5)</formula1>
    </dataValidation>
    <dataValidation type="list" allowBlank="1" showInputMessage="1" showErrorMessage="1" sqref="D5:F5">
      <formula1>INDIRECT($B$5)</formula1>
    </dataValidation>
  </dataValidations>
  <pageMargins left="0.15748031496062992" right="0.19685039370078741" top="0.23622047244094491" bottom="0.51181102362204722" header="0.11811023622047245" footer="0.23622047244094491"/>
  <pageSetup paperSize="9" scale="93" orientation="landscape" horizontalDpi="4294967293" r:id="rId1"/>
  <headerFooter>
    <oddFooter>&amp;F&amp;RPage &amp;P</oddFooter>
  </headerFooter>
  <rowBreaks count="2" manualBreakCount="2">
    <brk id="20" max="135" man="1"/>
    <brk id="44" max="135" man="1"/>
  </rowBreaks>
  <colBreaks count="1" manualBreakCount="1">
    <brk id="118" min="5" max="138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00B0F0"/>
  </sheetPr>
  <dimension ref="A1:AU54"/>
  <sheetViews>
    <sheetView zoomScale="80" zoomScaleNormal="80" workbookViewId="0">
      <selection activeCell="G45" sqref="G45"/>
    </sheetView>
  </sheetViews>
  <sheetFormatPr baseColWidth="10" defaultRowHeight="15"/>
  <cols>
    <col min="1" max="1" width="4" style="36" customWidth="1"/>
    <col min="2" max="2" width="5.140625" style="36" customWidth="1"/>
    <col min="3" max="3" width="6.42578125" style="36" customWidth="1"/>
    <col min="4" max="4" width="11.28515625" style="36" customWidth="1"/>
    <col min="5" max="5" width="4.42578125" style="36" customWidth="1"/>
    <col min="6" max="6" width="7.42578125" style="36" customWidth="1"/>
    <col min="7" max="7" width="6.42578125" style="36" customWidth="1"/>
    <col min="8" max="8" width="8.42578125" style="36" customWidth="1"/>
    <col min="9" max="9" width="5.5703125" style="36" customWidth="1"/>
    <col min="10" max="10" width="5" style="36" customWidth="1"/>
    <col min="11" max="11" width="7.85546875" style="36" customWidth="1"/>
    <col min="12" max="12" width="5.7109375" style="36" customWidth="1"/>
    <col min="13" max="13" width="9.140625" style="36" customWidth="1"/>
    <col min="14" max="14" width="6.28515625" style="36" customWidth="1"/>
    <col min="15" max="16" width="6" style="36" customWidth="1"/>
    <col min="17" max="17" width="7.7109375" style="36" customWidth="1"/>
    <col min="18" max="18" width="5.28515625" style="36" customWidth="1"/>
    <col min="19" max="19" width="12.28515625" style="36" customWidth="1"/>
    <col min="20" max="20" width="7.42578125" style="36" customWidth="1"/>
    <col min="21" max="22" width="5.85546875" style="36" hidden="1" customWidth="1"/>
    <col min="23" max="23" width="4.140625" style="36" customWidth="1"/>
    <col min="24" max="24" width="5.140625" style="36" customWidth="1"/>
    <col min="25" max="25" width="6.42578125" style="36" customWidth="1"/>
    <col min="26" max="26" width="11.28515625" style="36" customWidth="1"/>
    <col min="27" max="27" width="4.42578125" style="36" customWidth="1"/>
    <col min="28" max="28" width="7.42578125" style="36" customWidth="1"/>
    <col min="29" max="29" width="6" style="36" customWidth="1"/>
    <col min="30" max="30" width="8.28515625" style="36" customWidth="1"/>
    <col min="31" max="31" width="5.5703125" style="36" customWidth="1"/>
    <col min="32" max="32" width="5" style="36" customWidth="1"/>
    <col min="33" max="33" width="6.85546875" style="36" customWidth="1"/>
    <col min="34" max="34" width="5.85546875" style="36" customWidth="1"/>
    <col min="35" max="35" width="9.5703125" style="36" customWidth="1"/>
    <col min="36" max="38" width="6" style="36" customWidth="1"/>
    <col min="39" max="39" width="7.7109375" style="36" customWidth="1"/>
    <col min="40" max="40" width="5.28515625" style="36" customWidth="1"/>
    <col min="41" max="41" width="12.28515625" style="36" customWidth="1"/>
    <col min="42" max="42" width="8.140625" style="36" customWidth="1"/>
    <col min="43" max="43" width="6.5703125" style="36" hidden="1" customWidth="1"/>
    <col min="44" max="44" width="5.140625" style="36" hidden="1" customWidth="1"/>
    <col min="45" max="16384" width="11.42578125" style="36"/>
  </cols>
  <sheetData>
    <row r="1" spans="1:46" ht="23.25" customHeight="1" thickBot="1">
      <c r="A1" s="30"/>
      <c r="B1" s="949" t="s">
        <v>82</v>
      </c>
      <c r="C1" s="950"/>
      <c r="D1" s="950"/>
      <c r="E1" s="950">
        <f>Données!J1</f>
        <v>0</v>
      </c>
      <c r="F1" s="950"/>
      <c r="G1" s="950"/>
      <c r="H1" s="31" t="str">
        <f>Données!$D$3</f>
        <v>F_U18</v>
      </c>
      <c r="I1" s="950">
        <f>Données!$N$3</f>
        <v>0</v>
      </c>
      <c r="J1" s="950"/>
      <c r="K1" s="950"/>
      <c r="L1" s="950"/>
      <c r="M1" s="32">
        <f>Données!$G$3</f>
        <v>0</v>
      </c>
      <c r="N1" s="949" t="s">
        <v>20</v>
      </c>
      <c r="O1" s="950"/>
      <c r="P1" s="950"/>
      <c r="Q1" s="950"/>
      <c r="R1" s="950"/>
      <c r="S1" s="951"/>
      <c r="T1" s="128">
        <f>+Données!D17</f>
        <v>0</v>
      </c>
      <c r="U1" s="33"/>
      <c r="V1" s="33"/>
      <c r="W1" s="30"/>
      <c r="X1" s="949" t="s">
        <v>82</v>
      </c>
      <c r="Y1" s="950"/>
      <c r="Z1" s="950"/>
      <c r="AA1" s="950">
        <f>Données!J1</f>
        <v>0</v>
      </c>
      <c r="AB1" s="950"/>
      <c r="AC1" s="950"/>
      <c r="AD1" s="31" t="str">
        <f>Données!$D$3</f>
        <v>F_U18</v>
      </c>
      <c r="AE1" s="950">
        <f>Données!$N$3</f>
        <v>0</v>
      </c>
      <c r="AF1" s="950"/>
      <c r="AG1" s="950"/>
      <c r="AH1" s="950"/>
      <c r="AI1" s="32">
        <f>Données!$G$3</f>
        <v>0</v>
      </c>
      <c r="AJ1" s="949" t="s">
        <v>20</v>
      </c>
      <c r="AK1" s="950"/>
      <c r="AL1" s="950"/>
      <c r="AM1" s="950"/>
      <c r="AN1" s="950"/>
      <c r="AO1" s="951"/>
      <c r="AP1" s="127">
        <f>+Données!D17</f>
        <v>0</v>
      </c>
      <c r="AQ1" s="34"/>
      <c r="AR1" s="34"/>
      <c r="AS1" s="35"/>
      <c r="AT1" s="35"/>
    </row>
    <row r="2" spans="1:46" ht="24" customHeight="1" thickBot="1">
      <c r="A2" s="30"/>
      <c r="B2" s="983" t="s">
        <v>21</v>
      </c>
      <c r="C2" s="984"/>
      <c r="D2" s="984"/>
      <c r="E2" s="37">
        <f>+Données!E17</f>
        <v>0</v>
      </c>
      <c r="F2" s="950" t="s">
        <v>16</v>
      </c>
      <c r="G2" s="950"/>
      <c r="H2" s="38">
        <f>+Données!E18</f>
        <v>0</v>
      </c>
      <c r="I2" s="950" t="s">
        <v>17</v>
      </c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1"/>
      <c r="U2" s="39"/>
      <c r="V2" s="39"/>
      <c r="W2" s="30"/>
      <c r="X2" s="983" t="s">
        <v>22</v>
      </c>
      <c r="Y2" s="984"/>
      <c r="Z2" s="984"/>
      <c r="AA2" s="37">
        <f>+Données!F17</f>
        <v>0</v>
      </c>
      <c r="AB2" s="950" t="s">
        <v>16</v>
      </c>
      <c r="AC2" s="950"/>
      <c r="AD2" s="38">
        <f>Données!$F$18</f>
        <v>0</v>
      </c>
      <c r="AE2" s="950" t="s">
        <v>17</v>
      </c>
      <c r="AF2" s="950"/>
      <c r="AG2" s="950"/>
      <c r="AH2" s="950"/>
      <c r="AI2" s="950"/>
      <c r="AJ2" s="950"/>
      <c r="AK2" s="950"/>
      <c r="AL2" s="950"/>
      <c r="AM2" s="950"/>
      <c r="AN2" s="950"/>
      <c r="AO2" s="950"/>
      <c r="AP2" s="951"/>
      <c r="AQ2" s="34"/>
      <c r="AR2" s="34"/>
      <c r="AS2" s="35"/>
      <c r="AT2" s="35"/>
    </row>
    <row r="3" spans="1:46" ht="18.75" customHeight="1" thickBot="1">
      <c r="A3" s="30"/>
      <c r="B3" s="40"/>
      <c r="C3" s="41"/>
      <c r="D3" s="41"/>
      <c r="E3" s="41"/>
      <c r="F3" s="192" t="str">
        <f>CONCATENATE(E2,H2)</f>
        <v>00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  <c r="U3" s="41"/>
      <c r="V3" s="41"/>
      <c r="W3" s="30"/>
      <c r="X3" s="40"/>
      <c r="Y3" s="41"/>
      <c r="Z3" s="41"/>
      <c r="AA3" s="33"/>
      <c r="AB3" s="193" t="str">
        <f>CONCATENATE(AA2,AD2)</f>
        <v>00</v>
      </c>
      <c r="AC3" s="41"/>
      <c r="AD3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2"/>
      <c r="AQ3" s="34"/>
      <c r="AR3" s="34"/>
      <c r="AS3" s="35"/>
      <c r="AT3" s="35"/>
    </row>
    <row r="4" spans="1:46" ht="15.75" thickBot="1">
      <c r="A4" s="30"/>
      <c r="B4" s="40"/>
      <c r="C4" s="959" t="s">
        <v>81</v>
      </c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0"/>
      <c r="Q4" s="960"/>
      <c r="R4" s="960"/>
      <c r="S4" s="961"/>
      <c r="T4" s="958"/>
      <c r="U4" s="43"/>
      <c r="V4" s="43"/>
      <c r="W4" s="30"/>
      <c r="X4" s="40"/>
      <c r="Y4" s="959" t="s">
        <v>81</v>
      </c>
      <c r="Z4" s="960"/>
      <c r="AA4" s="960"/>
      <c r="AB4" s="960"/>
      <c r="AC4" s="960"/>
      <c r="AD4" s="960"/>
      <c r="AE4" s="960"/>
      <c r="AF4" s="960"/>
      <c r="AG4" s="960"/>
      <c r="AH4" s="960"/>
      <c r="AI4" s="960"/>
      <c r="AJ4" s="960"/>
      <c r="AK4" s="960"/>
      <c r="AL4" s="960"/>
      <c r="AM4" s="960"/>
      <c r="AN4" s="960"/>
      <c r="AO4" s="961"/>
      <c r="AP4" s="958"/>
      <c r="AQ4" s="34"/>
      <c r="AR4" s="34"/>
      <c r="AS4" s="35"/>
      <c r="AT4" s="35"/>
    </row>
    <row r="5" spans="1:46">
      <c r="A5" s="30"/>
      <c r="B5" s="40"/>
      <c r="T5" s="958"/>
      <c r="U5" s="43"/>
      <c r="V5" s="43"/>
      <c r="W5" s="30"/>
      <c r="X5" s="40"/>
      <c r="AP5" s="958"/>
      <c r="AQ5" s="34"/>
      <c r="AR5" s="34"/>
      <c r="AS5" s="35"/>
      <c r="AT5" s="35"/>
    </row>
    <row r="6" spans="1:46" s="92" customFormat="1" ht="13.5" customHeight="1" thickBot="1">
      <c r="A6" s="84"/>
      <c r="B6" s="85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  <c r="S6" s="88"/>
      <c r="T6" s="89"/>
      <c r="U6" s="88"/>
      <c r="V6" s="88"/>
      <c r="W6" s="84"/>
      <c r="X6" s="85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7"/>
      <c r="AO6" s="88"/>
      <c r="AP6" s="89"/>
      <c r="AQ6" s="90"/>
      <c r="AR6" s="90"/>
      <c r="AS6" s="91"/>
      <c r="AT6" s="91"/>
    </row>
    <row r="7" spans="1:46" ht="15.75" thickBot="1">
      <c r="A7" s="30"/>
      <c r="B7" s="46" t="s">
        <v>6</v>
      </c>
      <c r="C7" s="47" t="s">
        <v>11</v>
      </c>
      <c r="D7" s="33"/>
      <c r="E7" s="44"/>
      <c r="F7" s="44"/>
      <c r="G7" s="41" t="s">
        <v>5</v>
      </c>
      <c r="H7" s="41"/>
      <c r="I7" s="41" t="s">
        <v>6</v>
      </c>
      <c r="J7" s="47" t="str">
        <f>IF(E2=2,"","C")</f>
        <v>C</v>
      </c>
      <c r="K7" s="33"/>
      <c r="L7" s="44"/>
      <c r="M7" s="44"/>
      <c r="N7" s="41" t="s">
        <v>5</v>
      </c>
      <c r="O7" s="41"/>
      <c r="P7" s="41"/>
      <c r="Q7" s="47" t="s">
        <v>52</v>
      </c>
      <c r="R7" s="44"/>
      <c r="S7" s="44" t="s">
        <v>78</v>
      </c>
      <c r="T7" s="48"/>
      <c r="U7" s="44"/>
      <c r="V7" s="44"/>
      <c r="W7" s="30"/>
      <c r="X7" s="46" t="s">
        <v>6</v>
      </c>
      <c r="Y7" s="47" t="s">
        <v>11</v>
      </c>
      <c r="Z7" s="33"/>
      <c r="AA7" s="44"/>
      <c r="AB7" s="44"/>
      <c r="AC7" s="41" t="s">
        <v>5</v>
      </c>
      <c r="AD7" s="41"/>
      <c r="AE7" s="41" t="s">
        <v>6</v>
      </c>
      <c r="AF7" s="47" t="str">
        <f>IF(AA2=2,"","C")</f>
        <v>C</v>
      </c>
      <c r="AG7" s="33"/>
      <c r="AH7" s="44"/>
      <c r="AI7" s="44"/>
      <c r="AJ7" s="41" t="s">
        <v>5</v>
      </c>
      <c r="AK7" s="41"/>
      <c r="AL7" s="41"/>
      <c r="AM7" s="47" t="s">
        <v>52</v>
      </c>
      <c r="AN7" s="44"/>
      <c r="AO7" s="44" t="s">
        <v>78</v>
      </c>
      <c r="AP7" s="48"/>
      <c r="AQ7" s="34"/>
      <c r="AR7" s="34"/>
      <c r="AS7" s="35"/>
      <c r="AT7" s="35"/>
    </row>
    <row r="8" spans="1:46" ht="15.75" thickBot="1">
      <c r="A8" s="195">
        <v>1</v>
      </c>
      <c r="B8" s="965"/>
      <c r="C8" s="970" t="str">
        <f>IF(ISNA(MATCH($A$8,Données!$AE$5:$AE$84,0)),"",INDEX(Données!$AC$5:$AC$82,MATCH($A$8,Données!$AE$5:$AE$84,0)))</f>
        <v/>
      </c>
      <c r="D8" s="979"/>
      <c r="E8" s="979"/>
      <c r="F8" s="980"/>
      <c r="G8" s="49">
        <v>1</v>
      </c>
      <c r="H8" s="196">
        <v>3</v>
      </c>
      <c r="I8" s="965"/>
      <c r="J8" s="970" t="str">
        <f>IF(ISNA(MATCH($H$8,Données!$AE$5:$AE$84,0)),"",INDEX(Données!$AC$5:$AC$82,MATCH($H$8,Données!$AE$5:$AE$84,0)))</f>
        <v/>
      </c>
      <c r="K8" s="979"/>
      <c r="L8" s="979"/>
      <c r="M8" s="980"/>
      <c r="N8" s="49">
        <v>1</v>
      </c>
      <c r="O8" s="41"/>
      <c r="P8" s="44"/>
      <c r="Q8" s="988" t="str">
        <f>IF($E$2+$E$3=4,0,IF($E$2+$E$3=3,0,IF(ISNA(MATCH($P$8,Données!$AE$5:$AE$85,0)),"",INDEX(Données!$AC$5:$AC$83,MATCH($P$8,Données!$AE$5:$AE$85,0)))))</f>
        <v/>
      </c>
      <c r="R8" s="989"/>
      <c r="S8" s="990"/>
      <c r="T8" s="50"/>
      <c r="U8" s="44"/>
      <c r="V8" s="44"/>
      <c r="W8" s="141">
        <v>5</v>
      </c>
      <c r="X8" s="965"/>
      <c r="Y8" s="970" t="str">
        <f>IF(ISNA(MATCH($W$8,Données!$AE$5:$AE$84,0)),"",INDEX(Données!$AC$5:$AC$82,MATCH($W$8,Données!$AE$5:$AE$84,0)))</f>
        <v/>
      </c>
      <c r="Z8" s="979"/>
      <c r="AA8" s="979"/>
      <c r="AB8" s="980"/>
      <c r="AC8" s="49">
        <v>1</v>
      </c>
      <c r="AD8" s="196">
        <v>7</v>
      </c>
      <c r="AE8" s="965"/>
      <c r="AF8" s="970" t="str">
        <f>IF(ISNA(MATCH($AD$8,Données!$AE$5:$AE$84,0)),"",INDEX(Données!$AC$5:$AC$82,MATCH($AD$8,Données!$AE$5:$AE$84,0)))</f>
        <v/>
      </c>
      <c r="AG8" s="979"/>
      <c r="AH8" s="979"/>
      <c r="AI8" s="980"/>
      <c r="AJ8" s="49">
        <v>1</v>
      </c>
      <c r="AK8" s="41"/>
      <c r="AL8" s="44"/>
      <c r="AM8" s="973" t="str">
        <f>IF($AA$2+$AA$3=4,0,IF($AA$2+$AA$3=3,0,IF(ISNA(MATCH($AL$8,Données!$AE$5:$AE$85,0)),"",INDEX(Données!$AC$5:$AC$83,MATCH($AL$8,Données!$AE$5:$AE$85,0)))))</f>
        <v/>
      </c>
      <c r="AN8" s="974"/>
      <c r="AO8" s="975"/>
      <c r="AP8" s="50"/>
      <c r="AQ8" s="34"/>
      <c r="AR8" s="34"/>
      <c r="AS8" s="35"/>
      <c r="AT8" s="35"/>
    </row>
    <row r="9" spans="1:46" ht="15.75" thickBot="1">
      <c r="A9" s="195">
        <v>2</v>
      </c>
      <c r="B9" s="966"/>
      <c r="C9" s="976" t="str">
        <f>IF(ISNA(MATCH($A$9,Données!$AE$5:$AE$84,0)),"",INDEX(Données!$AC$5:$AC$82,MATCH($A$9,Données!$AE$5:$AE$84,0)))</f>
        <v/>
      </c>
      <c r="D9" s="981"/>
      <c r="E9" s="981"/>
      <c r="F9" s="982"/>
      <c r="G9" s="51">
        <v>0</v>
      </c>
      <c r="H9" s="196">
        <v>4</v>
      </c>
      <c r="I9" s="966"/>
      <c r="J9" s="985" t="str">
        <f>IF(ISNA(MATCH($H$9,Données!$AE$5:$AE$84,0)),"",INDEX(Données!$AC$5:$AC$82,MATCH($H$9,Données!$AE$5:$AE$84,0)))</f>
        <v/>
      </c>
      <c r="K9" s="986"/>
      <c r="L9" s="986"/>
      <c r="M9" s="987"/>
      <c r="N9" s="49">
        <v>0</v>
      </c>
      <c r="O9" s="41"/>
      <c r="P9" s="44"/>
      <c r="Q9"/>
      <c r="R9" s="44"/>
      <c r="S9" s="44"/>
      <c r="T9" s="48"/>
      <c r="U9" s="44"/>
      <c r="V9" s="44"/>
      <c r="W9" s="141">
        <v>6</v>
      </c>
      <c r="X9" s="966"/>
      <c r="Y9" s="976" t="str">
        <f>IF(ISNA(MATCH($W$9,Données!$AE$5:$AE$84,0)),"",INDEX(Données!$AC$5:$AC$82,MATCH($W$9,Données!$AE$5:$AE$84,0)))</f>
        <v/>
      </c>
      <c r="Z9" s="981"/>
      <c r="AA9" s="981"/>
      <c r="AB9" s="982"/>
      <c r="AC9" s="73">
        <v>0</v>
      </c>
      <c r="AD9" s="196">
        <v>8</v>
      </c>
      <c r="AE9" s="966"/>
      <c r="AF9" s="976" t="str">
        <f>IF(ISNA(MATCH($AD$9,Données!$AE$5:$AE$84,0)),"",INDEX(Données!$AC$5:$AC$82,MATCH($AD$9,Données!$AE$5:$AE$84,0)))</f>
        <v/>
      </c>
      <c r="AG9" s="981"/>
      <c r="AH9" s="981"/>
      <c r="AI9" s="982"/>
      <c r="AJ9" s="49">
        <v>0</v>
      </c>
      <c r="AK9" s="41"/>
      <c r="AL9" s="44"/>
      <c r="AM9"/>
      <c r="AN9" s="44"/>
      <c r="AO9" s="44"/>
      <c r="AP9" s="48"/>
      <c r="AQ9" s="34"/>
      <c r="AR9" s="34"/>
      <c r="AS9" s="35"/>
      <c r="AT9" s="35"/>
    </row>
    <row r="10" spans="1:46" ht="15.75" thickBot="1">
      <c r="A10" s="30"/>
      <c r="B10" s="40"/>
      <c r="C10" s="83" t="s">
        <v>12</v>
      </c>
      <c r="D10" s="33"/>
      <c r="E10" s="44"/>
      <c r="F10" s="44"/>
      <c r="G10" s="44"/>
      <c r="H10" s="44"/>
      <c r="I10" s="44"/>
      <c r="J10" s="47" t="s">
        <v>51</v>
      </c>
      <c r="K10" s="33"/>
      <c r="L10" s="44"/>
      <c r="M10" s="44"/>
      <c r="N10" s="44"/>
      <c r="O10" s="44"/>
      <c r="P10" s="44"/>
      <c r="Q10" s="44"/>
      <c r="R10" s="44"/>
      <c r="S10" s="44"/>
      <c r="T10" s="48"/>
      <c r="U10" s="44"/>
      <c r="V10" s="44"/>
      <c r="W10" s="30"/>
      <c r="X10" s="40"/>
      <c r="Y10" s="83" t="s">
        <v>12</v>
      </c>
      <c r="Z10" s="33"/>
      <c r="AA10" s="44"/>
      <c r="AB10" s="44"/>
      <c r="AC10" s="44"/>
      <c r="AD10" s="44"/>
      <c r="AE10" s="44"/>
      <c r="AF10" s="47" t="s">
        <v>51</v>
      </c>
      <c r="AG10" s="33"/>
      <c r="AH10" s="44"/>
      <c r="AI10" s="44"/>
      <c r="AJ10" s="44"/>
      <c r="AK10" s="44"/>
      <c r="AL10" s="44"/>
      <c r="AM10" s="44"/>
      <c r="AN10" s="44"/>
      <c r="AO10" s="44"/>
      <c r="AP10" s="48"/>
      <c r="AQ10" s="34"/>
      <c r="AR10" s="34"/>
      <c r="AS10" s="35"/>
      <c r="AT10" s="35"/>
    </row>
    <row r="11" spans="1:46">
      <c r="A11" s="30"/>
      <c r="B11" s="4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8"/>
      <c r="U11" s="44"/>
      <c r="V11" s="44"/>
      <c r="W11" s="30"/>
      <c r="X11" s="40"/>
      <c r="Y11" s="45"/>
      <c r="Z11" s="45"/>
      <c r="AA11" s="45"/>
      <c r="AB11" s="45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8"/>
      <c r="AQ11" s="34"/>
      <c r="AR11" s="34"/>
      <c r="AS11" s="35"/>
      <c r="AT11" s="35"/>
    </row>
    <row r="12" spans="1:46">
      <c r="A12" s="30"/>
      <c r="B12" s="4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8"/>
      <c r="U12" s="44"/>
      <c r="V12" s="44"/>
      <c r="W12" s="30"/>
      <c r="X12" s="40"/>
      <c r="Y12" s="45"/>
      <c r="Z12" s="45"/>
      <c r="AA12" s="45"/>
      <c r="AB12" s="45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8"/>
      <c r="AQ12" s="34"/>
      <c r="AR12" s="34"/>
      <c r="AS12" s="35"/>
      <c r="AT12" s="35"/>
    </row>
    <row r="13" spans="1:46" ht="15.75" thickBot="1">
      <c r="A13" s="30"/>
      <c r="B13" s="46" t="s">
        <v>6</v>
      </c>
      <c r="C13" s="44"/>
      <c r="D13" s="70" t="s">
        <v>77</v>
      </c>
      <c r="E13" s="44"/>
      <c r="F13" s="44"/>
      <c r="G13" s="41" t="s">
        <v>5</v>
      </c>
      <c r="H13" s="41"/>
      <c r="I13" s="44"/>
      <c r="J13" s="44"/>
      <c r="K13" s="44"/>
      <c r="L13" s="44" t="s">
        <v>78</v>
      </c>
      <c r="M13" s="44"/>
      <c r="N13" s="44"/>
      <c r="O13" s="44"/>
      <c r="P13" s="41" t="s">
        <v>6</v>
      </c>
      <c r="Q13" s="44"/>
      <c r="R13" s="70" t="s">
        <v>76</v>
      </c>
      <c r="S13" s="44"/>
      <c r="T13" s="126" t="s">
        <v>5</v>
      </c>
      <c r="U13" s="52"/>
      <c r="V13" s="53"/>
      <c r="W13" s="30"/>
      <c r="X13" s="54" t="s">
        <v>6</v>
      </c>
      <c r="Y13" s="45"/>
      <c r="Z13" s="45" t="s">
        <v>77</v>
      </c>
      <c r="AA13" s="45"/>
      <c r="AB13" s="45"/>
      <c r="AC13" s="41" t="s">
        <v>5</v>
      </c>
      <c r="AD13" s="41"/>
      <c r="AE13" s="44"/>
      <c r="AF13" s="44"/>
      <c r="AG13" s="44"/>
      <c r="AH13" s="44" t="s">
        <v>78</v>
      </c>
      <c r="AI13" s="44"/>
      <c r="AJ13" s="44"/>
      <c r="AK13" s="44"/>
      <c r="AL13" s="41" t="s">
        <v>6</v>
      </c>
      <c r="AM13" s="44"/>
      <c r="AN13" s="44" t="s">
        <v>76</v>
      </c>
      <c r="AO13" s="44"/>
      <c r="AP13" s="42" t="s">
        <v>5</v>
      </c>
      <c r="AQ13" s="53"/>
      <c r="AR13" s="53"/>
      <c r="AS13" s="35"/>
      <c r="AT13" s="35"/>
    </row>
    <row r="14" spans="1:46" ht="15.75" thickBot="1">
      <c r="A14" s="30"/>
      <c r="B14" s="965"/>
      <c r="C14" s="970" t="str">
        <f>IF($G$8=$G$9,"résultat",IF($G$8&gt;$G$9,$C$9,$C$8))</f>
        <v/>
      </c>
      <c r="D14" s="971"/>
      <c r="E14" s="971"/>
      <c r="F14" s="972"/>
      <c r="G14" s="49">
        <v>1</v>
      </c>
      <c r="H14" s="41"/>
      <c r="I14" s="44"/>
      <c r="J14" s="994" t="str">
        <f>IF(ISTEXT($Q$8),IF(($G$9=$G$8),"résultat",IF(($N$9=$N$8),"résultat",IF(($U$14=2),$C$8,IF(($V$14=2),$C$9,IF(($U$15=2),$J$9,IF(($V$15=2),J8,0)))))))</f>
        <v/>
      </c>
      <c r="K14" s="995"/>
      <c r="L14" s="995"/>
      <c r="M14" s="996"/>
      <c r="N14" s="50"/>
      <c r="O14" s="44"/>
      <c r="P14" s="965"/>
      <c r="Q14" s="967" t="str">
        <f>IF($E$2+$E$3=5,$Q$8,IF($N$8=$N$9,"résultat",IF($N$8&gt;$N$9,$J$8,$J$9)))</f>
        <v/>
      </c>
      <c r="R14" s="968"/>
      <c r="S14" s="969"/>
      <c r="T14" s="49">
        <v>1</v>
      </c>
      <c r="U14" s="56">
        <f>IF(G8&gt;G9,1)+IF(N8&gt;N9,1)</f>
        <v>2</v>
      </c>
      <c r="V14" s="57">
        <f>IF(G9&gt;G8,1)+IF(N9&gt;N8,1)</f>
        <v>0</v>
      </c>
      <c r="W14" s="30"/>
      <c r="X14" s="965"/>
      <c r="Y14" s="970" t="str">
        <f>IF($AC$8=$AC$9,"résultat",IF($AC$8&gt;$AC$9,$Y$9,$Y$8))</f>
        <v/>
      </c>
      <c r="Z14" s="971"/>
      <c r="AA14" s="971"/>
      <c r="AB14" s="972"/>
      <c r="AC14" s="49">
        <v>1</v>
      </c>
      <c r="AD14" s="41"/>
      <c r="AE14" s="44"/>
      <c r="AF14" s="997" t="str">
        <f>IF(ISTEXT($AM$8),IF(($AC$9=$AC$8),"résultat",IF(($AJ$9=$AJ$8),"résultat",IF(($AQ$14=2),$Y$8,IF(($AR$14=2),$Y$9,IF(($AQ$15=2),$AF$9,IF(($AR$15=2),$AF$8,0)))))))</f>
        <v/>
      </c>
      <c r="AG14" s="995"/>
      <c r="AH14" s="995"/>
      <c r="AI14" s="996"/>
      <c r="AJ14" s="50"/>
      <c r="AK14" s="44"/>
      <c r="AL14" s="965"/>
      <c r="AM14" s="967" t="str">
        <f>IF($AA$2+$AA$3=5,$AM$8,IF($AJ$8&gt;$AJ$9,$AF$8,$AF$9))</f>
        <v/>
      </c>
      <c r="AN14" s="968"/>
      <c r="AO14" s="969"/>
      <c r="AP14" s="49">
        <v>1</v>
      </c>
      <c r="AQ14" s="56">
        <f>IF(AC8&gt;AC9,1)+IF(AJ8&gt;AJ9,1)</f>
        <v>2</v>
      </c>
      <c r="AR14" s="57">
        <f>IF(AC9&gt;AC8,1)+IF(AJ9&gt;AJ8,1)</f>
        <v>0</v>
      </c>
      <c r="AS14" s="35"/>
      <c r="AT14" s="35"/>
    </row>
    <row r="15" spans="1:46" ht="15.75" thickBot="1">
      <c r="A15" s="30"/>
      <c r="B15" s="966"/>
      <c r="C15" s="962" t="str">
        <f>IF($N$8=$N$9,"résultat",IF($N$8&lt;$N$9,$J$8,$J$9))</f>
        <v/>
      </c>
      <c r="D15" s="963"/>
      <c r="E15" s="963"/>
      <c r="F15" s="964"/>
      <c r="G15" s="58"/>
      <c r="H15" s="41"/>
      <c r="I15" s="44"/>
      <c r="J15" s="59" t="str">
        <f>IF(ISTEXT(J14)," ",0)</f>
        <v xml:space="preserve"> </v>
      </c>
      <c r="K15" s="44"/>
      <c r="L15" s="44"/>
      <c r="M15" s="44"/>
      <c r="N15" s="44"/>
      <c r="O15" s="44"/>
      <c r="P15" s="966"/>
      <c r="Q15" s="96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963"/>
      <c r="S15" s="964"/>
      <c r="T15" s="51">
        <v>0</v>
      </c>
      <c r="U15" s="60">
        <f>IF(G8&gt;G9,1)+IF(N9&gt;N8,1)</f>
        <v>1</v>
      </c>
      <c r="V15" s="61">
        <f>IF(G9&gt;G8,1)+IF(N8&gt;N9,1)</f>
        <v>1</v>
      </c>
      <c r="W15" s="30"/>
      <c r="X15" s="966"/>
      <c r="Y15" s="962" t="str">
        <f>IF($AJ$8=$AJ$9,"résultat",IF($AJ$8&lt;$AJ$9,$AF$8,$AF$9))</f>
        <v/>
      </c>
      <c r="Z15" s="963"/>
      <c r="AA15" s="963"/>
      <c r="AB15" s="964"/>
      <c r="AC15" s="49">
        <v>0</v>
      </c>
      <c r="AD15" s="41"/>
      <c r="AE15" s="44"/>
      <c r="AF15" s="44"/>
      <c r="AG15" s="44"/>
      <c r="AH15" s="44"/>
      <c r="AI15" s="44"/>
      <c r="AJ15" s="44"/>
      <c r="AK15" s="44"/>
      <c r="AL15" s="966"/>
      <c r="AM15" s="96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963"/>
      <c r="AO15" s="964"/>
      <c r="AP15" s="51">
        <v>0</v>
      </c>
      <c r="AQ15" s="60">
        <f>IF(AC8&gt;AC9,1)+IF(AJ9&gt;AJ8,1)</f>
        <v>1</v>
      </c>
      <c r="AR15" s="61">
        <f>IF(AC9&gt;AC8,1)+IF(AJ8&gt;AJ9,1)</f>
        <v>1</v>
      </c>
      <c r="AS15" s="35"/>
      <c r="AT15" s="35"/>
    </row>
    <row r="16" spans="1:46">
      <c r="A16" s="30"/>
      <c r="B16" s="4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62"/>
      <c r="Q16" s="44"/>
      <c r="R16" s="44"/>
      <c r="S16" s="44"/>
      <c r="T16" s="48"/>
      <c r="U16" s="44"/>
      <c r="V16" s="44"/>
      <c r="W16" s="30"/>
      <c r="X16" s="40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8"/>
      <c r="AQ16" s="34"/>
      <c r="AR16" s="34"/>
      <c r="AS16" s="35"/>
      <c r="AT16" s="35"/>
    </row>
    <row r="17" spans="1:47">
      <c r="A17" s="30"/>
      <c r="B17" s="4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8"/>
      <c r="U17" s="44"/>
      <c r="V17" s="44"/>
      <c r="W17" s="30"/>
      <c r="X17" s="40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8"/>
      <c r="AQ17" s="34"/>
      <c r="AR17" s="34"/>
      <c r="AS17" s="35"/>
      <c r="AT17" s="35"/>
    </row>
    <row r="18" spans="1:47">
      <c r="A18" s="30"/>
      <c r="B18" s="40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T18" s="48"/>
      <c r="U18" s="44"/>
      <c r="V18" s="44"/>
      <c r="W18" s="30"/>
      <c r="X18" s="40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8"/>
      <c r="AQ18" s="34"/>
      <c r="AR18" s="34"/>
      <c r="AS18" s="35"/>
      <c r="AT18" s="35"/>
    </row>
    <row r="19" spans="1:47" ht="15.75" thickBot="1">
      <c r="A19" s="30"/>
      <c r="B19" s="40"/>
      <c r="C19" s="44"/>
      <c r="D19" s="44"/>
      <c r="E19" s="41" t="s">
        <v>6</v>
      </c>
      <c r="F19" s="44"/>
      <c r="G19" s="44"/>
      <c r="H19" s="44"/>
      <c r="I19" s="44"/>
      <c r="J19" s="41" t="s">
        <v>5</v>
      </c>
      <c r="K19" s="41"/>
      <c r="L19" s="41" t="s">
        <v>6</v>
      </c>
      <c r="M19" s="44"/>
      <c r="N19" s="44"/>
      <c r="O19" s="44"/>
      <c r="P19" s="44"/>
      <c r="Q19" s="41" t="s">
        <v>5</v>
      </c>
      <c r="R19" s="44"/>
      <c r="S19" s="44"/>
      <c r="T19" s="48"/>
      <c r="U19" s="63"/>
      <c r="V19" s="44"/>
      <c r="W19" s="30"/>
      <c r="X19" s="40"/>
      <c r="Y19" s="44"/>
      <c r="Z19" s="44"/>
      <c r="AA19" s="41" t="s">
        <v>6</v>
      </c>
      <c r="AB19" s="44"/>
      <c r="AC19" s="44"/>
      <c r="AD19" s="44"/>
      <c r="AE19" s="44"/>
      <c r="AF19" s="41" t="s">
        <v>5</v>
      </c>
      <c r="AG19" s="41"/>
      <c r="AH19" s="41" t="s">
        <v>6</v>
      </c>
      <c r="AI19" s="44"/>
      <c r="AJ19" s="44"/>
      <c r="AK19" s="44"/>
      <c r="AL19" s="44"/>
      <c r="AM19" s="41" t="s">
        <v>5</v>
      </c>
      <c r="AN19" s="44"/>
      <c r="AO19" s="44"/>
      <c r="AP19" s="48"/>
      <c r="AQ19" s="34"/>
      <c r="AR19" s="34"/>
      <c r="AS19" s="35"/>
      <c r="AT19" s="35"/>
    </row>
    <row r="20" spans="1:47" ht="15.75" thickBot="1">
      <c r="A20" s="30"/>
      <c r="B20" s="40"/>
      <c r="C20" s="44"/>
      <c r="D20" s="44"/>
      <c r="E20" s="965"/>
      <c r="F20" s="976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977"/>
      <c r="H20" s="977"/>
      <c r="I20" s="978"/>
      <c r="J20" s="49">
        <v>1</v>
      </c>
      <c r="K20" s="41"/>
      <c r="L20" s="965" t="s">
        <v>13</v>
      </c>
      <c r="M20" s="991" t="b">
        <f>IF($E$2+$E$3=5,$J$14)</f>
        <v>0</v>
      </c>
      <c r="N20" s="992"/>
      <c r="O20" s="992"/>
      <c r="P20" s="993"/>
      <c r="Q20" s="49">
        <v>1</v>
      </c>
      <c r="R20" s="44"/>
      <c r="S20" s="44"/>
      <c r="T20" s="48"/>
      <c r="U20" s="44"/>
      <c r="V20" s="44"/>
      <c r="W20" s="30"/>
      <c r="X20" s="40"/>
      <c r="Y20" s="44"/>
      <c r="Z20" s="44"/>
      <c r="AA20" s="965"/>
      <c r="AB20" s="976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977"/>
      <c r="AD20" s="977"/>
      <c r="AE20" s="978"/>
      <c r="AF20" s="49">
        <v>1</v>
      </c>
      <c r="AG20" s="41"/>
      <c r="AH20" s="965" t="s">
        <v>13</v>
      </c>
      <c r="AI20" s="991" t="b">
        <f>IF($AA$2+$AA$3=5,$AF$14)</f>
        <v>0</v>
      </c>
      <c r="AJ20" s="992"/>
      <c r="AK20" s="992"/>
      <c r="AL20" s="993"/>
      <c r="AM20" s="49">
        <v>1</v>
      </c>
      <c r="AN20" s="44"/>
      <c r="AO20" s="44"/>
      <c r="AP20" s="48"/>
      <c r="AQ20" s="34"/>
      <c r="AR20" s="34"/>
      <c r="AS20" s="35"/>
      <c r="AT20" s="35"/>
    </row>
    <row r="21" spans="1:47" ht="15.75" thickBot="1">
      <c r="A21" s="30"/>
      <c r="B21" s="40"/>
      <c r="C21" s="44"/>
      <c r="D21" s="44"/>
      <c r="E21" s="966"/>
      <c r="F21" s="976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981"/>
      <c r="H21" s="981"/>
      <c r="I21" s="982"/>
      <c r="J21" s="49">
        <v>0</v>
      </c>
      <c r="K21" s="41"/>
      <c r="L21" s="966"/>
      <c r="M21" s="976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981"/>
      <c r="O21" s="981"/>
      <c r="P21" s="982"/>
      <c r="Q21" s="49">
        <v>2</v>
      </c>
      <c r="R21" s="44"/>
      <c r="S21" s="63"/>
      <c r="T21" s="48"/>
      <c r="U21" s="44"/>
      <c r="W21" s="30"/>
      <c r="X21" s="40"/>
      <c r="Y21" s="44"/>
      <c r="Z21" s="44"/>
      <c r="AA21" s="966"/>
      <c r="AB21" s="976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981"/>
      <c r="AD21" s="981"/>
      <c r="AE21" s="982"/>
      <c r="AF21" s="49">
        <v>0</v>
      </c>
      <c r="AG21" s="41"/>
      <c r="AH21" s="966"/>
      <c r="AI21" s="976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981"/>
      <c r="AK21" s="981"/>
      <c r="AL21" s="982"/>
      <c r="AM21" s="49">
        <v>2</v>
      </c>
      <c r="AN21" s="44"/>
      <c r="AO21" s="44"/>
      <c r="AP21" s="48"/>
      <c r="AQ21" s="34"/>
      <c r="AR21" s="34"/>
      <c r="AS21" s="35"/>
      <c r="AT21" s="35"/>
    </row>
    <row r="22" spans="1:47">
      <c r="A22" s="30"/>
      <c r="B22" s="40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8"/>
      <c r="U22" s="44"/>
      <c r="V22" s="44"/>
      <c r="W22" s="30"/>
      <c r="X22" s="40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8"/>
      <c r="AQ22" s="34"/>
      <c r="AR22" s="34"/>
      <c r="AS22" s="35"/>
      <c r="AT22" s="35"/>
    </row>
    <row r="23" spans="1:47">
      <c r="A23" s="30"/>
      <c r="B23" s="4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8"/>
      <c r="U23" s="44"/>
      <c r="V23" s="44"/>
      <c r="W23" s="30"/>
      <c r="X23" s="40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8"/>
      <c r="AQ23" s="34"/>
      <c r="AR23" s="34"/>
      <c r="AS23" s="35"/>
      <c r="AT23" s="35"/>
    </row>
    <row r="24" spans="1:47" ht="15.75" thickBot="1">
      <c r="A24" s="30"/>
      <c r="B24" s="40"/>
      <c r="C24" s="44"/>
      <c r="D24" s="44"/>
      <c r="E24" s="44"/>
      <c r="F24" s="44"/>
      <c r="G24" s="44"/>
      <c r="H24" s="44"/>
      <c r="I24" s="41" t="s">
        <v>6</v>
      </c>
      <c r="J24" s="44"/>
      <c r="K24" s="44"/>
      <c r="L24" s="44"/>
      <c r="M24" s="44"/>
      <c r="N24" s="41" t="s">
        <v>5</v>
      </c>
      <c r="O24" s="41"/>
      <c r="P24" s="64"/>
      <c r="Q24" s="44"/>
      <c r="R24" s="44"/>
      <c r="S24" s="44"/>
      <c r="T24" s="48"/>
      <c r="U24" s="44"/>
      <c r="V24" s="44"/>
      <c r="W24" s="30"/>
      <c r="X24" s="40"/>
      <c r="Y24" s="44"/>
      <c r="Z24" s="44"/>
      <c r="AA24" s="44"/>
      <c r="AB24" s="44"/>
      <c r="AC24" s="44"/>
      <c r="AD24" s="44"/>
      <c r="AE24" s="41" t="s">
        <v>6</v>
      </c>
      <c r="AF24" s="44"/>
      <c r="AG24" s="44"/>
      <c r="AH24" s="44"/>
      <c r="AI24" s="44"/>
      <c r="AJ24" s="41" t="s">
        <v>5</v>
      </c>
      <c r="AK24" s="41"/>
      <c r="AL24" s="64"/>
      <c r="AM24" s="44"/>
      <c r="AN24" s="44"/>
      <c r="AO24" s="44"/>
      <c r="AP24" s="48"/>
      <c r="AQ24" s="34"/>
      <c r="AR24" s="34"/>
      <c r="AS24" s="35"/>
      <c r="AT24" s="35"/>
    </row>
    <row r="25" spans="1:47" ht="15.75" thickBot="1">
      <c r="A25" s="30"/>
      <c r="B25" s="40"/>
      <c r="C25" s="44"/>
      <c r="D25" s="44"/>
      <c r="E25" s="44"/>
      <c r="F25" s="44"/>
      <c r="G25" s="44"/>
      <c r="H25" s="44"/>
      <c r="I25" s="965"/>
      <c r="J25" s="1001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002"/>
      <c r="L25" s="1002"/>
      <c r="M25" s="1003"/>
      <c r="N25" s="49">
        <v>1</v>
      </c>
      <c r="O25" s="41"/>
      <c r="P25" s="44"/>
      <c r="Q25" s="44"/>
      <c r="R25" s="44"/>
      <c r="S25" s="44"/>
      <c r="T25" s="48"/>
      <c r="U25" s="44"/>
      <c r="V25" s="44"/>
      <c r="W25" s="30"/>
      <c r="X25" s="40"/>
      <c r="Y25" s="44"/>
      <c r="Z25" s="44"/>
      <c r="AA25" s="44"/>
      <c r="AB25" s="44"/>
      <c r="AC25" s="44"/>
      <c r="AD25" s="44"/>
      <c r="AE25" s="965"/>
      <c r="AF25" s="1001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1002"/>
      <c r="AH25" s="1002"/>
      <c r="AI25" s="1003"/>
      <c r="AJ25" s="49">
        <v>1</v>
      </c>
      <c r="AK25" s="41"/>
      <c r="AL25" s="44"/>
      <c r="AM25" s="44"/>
      <c r="AN25" s="44"/>
      <c r="AO25" s="44"/>
      <c r="AP25" s="48"/>
      <c r="AQ25" s="34"/>
      <c r="AR25" s="34"/>
      <c r="AS25" s="35"/>
      <c r="AT25" s="35"/>
    </row>
    <row r="26" spans="1:47" ht="15.75" thickBot="1">
      <c r="A26" s="30"/>
      <c r="B26" s="40"/>
      <c r="C26" s="44"/>
      <c r="D26" s="44"/>
      <c r="E26" s="44"/>
      <c r="F26" s="44"/>
      <c r="G26" s="44"/>
      <c r="H26" s="44"/>
      <c r="I26" s="966"/>
      <c r="J26" s="998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999"/>
      <c r="L26" s="999"/>
      <c r="M26" s="1000"/>
      <c r="N26" s="49">
        <v>0</v>
      </c>
      <c r="O26" s="41"/>
      <c r="P26" s="44"/>
      <c r="Q26" s="44"/>
      <c r="R26" s="44"/>
      <c r="S26" s="44"/>
      <c r="T26" s="48"/>
      <c r="U26" s="44"/>
      <c r="V26" s="44"/>
      <c r="W26" s="30"/>
      <c r="X26" s="40"/>
      <c r="Y26" s="44"/>
      <c r="Z26" s="44"/>
      <c r="AA26" s="44"/>
      <c r="AB26" s="44"/>
      <c r="AC26" s="44"/>
      <c r="AD26" s="44"/>
      <c r="AE26" s="966"/>
      <c r="AF26" s="998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999"/>
      <c r="AH26" s="999"/>
      <c r="AI26" s="1000"/>
      <c r="AJ26" s="49">
        <v>0</v>
      </c>
      <c r="AK26" s="41"/>
      <c r="AL26" s="44"/>
      <c r="AM26" s="44"/>
      <c r="AN26" s="44"/>
      <c r="AO26" s="44"/>
      <c r="AP26" s="48"/>
      <c r="AQ26" s="34"/>
      <c r="AR26" s="34"/>
      <c r="AS26" s="35"/>
      <c r="AT26" s="35"/>
    </row>
    <row r="27" spans="1:47" ht="15.75" thickBot="1">
      <c r="A27" s="30"/>
      <c r="B27" s="40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8"/>
      <c r="U27" s="44"/>
      <c r="V27" s="44"/>
      <c r="W27" s="30"/>
      <c r="X27" s="40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8"/>
      <c r="AQ27" s="34"/>
      <c r="AR27" s="34"/>
      <c r="AS27" s="35"/>
      <c r="AT27" s="35"/>
    </row>
    <row r="28" spans="1:47" ht="22.5" customHeight="1" thickBot="1">
      <c r="A28" s="30"/>
      <c r="B28" s="40"/>
      <c r="C28"/>
      <c r="D28" s="44"/>
      <c r="E28" s="44"/>
      <c r="F28" s="44"/>
      <c r="G28" s="44"/>
      <c r="H28" s="44"/>
      <c r="I28" s="44"/>
      <c r="J28" s="955" t="s">
        <v>75</v>
      </c>
      <c r="K28" s="956"/>
      <c r="L28" s="956"/>
      <c r="M28" s="957"/>
      <c r="N28" s="44"/>
      <c r="O28" s="44"/>
      <c r="P28" s="63"/>
      <c r="Q28" s="44"/>
      <c r="R28" s="44"/>
      <c r="S28" s="44"/>
      <c r="T28" s="48"/>
      <c r="U28"/>
      <c r="V28"/>
      <c r="W28" s="30"/>
      <c r="X28" s="40"/>
      <c r="Y28"/>
      <c r="Z28" s="44"/>
      <c r="AA28" s="44"/>
      <c r="AB28" s="44"/>
      <c r="AC28" s="44"/>
      <c r="AD28" s="44"/>
      <c r="AE28" s="44"/>
      <c r="AF28" s="955" t="s">
        <v>75</v>
      </c>
      <c r="AG28" s="956"/>
      <c r="AH28" s="956"/>
      <c r="AI28" s="957"/>
      <c r="AJ28" s="44"/>
      <c r="AK28" s="44"/>
      <c r="AL28" s="63"/>
      <c r="AM28" s="44"/>
      <c r="AN28" s="44"/>
      <c r="AO28" s="44"/>
      <c r="AP28" s="48"/>
      <c r="AQ28"/>
      <c r="AR28"/>
      <c r="AS28" s="34"/>
      <c r="AT28" s="35"/>
      <c r="AU28" s="35"/>
    </row>
    <row r="29" spans="1:47">
      <c r="A29" s="30"/>
      <c r="B29" s="40"/>
      <c r="C29"/>
      <c r="D29" s="928" t="s">
        <v>0</v>
      </c>
      <c r="E29" s="929"/>
      <c r="F29" s="930"/>
      <c r="G29" s="44"/>
      <c r="H29" s="934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935"/>
      <c r="J29" s="935"/>
      <c r="K29" s="935"/>
      <c r="L29" s="935"/>
      <c r="M29" s="935"/>
      <c r="N29" s="936"/>
      <c r="O29" s="44"/>
      <c r="P29" s="44"/>
      <c r="Q29" s="44"/>
      <c r="R29" s="44"/>
      <c r="S29" s="44"/>
      <c r="T29" s="48"/>
      <c r="U29"/>
      <c r="V29"/>
      <c r="W29" s="30"/>
      <c r="X29" s="40"/>
      <c r="Y29"/>
      <c r="Z29" s="928" t="s">
        <v>0</v>
      </c>
      <c r="AA29" s="929"/>
      <c r="AB29" s="930"/>
      <c r="AC29" s="44"/>
      <c r="AD29" s="934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935"/>
      <c r="AF29" s="935"/>
      <c r="AG29" s="935"/>
      <c r="AH29" s="935"/>
      <c r="AI29" s="935"/>
      <c r="AJ29" s="936"/>
      <c r="AK29" s="44"/>
      <c r="AL29" s="44"/>
      <c r="AM29"/>
      <c r="AN29" s="44"/>
      <c r="AO29" s="44"/>
      <c r="AP29" s="48"/>
      <c r="AQ29"/>
      <c r="AR29"/>
      <c r="AS29" s="34"/>
      <c r="AT29" s="35"/>
      <c r="AU29" s="35"/>
    </row>
    <row r="30" spans="1:47" ht="15" customHeight="1">
      <c r="A30" s="30"/>
      <c r="B30" s="40"/>
      <c r="C30"/>
      <c r="D30" s="925" t="s">
        <v>1</v>
      </c>
      <c r="E30" s="926"/>
      <c r="F30" s="927"/>
      <c r="G30" s="44"/>
      <c r="H30" s="937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938"/>
      <c r="J30" s="938"/>
      <c r="K30" s="938"/>
      <c r="L30" s="938"/>
      <c r="M30" s="938"/>
      <c r="N30" s="939"/>
      <c r="O30" s="44"/>
      <c r="P30" s="65"/>
      <c r="Q30" s="65"/>
      <c r="R30" s="65"/>
      <c r="S30" s="65"/>
      <c r="T30" s="48"/>
      <c r="U30"/>
      <c r="V30"/>
      <c r="W30" s="30"/>
      <c r="X30" s="40"/>
      <c r="Y30"/>
      <c r="Z30" s="925" t="s">
        <v>1</v>
      </c>
      <c r="AA30" s="926"/>
      <c r="AB30" s="927"/>
      <c r="AC30" s="44"/>
      <c r="AD30" s="937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938"/>
      <c r="AF30" s="938"/>
      <c r="AG30" s="938"/>
      <c r="AH30" s="938"/>
      <c r="AI30" s="938"/>
      <c r="AJ30" s="939"/>
      <c r="AK30" s="44"/>
      <c r="AL30" s="65"/>
      <c r="AM30" s="65"/>
      <c r="AN30" s="65"/>
      <c r="AO30" s="44"/>
      <c r="AP30" s="48"/>
      <c r="AQ30"/>
      <c r="AR30"/>
      <c r="AS30" s="34"/>
      <c r="AT30" s="35"/>
      <c r="AU30" s="35"/>
    </row>
    <row r="31" spans="1:47">
      <c r="A31" s="30"/>
      <c r="B31" s="40"/>
      <c r="C31"/>
      <c r="D31" s="925" t="s">
        <v>2</v>
      </c>
      <c r="E31" s="926"/>
      <c r="F31" s="927"/>
      <c r="G31" s="44"/>
      <c r="H31" s="940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941"/>
      <c r="J31" s="941"/>
      <c r="K31" s="941"/>
      <c r="L31" s="941"/>
      <c r="M31" s="941"/>
      <c r="N31" s="942"/>
      <c r="O31" s="44"/>
      <c r="P31" s="44"/>
      <c r="Q31" s="44"/>
      <c r="R31" s="44"/>
      <c r="S31" s="44"/>
      <c r="T31" s="48"/>
      <c r="U31"/>
      <c r="V31"/>
      <c r="W31" s="30"/>
      <c r="X31" s="40"/>
      <c r="Y31"/>
      <c r="Z31" s="925" t="s">
        <v>2</v>
      </c>
      <c r="AA31" s="926"/>
      <c r="AB31" s="927"/>
      <c r="AC31" s="44"/>
      <c r="AD31" s="952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953"/>
      <c r="AF31" s="953"/>
      <c r="AG31" s="953"/>
      <c r="AH31" s="953"/>
      <c r="AI31" s="953"/>
      <c r="AJ31" s="954"/>
      <c r="AK31" s="44"/>
      <c r="AL31" s="44"/>
      <c r="AM31" s="44"/>
      <c r="AN31" s="44"/>
      <c r="AO31" s="44"/>
      <c r="AP31" s="48"/>
      <c r="AQ31"/>
      <c r="AR31"/>
      <c r="AS31" s="34"/>
      <c r="AT31" s="35"/>
      <c r="AU31" s="35"/>
    </row>
    <row r="32" spans="1:47">
      <c r="A32" s="30"/>
      <c r="B32" s="40"/>
      <c r="C32"/>
      <c r="D32" s="925" t="s">
        <v>3</v>
      </c>
      <c r="E32" s="926"/>
      <c r="F32" s="927"/>
      <c r="G32" s="44"/>
      <c r="H32" s="940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941"/>
      <c r="J32" s="941"/>
      <c r="K32" s="941"/>
      <c r="L32" s="941"/>
      <c r="M32" s="941"/>
      <c r="N32" s="942"/>
      <c r="O32" s="44"/>
      <c r="P32" s="44"/>
      <c r="Q32" s="44"/>
      <c r="R32" s="44"/>
      <c r="S32" s="44"/>
      <c r="T32" s="48"/>
      <c r="U32"/>
      <c r="V32"/>
      <c r="W32" s="30"/>
      <c r="X32" s="40"/>
      <c r="Y32"/>
      <c r="Z32" s="925" t="s">
        <v>3</v>
      </c>
      <c r="AA32" s="926"/>
      <c r="AB32" s="927"/>
      <c r="AC32" s="44"/>
      <c r="AD32" s="940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941"/>
      <c r="AF32" s="941"/>
      <c r="AG32" s="941"/>
      <c r="AH32" s="941"/>
      <c r="AI32" s="941"/>
      <c r="AJ32" s="942"/>
      <c r="AK32" s="44"/>
      <c r="AL32" s="44"/>
      <c r="AM32" s="44"/>
      <c r="AN32" s="44"/>
      <c r="AO32" s="44"/>
      <c r="AP32" s="48"/>
      <c r="AQ32"/>
      <c r="AR32"/>
      <c r="AS32" s="34"/>
      <c r="AT32" s="35"/>
      <c r="AU32" s="35"/>
    </row>
    <row r="33" spans="1:47" ht="15.75" thickBot="1">
      <c r="A33" s="30"/>
      <c r="B33" s="40"/>
      <c r="C33"/>
      <c r="D33" s="931" t="s">
        <v>4</v>
      </c>
      <c r="E33" s="932"/>
      <c r="F33" s="933"/>
      <c r="G33" s="44"/>
      <c r="H33" s="946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947"/>
      <c r="J33" s="947"/>
      <c r="K33" s="947"/>
      <c r="L33" s="947"/>
      <c r="M33" s="947"/>
      <c r="N33" s="948"/>
      <c r="O33" s="44"/>
      <c r="P33" s="44"/>
      <c r="Q33" s="44"/>
      <c r="R33" s="44"/>
      <c r="S33" s="44"/>
      <c r="T33" s="48"/>
      <c r="U33"/>
      <c r="V33"/>
      <c r="W33" s="30"/>
      <c r="X33" s="40"/>
      <c r="Y33"/>
      <c r="Z33" s="931" t="s">
        <v>4</v>
      </c>
      <c r="AA33" s="932"/>
      <c r="AB33" s="933"/>
      <c r="AC33" s="44"/>
      <c r="AD33" s="946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947"/>
      <c r="AF33" s="947"/>
      <c r="AG33" s="947"/>
      <c r="AH33" s="947"/>
      <c r="AI33" s="947"/>
      <c r="AJ33" s="948"/>
      <c r="AK33" s="44"/>
      <c r="AL33" s="44"/>
      <c r="AM33" s="44"/>
      <c r="AN33" s="44"/>
      <c r="AO33" s="44"/>
      <c r="AP33" s="48"/>
      <c r="AQ33"/>
      <c r="AR33"/>
      <c r="AS33" s="34"/>
      <c r="AT33" s="35"/>
      <c r="AU33" s="35"/>
    </row>
    <row r="34" spans="1:47">
      <c r="A34" s="30"/>
      <c r="B34" s="40"/>
      <c r="C34" s="53"/>
      <c r="D34" s="53"/>
      <c r="E34" s="53"/>
      <c r="F34" s="53"/>
      <c r="G34" s="53"/>
      <c r="H34"/>
      <c r="I34" s="53"/>
      <c r="J34" s="53"/>
      <c r="K34" s="53"/>
      <c r="L34" s="53"/>
      <c r="M34" s="53"/>
      <c r="N34" s="44"/>
      <c r="O34" s="44"/>
      <c r="P34" s="44"/>
      <c r="Q34" s="44"/>
      <c r="R34" s="44"/>
      <c r="S34" s="44"/>
      <c r="T34" s="48"/>
      <c r="U34" s="44"/>
      <c r="V34" s="44"/>
      <c r="W34" s="30"/>
      <c r="X34" s="40"/>
      <c r="AD34"/>
      <c r="AJ34" s="44"/>
      <c r="AK34" s="44"/>
      <c r="AL34" s="44"/>
      <c r="AM34" s="44"/>
      <c r="AN34" s="44"/>
      <c r="AO34" s="44"/>
      <c r="AP34" s="48"/>
      <c r="AQ34" s="34"/>
      <c r="AR34" s="34"/>
      <c r="AS34" s="35"/>
      <c r="AT34" s="35"/>
    </row>
    <row r="35" spans="1:47" ht="15.75" thickBot="1">
      <c r="A35" s="30"/>
      <c r="B35" s="66"/>
      <c r="C35" s="67"/>
      <c r="D35" s="102"/>
      <c r="E35" s="102"/>
      <c r="F35" s="102"/>
      <c r="G35" s="67"/>
      <c r="H35" s="67"/>
      <c r="I35" s="67"/>
      <c r="J35" s="67"/>
      <c r="K35" s="67"/>
      <c r="L35" s="67"/>
      <c r="M35" s="67"/>
      <c r="N35" s="68"/>
      <c r="O35" s="68"/>
      <c r="P35" s="68"/>
      <c r="Q35" s="68"/>
      <c r="R35" s="68"/>
      <c r="S35" s="68"/>
      <c r="T35" s="69"/>
      <c r="U35" s="30"/>
      <c r="V35" s="30"/>
      <c r="W35" s="30"/>
      <c r="X35" s="66"/>
      <c r="Y35" s="68"/>
      <c r="Z35" s="103"/>
      <c r="AA35" s="103"/>
      <c r="AB35" s="103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9"/>
      <c r="AQ35" s="71"/>
      <c r="AR35" s="71"/>
      <c r="AS35" s="35"/>
      <c r="AT35" s="35"/>
    </row>
    <row r="36" spans="1:47" ht="15.75" thickBo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5"/>
      <c r="V36" s="35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5"/>
      <c r="AR36" s="35"/>
      <c r="AS36" s="35"/>
      <c r="AT36" s="35"/>
    </row>
    <row r="37" spans="1:47" ht="15.75" thickBot="1">
      <c r="A37" s="35"/>
      <c r="B37" s="35"/>
      <c r="C37" s="35"/>
      <c r="G37" s="35"/>
      <c r="H37" s="35"/>
      <c r="I37" s="35"/>
      <c r="J37" s="35"/>
      <c r="K37" s="35"/>
      <c r="L37" s="35"/>
      <c r="M37" s="943" t="s">
        <v>79</v>
      </c>
      <c r="N37" s="944"/>
      <c r="O37" s="945"/>
      <c r="P37" s="35"/>
      <c r="Q37" s="35"/>
      <c r="R37" s="35"/>
      <c r="S37" s="35"/>
      <c r="T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</row>
    <row r="38" spans="1:47">
      <c r="A38" s="35"/>
      <c r="B38" s="35"/>
      <c r="C38" s="35"/>
      <c r="D38"/>
      <c r="E38"/>
      <c r="F38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</row>
    <row r="39" spans="1:47">
      <c r="A39" s="35"/>
      <c r="B39" s="35"/>
      <c r="C39" s="35"/>
      <c r="D39"/>
      <c r="E39"/>
      <c r="F39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</row>
    <row r="40" spans="1:47">
      <c r="A40" s="35"/>
      <c r="B40" s="35"/>
      <c r="C40" s="35"/>
      <c r="D40"/>
      <c r="E40"/>
      <c r="F40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</row>
    <row r="41" spans="1:47">
      <c r="A41" s="35"/>
      <c r="B41" s="35"/>
      <c r="C41" s="35"/>
      <c r="D41"/>
      <c r="E41"/>
      <c r="F41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</row>
    <row r="42" spans="1:47">
      <c r="A42" s="35"/>
      <c r="B42" s="35"/>
      <c r="C42" s="35"/>
      <c r="D42"/>
      <c r="E42"/>
      <c r="F42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</row>
    <row r="43" spans="1:47">
      <c r="A43" s="35"/>
      <c r="B43" s="35"/>
      <c r="C43" s="35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 s="35"/>
      <c r="AQ43" s="35"/>
      <c r="AR43" s="35"/>
      <c r="AS43" s="35"/>
      <c r="AT43" s="35"/>
    </row>
    <row r="44" spans="1:47">
      <c r="A44" s="35"/>
      <c r="B44" s="35"/>
      <c r="C44" s="35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 s="35"/>
      <c r="AQ44" s="35"/>
      <c r="AR44" s="35"/>
      <c r="AS44" s="35"/>
      <c r="AT44" s="35"/>
    </row>
    <row r="45" spans="1:47">
      <c r="A45" s="35"/>
      <c r="B45" s="35"/>
      <c r="C45" s="3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 s="35"/>
      <c r="AQ45" s="35"/>
      <c r="AR45" s="35"/>
      <c r="AS45" s="35"/>
      <c r="AT45" s="35"/>
    </row>
    <row r="46" spans="1:47">
      <c r="A46" s="35"/>
      <c r="B46" s="35"/>
      <c r="C46" s="35"/>
      <c r="D46" s="35"/>
      <c r="E46" s="35"/>
      <c r="F46" s="3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 s="35"/>
      <c r="AS46" s="35"/>
      <c r="AT46" s="35"/>
    </row>
    <row r="47" spans="1:47">
      <c r="A47" s="35"/>
      <c r="B47" s="35"/>
      <c r="C47" s="35"/>
      <c r="D47" s="35"/>
      <c r="E47" s="35"/>
      <c r="F47" s="35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Q47" s="35"/>
      <c r="AR47" s="35"/>
    </row>
    <row r="48" spans="1:47">
      <c r="A48" s="35"/>
      <c r="B48" s="35"/>
      <c r="C48" s="35"/>
      <c r="D48" s="35"/>
      <c r="E48" s="35"/>
      <c r="F48" s="35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 s="35"/>
      <c r="AQ48" s="35"/>
      <c r="AR48" s="35"/>
      <c r="AS48" s="35"/>
      <c r="AT48" s="35"/>
    </row>
    <row r="49" spans="1:46" ht="22.5" customHeight="1">
      <c r="A49" s="35"/>
      <c r="B49" s="35"/>
      <c r="C49" s="35"/>
      <c r="D49" s="35"/>
      <c r="E49" s="35"/>
      <c r="F49" s="3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 s="35"/>
      <c r="AQ49" s="35"/>
      <c r="AR49" s="35"/>
      <c r="AS49" s="35"/>
      <c r="AT49" s="35"/>
    </row>
    <row r="50" spans="1:46">
      <c r="A50" s="35"/>
      <c r="B50" s="35"/>
      <c r="C50" s="35"/>
      <c r="D50" s="35"/>
      <c r="E50" s="35"/>
      <c r="F50" s="35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 s="35"/>
      <c r="AS50" s="35"/>
    </row>
    <row r="51" spans="1:46"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6"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6"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6"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E20:E21"/>
    <mergeCell ref="L20:L21"/>
    <mergeCell ref="F21:I21"/>
    <mergeCell ref="C15:F15"/>
    <mergeCell ref="H30:N30"/>
    <mergeCell ref="J28:M28"/>
    <mergeCell ref="H29:N29"/>
    <mergeCell ref="AF26:AI26"/>
    <mergeCell ref="N1:S1"/>
    <mergeCell ref="AE1:AH1"/>
    <mergeCell ref="L2:T2"/>
    <mergeCell ref="X2:Z2"/>
    <mergeCell ref="X1:Z1"/>
    <mergeCell ref="AA1:AC1"/>
    <mergeCell ref="AF25:AI25"/>
    <mergeCell ref="J26:M26"/>
    <mergeCell ref="M21:P21"/>
    <mergeCell ref="AE25:AE26"/>
    <mergeCell ref="AB21:AE21"/>
    <mergeCell ref="AI21:AL21"/>
    <mergeCell ref="I2:K2"/>
    <mergeCell ref="J25:M25"/>
    <mergeCell ref="P14:P15"/>
    <mergeCell ref="AA20:AA21"/>
    <mergeCell ref="AH20:AH21"/>
    <mergeCell ref="Q14:S14"/>
    <mergeCell ref="F20:I20"/>
    <mergeCell ref="M20:P20"/>
    <mergeCell ref="J14:M14"/>
    <mergeCell ref="Q15:S15"/>
    <mergeCell ref="AF14:AI14"/>
    <mergeCell ref="X14:X15"/>
    <mergeCell ref="AI20:AL20"/>
    <mergeCell ref="B1:D1"/>
    <mergeCell ref="E1:G1"/>
    <mergeCell ref="B2:D2"/>
    <mergeCell ref="F2:G2"/>
    <mergeCell ref="I25:I26"/>
    <mergeCell ref="I1:L1"/>
    <mergeCell ref="C4:S4"/>
    <mergeCell ref="C9:F9"/>
    <mergeCell ref="J8:M8"/>
    <mergeCell ref="J9:M9"/>
    <mergeCell ref="Q8:S8"/>
    <mergeCell ref="C8:F8"/>
    <mergeCell ref="C14:F14"/>
    <mergeCell ref="B8:B9"/>
    <mergeCell ref="I8:I9"/>
    <mergeCell ref="B14:B15"/>
    <mergeCell ref="Y8:AB8"/>
    <mergeCell ref="AF8:AI8"/>
    <mergeCell ref="Y9:AB9"/>
    <mergeCell ref="AF9:AI9"/>
    <mergeCell ref="T4:T5"/>
    <mergeCell ref="X8:X9"/>
    <mergeCell ref="AE8:AE9"/>
    <mergeCell ref="AJ1:AO1"/>
    <mergeCell ref="AB2:AC2"/>
    <mergeCell ref="AE2:AG2"/>
    <mergeCell ref="AH2:AP2"/>
    <mergeCell ref="Z31:AB31"/>
    <mergeCell ref="AD31:AJ31"/>
    <mergeCell ref="AF28:AI28"/>
    <mergeCell ref="AP4:AP5"/>
    <mergeCell ref="Y4:AO4"/>
    <mergeCell ref="AM15:AO15"/>
    <mergeCell ref="AL14:AL15"/>
    <mergeCell ref="Y15:AB15"/>
    <mergeCell ref="AM14:AO14"/>
    <mergeCell ref="Y14:AB14"/>
    <mergeCell ref="AM8:AO8"/>
    <mergeCell ref="AB20:AE20"/>
    <mergeCell ref="M37:O37"/>
    <mergeCell ref="AD33:AJ33"/>
    <mergeCell ref="Z33:AB33"/>
    <mergeCell ref="D32:F32"/>
    <mergeCell ref="Z32:AB32"/>
    <mergeCell ref="AD32:AJ32"/>
    <mergeCell ref="H33:N33"/>
    <mergeCell ref="H32:N32"/>
    <mergeCell ref="D31:F31"/>
    <mergeCell ref="D29:F29"/>
    <mergeCell ref="D33:F33"/>
    <mergeCell ref="D30:F30"/>
    <mergeCell ref="AD29:AJ29"/>
    <mergeCell ref="Z30:AB30"/>
    <mergeCell ref="AD30:AJ30"/>
    <mergeCell ref="H31:N31"/>
    <mergeCell ref="Z29:AB29"/>
  </mergeCells>
  <conditionalFormatting sqref="J14:M14 Y8:AB9 AF8:AF9 AG8:AI8">
    <cfRule type="expression" dxfId="665" priority="229">
      <formula>$E$2=0</formula>
    </cfRule>
  </conditionalFormatting>
  <conditionalFormatting sqref="AF26:AI26">
    <cfRule type="cellIs" dxfId="664" priority="22" operator="equal">
      <formula>0</formula>
    </cfRule>
    <cfRule type="expression" dxfId="663" priority="282" stopIfTrue="1">
      <formula>(AND($AF$8="",$AF$9="",$AM$8=""))</formula>
    </cfRule>
  </conditionalFormatting>
  <conditionalFormatting sqref="AI21:AL21 H32:N33 AB20:AE21 AD33:AJ33 AD31:AJ31 AF25:AI25">
    <cfRule type="cellIs" dxfId="662" priority="51" operator="equal">
      <formula>0</formula>
    </cfRule>
  </conditionalFormatting>
  <conditionalFormatting sqref="AI20">
    <cfRule type="expression" dxfId="661" priority="391">
      <formula>($AI$20="")</formula>
    </cfRule>
  </conditionalFormatting>
  <conditionalFormatting sqref="H33 AD33">
    <cfRule type="expression" dxfId="660" priority="375">
      <formula>$AD$2=5</formula>
    </cfRule>
  </conditionalFormatting>
  <conditionalFormatting sqref="AD33">
    <cfRule type="expression" dxfId="659" priority="237">
      <formula>$AD$2=0</formula>
    </cfRule>
  </conditionalFormatting>
  <conditionalFormatting sqref="Y15">
    <cfRule type="expression" dxfId="658" priority="220">
      <formula>(OR(AA2=3,AA2=4,AA2=5))</formula>
    </cfRule>
  </conditionalFormatting>
  <conditionalFormatting sqref="Y8:AB9 AM8 AF14:AI14 AF8:AF9 AG8:AI8">
    <cfRule type="expression" dxfId="657" priority="189">
      <formula>$AA$2=0</formula>
    </cfRule>
  </conditionalFormatting>
  <conditionalFormatting sqref="AD29">
    <cfRule type="expression" dxfId="656" priority="176">
      <formula>$AD$2=2</formula>
    </cfRule>
    <cfRule type="expression" dxfId="655" priority="244">
      <formula>$AD$2=5</formula>
    </cfRule>
    <cfRule type="expression" dxfId="654" priority="245">
      <formula>$AD$2=4</formula>
    </cfRule>
    <cfRule type="expression" dxfId="653" priority="248">
      <formula>$AD$2=3</formula>
    </cfRule>
    <cfRule type="expression" dxfId="652" priority="250">
      <formula>$H$2=0</formula>
    </cfRule>
  </conditionalFormatting>
  <conditionalFormatting sqref="AD30">
    <cfRule type="expression" dxfId="651" priority="241">
      <formula>$AD$2=0</formula>
    </cfRule>
    <cfRule type="expression" dxfId="650" priority="242">
      <formula>$AD$2=5</formula>
    </cfRule>
    <cfRule type="expression" dxfId="649" priority="243">
      <formula>$AD$2=4</formula>
    </cfRule>
    <cfRule type="expression" dxfId="648" priority="246">
      <formula>$AD$2=3</formula>
    </cfRule>
    <cfRule type="expression" dxfId="647" priority="247">
      <formula>$AD$2=2</formula>
    </cfRule>
  </conditionalFormatting>
  <conditionalFormatting sqref="AD31">
    <cfRule type="expression" dxfId="646" priority="239">
      <formula>$AD$2=0</formula>
    </cfRule>
    <cfRule type="expression" dxfId="645" priority="240">
      <formula>$AD$2=5</formula>
    </cfRule>
    <cfRule type="expression" dxfId="644" priority="251">
      <formula>$AD$2=4</formula>
    </cfRule>
    <cfRule type="expression" dxfId="643" priority="254">
      <formula>$AD$2=3</formula>
    </cfRule>
  </conditionalFormatting>
  <conditionalFormatting sqref="AD32:AJ32">
    <cfRule type="cellIs" dxfId="642" priority="52" operator="equal">
      <formula>0</formula>
    </cfRule>
    <cfRule type="expression" dxfId="641" priority="164">
      <formula>$AD$2=5</formula>
    </cfRule>
    <cfRule type="expression" dxfId="640" priority="238">
      <formula>$AD$2=0</formula>
    </cfRule>
    <cfRule type="expression" dxfId="639" priority="252">
      <formula>$AD$2=4</formula>
    </cfRule>
  </conditionalFormatting>
  <conditionalFormatting sqref="H32 AD32">
    <cfRule type="expression" dxfId="638" priority="168">
      <formula>$H$2=0</formula>
    </cfRule>
  </conditionalFormatting>
  <conditionalFormatting sqref="AD29:AJ29">
    <cfRule type="expression" dxfId="637" priority="165">
      <formula>$AD$2=1</formula>
    </cfRule>
  </conditionalFormatting>
  <conditionalFormatting sqref="H29:N29">
    <cfRule type="expression" dxfId="636" priority="167">
      <formula>$H$2=0</formula>
    </cfRule>
    <cfRule type="expression" dxfId="635" priority="172" stopIfTrue="1">
      <formula>(OR(H2="1",H2="2",H2="3"))</formula>
    </cfRule>
  </conditionalFormatting>
  <conditionalFormatting sqref="H30:N30">
    <cfRule type="expression" dxfId="634" priority="111">
      <formula>(OR(H2="2",H2="3"))</formula>
    </cfRule>
  </conditionalFormatting>
  <conditionalFormatting sqref="H31:N31">
    <cfRule type="cellIs" dxfId="633" priority="56" operator="equal">
      <formula>0</formula>
    </cfRule>
    <cfRule type="expression" dxfId="632" priority="110">
      <formula>(H2="3")</formula>
    </cfRule>
  </conditionalFormatting>
  <conditionalFormatting sqref="AD29:AJ29">
    <cfRule type="expression" dxfId="631" priority="97">
      <formula>$H$2=0</formula>
    </cfRule>
    <cfRule type="expression" dxfId="630" priority="98" stopIfTrue="1">
      <formula>(OR(AD2="1",AD2="2",AD2="3"))</formula>
    </cfRule>
  </conditionalFormatting>
  <conditionalFormatting sqref="AD30:AJ30">
    <cfRule type="expression" dxfId="629" priority="96">
      <formula>(OR(AD2="2",AD2="3"))</formula>
    </cfRule>
  </conditionalFormatting>
  <conditionalFormatting sqref="AD31">
    <cfRule type="expression" dxfId="628" priority="95">
      <formula>(AD2="3")</formula>
    </cfRule>
  </conditionalFormatting>
  <conditionalFormatting sqref="C9:F9 AF9 Y9:AB9 J9">
    <cfRule type="cellIs" dxfId="627" priority="29" operator="equal">
      <formula>$E$2=0</formula>
    </cfRule>
    <cfRule type="expression" dxfId="626" priority="82">
      <formula>(OR($E$2=3,$E$2=4,$E$2=5))</formula>
    </cfRule>
  </conditionalFormatting>
  <conditionalFormatting sqref="C14:F14 Q15:S15 C8:F9 Y14:AB14 Y8:AB9 AF8:AF9 AF8:AI8 J8:J9 K8:M8">
    <cfRule type="expression" dxfId="625" priority="81">
      <formula>(OR($E$2=3,$E$2=4,$E$2=5))</formula>
    </cfRule>
  </conditionalFormatting>
  <conditionalFormatting sqref="Y15:AB15 C15:F15 AF9 J9">
    <cfRule type="expression" dxfId="624" priority="80">
      <formula>(OR($E$2=4,$E$2=5))</formula>
    </cfRule>
  </conditionalFormatting>
  <conditionalFormatting sqref="Y8:AB9 AF8:AI8 AF9 Y14:AB14 AM15:AO15">
    <cfRule type="expression" dxfId="623" priority="73">
      <formula>(OR($AA$2=3,$AA$2=4,$AA$2=5))</formula>
    </cfRule>
  </conditionalFormatting>
  <conditionalFormatting sqref="F21:I21 M21:P21">
    <cfRule type="expression" dxfId="622" priority="38">
      <formula>$E$2=5</formula>
    </cfRule>
    <cfRule type="cellIs" dxfId="621" priority="63" operator="equal">
      <formula>0</formula>
    </cfRule>
  </conditionalFormatting>
  <conditionalFormatting sqref="J25:M25">
    <cfRule type="expression" dxfId="620" priority="20">
      <formula>(OR($F$3=3,$E$2=4,$E$2=5))</formula>
    </cfRule>
    <cfRule type="cellIs" dxfId="619" priority="60" operator="equal">
      <formula>0</formula>
    </cfRule>
  </conditionalFormatting>
  <conditionalFormatting sqref="J26:M26">
    <cfRule type="expression" dxfId="618" priority="19">
      <formula>(OR($E$2=3,$E$2=4,$E$2=5))</formula>
    </cfRule>
    <cfRule type="cellIs" dxfId="617" priority="59" operator="equal">
      <formula>0</formula>
    </cfRule>
  </conditionalFormatting>
  <conditionalFormatting sqref="S24">
    <cfRule type="containsText" dxfId="616" priority="47" operator="containsText" text="5">
      <formula>NOT(ISERROR(SEARCH("5",S24)))</formula>
    </cfRule>
  </conditionalFormatting>
  <conditionalFormatting sqref="F20:I20">
    <cfRule type="cellIs" dxfId="615" priority="18" operator="equal">
      <formula>0</formula>
    </cfRule>
    <cfRule type="expression" dxfId="614" priority="34">
      <formula>$E$2=5</formula>
    </cfRule>
  </conditionalFormatting>
  <pageMargins left="0.15" right="0.2" top="0.31496062992125984" bottom="0.33" header="0.23622047244094491" footer="0.17"/>
  <pageSetup paperSize="9" scale="95" orientation="landscape" horizontalDpi="4294967292" r:id="rId1"/>
  <rowBreaks count="1" manualBreakCount="1">
    <brk id="35" max="16383" man="1"/>
  </rowBreaks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>
    <tabColor rgb="FF66FF33"/>
    <pageSetUpPr fitToPage="1"/>
  </sheetPr>
  <dimension ref="A1:AR37"/>
  <sheetViews>
    <sheetView zoomScale="80" zoomScaleNormal="80" workbookViewId="0">
      <selection activeCell="G41" sqref="G41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7.7109375" customWidth="1"/>
    <col min="12" max="12" width="5.28515625" customWidth="1"/>
    <col min="13" max="13" width="8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6.85546875" customWidth="1"/>
    <col min="21" max="22" width="6" hidden="1" customWidth="1"/>
    <col min="23" max="23" width="4.5703125" customWidth="1"/>
    <col min="24" max="24" width="5.140625" customWidth="1"/>
    <col min="25" max="25" width="6.42578125" customWidth="1"/>
    <col min="26" max="26" width="11.28515625" customWidth="1"/>
    <col min="27" max="27" width="5.42578125" customWidth="1"/>
    <col min="28" max="28" width="7.42578125" customWidth="1"/>
    <col min="29" max="29" width="6" customWidth="1"/>
    <col min="30" max="30" width="8.42578125" customWidth="1"/>
    <col min="31" max="31" width="5.5703125" customWidth="1"/>
    <col min="32" max="32" width="5" customWidth="1"/>
    <col min="33" max="33" width="5.42578125" customWidth="1"/>
    <col min="34" max="34" width="5.85546875" customWidth="1"/>
    <col min="35" max="35" width="8.85546875" customWidth="1"/>
    <col min="36" max="38" width="6" customWidth="1"/>
    <col min="39" max="39" width="7.7109375" customWidth="1"/>
    <col min="40" max="40" width="5.28515625" customWidth="1"/>
    <col min="41" max="41" width="12.28515625" customWidth="1"/>
    <col min="42" max="42" width="7.28515625" customWidth="1"/>
    <col min="43" max="43" width="7.42578125" hidden="1" customWidth="1"/>
    <col min="44" max="44" width="6.42578125" hidden="1" customWidth="1"/>
  </cols>
  <sheetData>
    <row r="1" spans="1:44" ht="23.25" customHeight="1" thickBot="1">
      <c r="A1" s="2"/>
      <c r="B1" s="1007" t="s">
        <v>70</v>
      </c>
      <c r="C1" s="1008"/>
      <c r="D1" s="1008"/>
      <c r="E1" s="1008">
        <f>Données!J1</f>
        <v>0</v>
      </c>
      <c r="F1" s="1008"/>
      <c r="G1" s="1008"/>
      <c r="H1" s="13" t="str">
        <f>Données!$D$3</f>
        <v>F_U18</v>
      </c>
      <c r="I1" s="1008">
        <f>Données!$N$3</f>
        <v>0</v>
      </c>
      <c r="J1" s="1008"/>
      <c r="K1" s="1008"/>
      <c r="L1" s="1008"/>
      <c r="M1" s="14">
        <f>Données!$G$3</f>
        <v>0</v>
      </c>
      <c r="N1" s="1007" t="s">
        <v>20</v>
      </c>
      <c r="O1" s="1008"/>
      <c r="P1" s="1008"/>
      <c r="Q1" s="1008"/>
      <c r="R1" s="1008"/>
      <c r="S1" s="1009"/>
      <c r="T1" s="28">
        <f>+Données!D17</f>
        <v>0</v>
      </c>
      <c r="U1" s="26"/>
      <c r="V1" s="26"/>
      <c r="W1" s="2"/>
      <c r="X1" s="1007" t="s">
        <v>70</v>
      </c>
      <c r="Y1" s="1008"/>
      <c r="Z1" s="1008"/>
      <c r="AA1" s="1008">
        <f>Données!J1</f>
        <v>0</v>
      </c>
      <c r="AB1" s="1008"/>
      <c r="AC1" s="1008"/>
      <c r="AD1" s="13" t="str">
        <f>Données!$D$3</f>
        <v>F_U18</v>
      </c>
      <c r="AE1" s="1008">
        <f>Données!$N$3</f>
        <v>0</v>
      </c>
      <c r="AF1" s="1008"/>
      <c r="AG1" s="1008"/>
      <c r="AH1" s="1008"/>
      <c r="AI1" s="14">
        <f>Données!$G$3</f>
        <v>0</v>
      </c>
      <c r="AJ1" s="1007" t="s">
        <v>20</v>
      </c>
      <c r="AK1" s="1008"/>
      <c r="AL1" s="1008"/>
      <c r="AM1" s="1008"/>
      <c r="AN1" s="1008"/>
      <c r="AO1" s="1009"/>
      <c r="AP1" s="27">
        <f>+Données!D17</f>
        <v>0</v>
      </c>
      <c r="AQ1" s="4"/>
    </row>
    <row r="2" spans="1:44" ht="24" customHeight="1" thickBot="1">
      <c r="A2" s="2"/>
      <c r="B2" s="1013" t="s">
        <v>14</v>
      </c>
      <c r="C2" s="1014"/>
      <c r="D2" s="1014"/>
      <c r="E2" s="29">
        <f>Données!G17</f>
        <v>0</v>
      </c>
      <c r="F2" s="1008" t="s">
        <v>16</v>
      </c>
      <c r="G2" s="1008"/>
      <c r="H2" s="7">
        <f>Données!$G$18</f>
        <v>0</v>
      </c>
      <c r="I2" s="1008" t="s">
        <v>17</v>
      </c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9"/>
      <c r="U2" s="25"/>
      <c r="V2" s="25"/>
      <c r="W2" s="2"/>
      <c r="X2" s="1013" t="s">
        <v>15</v>
      </c>
      <c r="Y2" s="1014"/>
      <c r="Z2" s="1014"/>
      <c r="AA2" s="20">
        <f>Données!$H$17</f>
        <v>0</v>
      </c>
      <c r="AB2" s="1008" t="s">
        <v>16</v>
      </c>
      <c r="AC2" s="1008"/>
      <c r="AD2" s="7">
        <f>Données!$H$18</f>
        <v>0</v>
      </c>
      <c r="AE2" s="1008" t="s">
        <v>17</v>
      </c>
      <c r="AF2" s="1008"/>
      <c r="AG2" s="1008"/>
      <c r="AH2" s="1008"/>
      <c r="AI2" s="1008"/>
      <c r="AJ2" s="1008"/>
      <c r="AK2" s="1008"/>
      <c r="AL2" s="1008"/>
      <c r="AM2" s="1008"/>
      <c r="AN2" s="1008"/>
      <c r="AO2" s="1008"/>
      <c r="AP2" s="1009"/>
      <c r="AQ2" s="4"/>
    </row>
    <row r="3" spans="1:44" ht="19.5" customHeight="1" thickBot="1">
      <c r="A3" s="30"/>
      <c r="B3" s="40"/>
      <c r="C3" s="41"/>
      <c r="D3" s="41"/>
      <c r="E3" s="41"/>
      <c r="F3" s="192" t="str">
        <f>CONCATENATE(E2,H2)</f>
        <v>00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  <c r="U3" s="41"/>
      <c r="V3" s="41"/>
      <c r="W3" s="30"/>
      <c r="X3" s="40"/>
      <c r="Y3" s="41"/>
      <c r="Z3" s="41"/>
      <c r="AA3" s="33"/>
      <c r="AB3" s="193" t="str">
        <f>CONCATENATE(AA2,AD2)</f>
        <v>00</v>
      </c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2"/>
      <c r="AQ3" s="34"/>
      <c r="AR3" s="34"/>
    </row>
    <row r="4" spans="1:44" ht="15.75" thickBot="1">
      <c r="A4" s="30"/>
      <c r="B4" s="40"/>
      <c r="C4" s="959" t="s">
        <v>81</v>
      </c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0"/>
      <c r="Q4" s="960"/>
      <c r="R4" s="960"/>
      <c r="S4" s="961"/>
      <c r="T4" s="958"/>
      <c r="U4" s="43"/>
      <c r="V4" s="43"/>
      <c r="W4" s="30"/>
      <c r="X4" s="40"/>
      <c r="Y4" s="959" t="s">
        <v>81</v>
      </c>
      <c r="Z4" s="960"/>
      <c r="AA4" s="960"/>
      <c r="AB4" s="960"/>
      <c r="AC4" s="960"/>
      <c r="AD4" s="960"/>
      <c r="AE4" s="960"/>
      <c r="AF4" s="960"/>
      <c r="AG4" s="960"/>
      <c r="AH4" s="960"/>
      <c r="AI4" s="960"/>
      <c r="AJ4" s="960"/>
      <c r="AK4" s="960"/>
      <c r="AL4" s="960"/>
      <c r="AM4" s="960"/>
      <c r="AN4" s="960"/>
      <c r="AO4" s="961"/>
      <c r="AP4" s="958"/>
      <c r="AQ4" s="34"/>
      <c r="AR4" s="34"/>
    </row>
    <row r="5" spans="1:44">
      <c r="A5" s="30"/>
      <c r="B5" s="40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958"/>
      <c r="U5" s="43"/>
      <c r="V5" s="43"/>
      <c r="W5" s="30"/>
      <c r="X5" s="40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958"/>
      <c r="AQ5" s="34"/>
      <c r="AR5" s="34"/>
    </row>
    <row r="6" spans="1:44" ht="15.75" thickBot="1">
      <c r="A6" s="30"/>
      <c r="B6" s="4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1"/>
      <c r="T6" s="42"/>
      <c r="U6" s="41"/>
      <c r="V6" s="41"/>
      <c r="W6" s="30"/>
      <c r="X6" s="40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5"/>
      <c r="AO6" s="41"/>
      <c r="AP6" s="42"/>
      <c r="AQ6" s="34"/>
      <c r="AR6" s="34"/>
    </row>
    <row r="7" spans="1:44" ht="15.75" thickBot="1">
      <c r="A7" s="30"/>
      <c r="B7" s="46" t="s">
        <v>6</v>
      </c>
      <c r="C7" s="47" t="s">
        <v>11</v>
      </c>
      <c r="D7" s="33"/>
      <c r="E7" s="44"/>
      <c r="F7" s="44"/>
      <c r="G7" s="41" t="s">
        <v>5</v>
      </c>
      <c r="H7" s="41"/>
      <c r="I7" s="41" t="s">
        <v>6</v>
      </c>
      <c r="J7" s="47" t="str">
        <f>IF(E2=2,"","C")</f>
        <v>C</v>
      </c>
      <c r="K7" s="33"/>
      <c r="L7" s="44"/>
      <c r="M7" s="44"/>
      <c r="N7" s="41" t="s">
        <v>5</v>
      </c>
      <c r="O7" s="41"/>
      <c r="P7" s="41"/>
      <c r="Q7" s="47" t="s">
        <v>52</v>
      </c>
      <c r="R7" s="44"/>
      <c r="S7" s="44" t="s">
        <v>78</v>
      </c>
      <c r="T7" s="48"/>
      <c r="U7" s="44"/>
      <c r="V7" s="44"/>
      <c r="W7" s="30"/>
      <c r="X7" s="46" t="s">
        <v>6</v>
      </c>
      <c r="Y7" s="47" t="s">
        <v>11</v>
      </c>
      <c r="Z7" s="33"/>
      <c r="AA7" s="44"/>
      <c r="AB7" s="44"/>
      <c r="AC7" s="41" t="s">
        <v>5</v>
      </c>
      <c r="AD7" s="41"/>
      <c r="AE7" s="41" t="s">
        <v>6</v>
      </c>
      <c r="AF7" s="47" t="str">
        <f>IF(AA2=2,"","C")</f>
        <v>C</v>
      </c>
      <c r="AG7" s="33"/>
      <c r="AH7" s="44"/>
      <c r="AI7" s="44"/>
      <c r="AJ7" s="41" t="s">
        <v>5</v>
      </c>
      <c r="AK7" s="41"/>
      <c r="AL7" s="41"/>
      <c r="AM7" s="47" t="s">
        <v>52</v>
      </c>
      <c r="AN7" s="44"/>
      <c r="AO7" s="44" t="s">
        <v>78</v>
      </c>
      <c r="AP7" s="48"/>
      <c r="AQ7" s="34"/>
      <c r="AR7" s="34"/>
    </row>
    <row r="8" spans="1:44" ht="15.75" thickBot="1">
      <c r="A8" s="195">
        <v>9</v>
      </c>
      <c r="B8" s="965"/>
      <c r="C8" s="970" t="str">
        <f>IF(ISNA(MATCH($A$8,Données!$AE$5:$AE$84,0)),"",INDEX(Données!$AC$5:$AC$82,MATCH($A$8,Données!$AE$5:$AE$84,0)))</f>
        <v/>
      </c>
      <c r="D8" s="979"/>
      <c r="E8" s="979"/>
      <c r="F8" s="980"/>
      <c r="G8" s="49">
        <v>1</v>
      </c>
      <c r="H8" s="196">
        <v>11</v>
      </c>
      <c r="I8" s="965"/>
      <c r="J8" s="970" t="str">
        <f>IF(ISNA(MATCH($H$8,Données!$AE$5:$AE$84,0)),"",INDEX(Données!$AC$5:$AC$82,MATCH($H$8,Données!$AE$5:$AE$84,0)))</f>
        <v/>
      </c>
      <c r="K8" s="979"/>
      <c r="L8" s="979"/>
      <c r="M8" s="980"/>
      <c r="N8" s="49">
        <v>1</v>
      </c>
      <c r="O8" s="41"/>
      <c r="P8" s="44"/>
      <c r="Q8" s="1010" t="str">
        <f>IF($E$2+$E$3=4,0,IF($E$2+$E$3=3,0,IF(ISNA(MATCH($P$8,Données!$AE$5:$AE$85,0)),"",INDEX(Données!$AC$5:$AC$83,MATCH($P$8,Données!$AE$5:$AE$85,0)))))</f>
        <v/>
      </c>
      <c r="R8" s="1011"/>
      <c r="S8" s="1012"/>
      <c r="T8" s="50"/>
      <c r="U8" s="44"/>
      <c r="V8" s="44"/>
      <c r="W8" s="141">
        <v>13</v>
      </c>
      <c r="X8" s="965"/>
      <c r="Y8" s="970" t="str">
        <f>IF(ISNA(MATCH($W$8,Données!$AE$5:$AE$84,0)),"",INDEX(Données!$AC$5:$AC$82,MATCH($W$8,Données!$AE$5:$AE$84,0)))</f>
        <v/>
      </c>
      <c r="Z8" s="979"/>
      <c r="AA8" s="979"/>
      <c r="AB8" s="980"/>
      <c r="AC8" s="49">
        <v>1</v>
      </c>
      <c r="AD8" s="196">
        <v>15</v>
      </c>
      <c r="AE8" s="965"/>
      <c r="AF8" s="970" t="str">
        <f>IF(ISNA(MATCH($AD$8,Données!$AE$5:$AE$84,0)),"",INDEX(Données!$AC$5:$AC$82,MATCH($AD$8,Données!$AE$5:$AE$84,0)))</f>
        <v/>
      </c>
      <c r="AG8" s="979"/>
      <c r="AH8" s="979"/>
      <c r="AI8" s="980"/>
      <c r="AJ8" s="49">
        <v>1</v>
      </c>
      <c r="AK8" s="41"/>
      <c r="AL8" s="44"/>
      <c r="AM8" s="973" t="str">
        <f>IF($AA$2+$AA$3=4,0,IF($AA$2+$AA$3=3,0,IF(ISNA(MATCH($AL$8,Données!$AE$5:$AE$85,0)),"",INDEX(Données!$AC$5:$AC$83,MATCH($AL$8,Données!$AE$5:$AE$85,0)))))</f>
        <v/>
      </c>
      <c r="AN8" s="974"/>
      <c r="AO8" s="975"/>
      <c r="AP8" s="50"/>
      <c r="AQ8" s="34"/>
      <c r="AR8" s="34"/>
    </row>
    <row r="9" spans="1:44" ht="15.75" thickBot="1">
      <c r="A9" s="195">
        <v>10</v>
      </c>
      <c r="B9" s="966"/>
      <c r="C9" s="976" t="str">
        <f>IF(ISNA(MATCH($A$9,Données!$AE$5:$AE$84,0)),"",INDEX(Données!$AC$5:$AC$82,MATCH($A$9,Données!$AE$5:$AE$84,0)))</f>
        <v/>
      </c>
      <c r="D9" s="981"/>
      <c r="E9" s="981"/>
      <c r="F9" s="982"/>
      <c r="G9" s="73">
        <v>0</v>
      </c>
      <c r="H9" s="196">
        <v>12</v>
      </c>
      <c r="I9" s="966"/>
      <c r="J9" s="976" t="str">
        <f>IF(ISNA(MATCH($H$9,Données!$AE$5:$AE$84,0)),"",INDEX(Données!$AC$5:$AC$82,MATCH($H$9,Données!$AE$5:$AE$84,0)))</f>
        <v/>
      </c>
      <c r="K9" s="981"/>
      <c r="L9" s="981"/>
      <c r="M9" s="982"/>
      <c r="N9" s="49">
        <v>0</v>
      </c>
      <c r="O9" s="41"/>
      <c r="P9" s="44"/>
      <c r="R9" s="44"/>
      <c r="S9" s="44"/>
      <c r="T9" s="48"/>
      <c r="U9" s="44"/>
      <c r="V9" s="44"/>
      <c r="W9" s="141">
        <v>14</v>
      </c>
      <c r="X9" s="966"/>
      <c r="Y9" s="976" t="str">
        <f>IF(ISNA(MATCH($W$9,Données!$AE$5:$AE$84,0)),"",INDEX(Données!$AC$5:$AC$82,MATCH($W$9,Données!$AE$5:$AE$84,0)))</f>
        <v/>
      </c>
      <c r="Z9" s="981"/>
      <c r="AA9" s="981"/>
      <c r="AB9" s="982"/>
      <c r="AC9" s="73">
        <v>0</v>
      </c>
      <c r="AD9" s="196">
        <v>16</v>
      </c>
      <c r="AE9" s="966"/>
      <c r="AF9" s="976" t="str">
        <f>IF(ISNA(MATCH($AD$9,Données!$AE$5:$AE$84,0)),"",INDEX(Données!$AC$5:$AC$82,MATCH($AD$9,Données!$AE$5:$AE$84,0)))</f>
        <v/>
      </c>
      <c r="AG9" s="981"/>
      <c r="AH9" s="981"/>
      <c r="AI9" s="982"/>
      <c r="AJ9" s="49">
        <v>0</v>
      </c>
      <c r="AK9" s="41"/>
      <c r="AL9" s="44"/>
      <c r="AN9" s="44"/>
      <c r="AO9" s="44"/>
      <c r="AP9" s="48"/>
      <c r="AQ9" s="34"/>
      <c r="AR9" s="34"/>
    </row>
    <row r="10" spans="1:44" ht="15.75" thickBot="1">
      <c r="A10" s="30"/>
      <c r="B10" s="40"/>
      <c r="C10" s="83" t="s">
        <v>12</v>
      </c>
      <c r="D10" s="33"/>
      <c r="E10" s="44"/>
      <c r="F10" s="44"/>
      <c r="G10" s="44"/>
      <c r="H10" s="44"/>
      <c r="I10" s="44"/>
      <c r="J10" s="47" t="s">
        <v>51</v>
      </c>
      <c r="K10" s="33"/>
      <c r="L10" s="44"/>
      <c r="M10" s="44"/>
      <c r="N10" s="44"/>
      <c r="O10" s="44"/>
      <c r="P10" s="44"/>
      <c r="Q10" s="44"/>
      <c r="R10" s="44"/>
      <c r="S10" s="44"/>
      <c r="T10" s="48"/>
      <c r="U10" s="44"/>
      <c r="V10" s="44"/>
      <c r="W10" s="30"/>
      <c r="X10" s="40"/>
      <c r="Y10" s="83" t="s">
        <v>12</v>
      </c>
      <c r="Z10" s="33"/>
      <c r="AA10" s="44"/>
      <c r="AB10" s="44"/>
      <c r="AC10" s="44"/>
      <c r="AD10" s="44"/>
      <c r="AE10" s="44"/>
      <c r="AF10" s="47" t="s">
        <v>51</v>
      </c>
      <c r="AG10" s="33"/>
      <c r="AH10" s="44"/>
      <c r="AI10" s="44"/>
      <c r="AJ10" s="44"/>
      <c r="AK10" s="44"/>
      <c r="AL10" s="44"/>
      <c r="AM10" s="44"/>
      <c r="AN10" s="44"/>
      <c r="AO10" s="44"/>
      <c r="AP10" s="48"/>
      <c r="AQ10" s="34"/>
      <c r="AR10" s="34"/>
    </row>
    <row r="11" spans="1:44">
      <c r="A11" s="30"/>
      <c r="B11" s="4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8"/>
      <c r="U11" s="44"/>
      <c r="V11" s="44"/>
      <c r="W11" s="30"/>
      <c r="X11" s="40"/>
      <c r="Y11" s="45"/>
      <c r="Z11" s="45"/>
      <c r="AA11" s="45"/>
      <c r="AB11" s="45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8"/>
      <c r="AQ11" s="34"/>
      <c r="AR11" s="34"/>
    </row>
    <row r="12" spans="1:44">
      <c r="A12" s="30"/>
      <c r="B12" s="4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8"/>
      <c r="U12" s="44"/>
      <c r="V12" s="44"/>
      <c r="W12" s="30"/>
      <c r="X12" s="40"/>
      <c r="Y12" s="45"/>
      <c r="Z12" s="45"/>
      <c r="AA12" s="45"/>
      <c r="AB12" s="45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8"/>
      <c r="AQ12" s="34"/>
      <c r="AR12" s="34"/>
    </row>
    <row r="13" spans="1:44" ht="15.75" thickBot="1">
      <c r="A13" s="30"/>
      <c r="B13" s="46" t="s">
        <v>6</v>
      </c>
      <c r="C13" s="44"/>
      <c r="D13" s="70" t="s">
        <v>77</v>
      </c>
      <c r="E13" s="44"/>
      <c r="F13" s="44"/>
      <c r="G13" s="41" t="s">
        <v>5</v>
      </c>
      <c r="H13" s="41"/>
      <c r="I13" s="44"/>
      <c r="J13" s="44"/>
      <c r="K13" s="44"/>
      <c r="L13" s="44" t="s">
        <v>78</v>
      </c>
      <c r="M13" s="44"/>
      <c r="N13" s="44"/>
      <c r="O13" s="44"/>
      <c r="P13" s="41" t="s">
        <v>6</v>
      </c>
      <c r="Q13" s="44"/>
      <c r="R13" s="70" t="s">
        <v>76</v>
      </c>
      <c r="S13" s="44"/>
      <c r="T13" s="42" t="s">
        <v>5</v>
      </c>
      <c r="U13" s="52"/>
      <c r="V13" s="53"/>
      <c r="W13" s="30"/>
      <c r="X13" s="54" t="s">
        <v>6</v>
      </c>
      <c r="Y13" s="45"/>
      <c r="Z13" s="45" t="s">
        <v>77</v>
      </c>
      <c r="AA13" s="45"/>
      <c r="AB13" s="45"/>
      <c r="AC13" s="41" t="s">
        <v>5</v>
      </c>
      <c r="AD13" s="41"/>
      <c r="AE13" s="44"/>
      <c r="AF13" s="44"/>
      <c r="AG13" s="44"/>
      <c r="AH13" s="44" t="s">
        <v>78</v>
      </c>
      <c r="AI13" s="44"/>
      <c r="AJ13" s="44"/>
      <c r="AK13" s="44"/>
      <c r="AL13" s="41" t="s">
        <v>6</v>
      </c>
      <c r="AM13" s="44"/>
      <c r="AN13" s="44" t="s">
        <v>76</v>
      </c>
      <c r="AO13" s="44"/>
      <c r="AP13" s="42" t="s">
        <v>5</v>
      </c>
      <c r="AQ13" s="53"/>
      <c r="AR13" s="53"/>
    </row>
    <row r="14" spans="1:44" ht="15.75" thickBot="1">
      <c r="A14" s="30"/>
      <c r="B14" s="965"/>
      <c r="C14" s="970" t="str">
        <f>IF($G$8=$G$9,"résultat",IF($G$8&gt;$G$9,$C$9,$C$8))</f>
        <v/>
      </c>
      <c r="D14" s="971"/>
      <c r="E14" s="971"/>
      <c r="F14" s="972"/>
      <c r="G14" s="49">
        <v>1</v>
      </c>
      <c r="H14" s="41"/>
      <c r="I14" s="44"/>
      <c r="J14" s="994" t="str">
        <f>IF(ISTEXT($Q$8),IF(($G$9=$G$8),"résultat",IF(($N$9=$N$8),"résultat",IF(($U$14=2),$C$8,IF(($V$14=2),$C$9,IF(($U$15=2),$J$9,IF(($V$15=2),J8,0)))))))</f>
        <v/>
      </c>
      <c r="K14" s="995"/>
      <c r="L14" s="995"/>
      <c r="M14" s="996"/>
      <c r="N14" s="50"/>
      <c r="O14" s="44"/>
      <c r="P14" s="965"/>
      <c r="Q14" s="967" t="str">
        <f>IF($E$2+$E$3=5,$Q$8,IF($N$8=$N$9,"résultat",IF($N$8&gt;$N$9,$J$8,$J$9)))</f>
        <v/>
      </c>
      <c r="R14" s="968"/>
      <c r="S14" s="969"/>
      <c r="T14" s="49">
        <v>1</v>
      </c>
      <c r="U14" s="56">
        <f>IF(G8&gt;G9,1)+IF(N8&gt;N9,1)</f>
        <v>2</v>
      </c>
      <c r="V14" s="57">
        <f>IF(G9&gt;G8,1)+IF(N9&gt;N8,1)</f>
        <v>0</v>
      </c>
      <c r="W14" s="30"/>
      <c r="X14" s="965"/>
      <c r="Y14" s="1015" t="str">
        <f>IF($AC$8=$AC$9,"résultat",IF($AC$8&gt;$AC$9,$Y$9,$Y$8))</f>
        <v/>
      </c>
      <c r="Z14" s="971"/>
      <c r="AA14" s="971"/>
      <c r="AB14" s="972"/>
      <c r="AC14" s="49">
        <v>1</v>
      </c>
      <c r="AD14" s="41"/>
      <c r="AE14" s="44"/>
      <c r="AF14" s="997" t="str">
        <f>IF(ISTEXT($AM$8),IF(($AC$9=$AC$8),"résultat",IF(($AJ$9=$AJ$8),"résultat",IF(($AQ$14=2),$Y$8,IF(($AR$14=2),$Y$9,IF(($AQ$15=2),$AF$9,IF(($AR$15=2),$AF$8,0)))))))</f>
        <v/>
      </c>
      <c r="AG14" s="995"/>
      <c r="AH14" s="995"/>
      <c r="AI14" s="996"/>
      <c r="AJ14" s="50"/>
      <c r="AK14" s="44"/>
      <c r="AL14" s="965"/>
      <c r="AM14" s="967" t="str">
        <f>IF($AA$2+$AA$3=5,$AM$8,IF($AJ$8&gt;$AJ$9,$AF$8,$AF$9))</f>
        <v/>
      </c>
      <c r="AN14" s="968"/>
      <c r="AO14" s="969"/>
      <c r="AP14" s="49">
        <v>1</v>
      </c>
      <c r="AQ14" s="56">
        <f>IF(AC8&gt;AC9,1)+IF(AJ8&gt;AJ9,1)</f>
        <v>2</v>
      </c>
      <c r="AR14" s="57">
        <f>IF(AC9&gt;AC8,1)+IF(AJ9&gt;AJ8,1)</f>
        <v>0</v>
      </c>
    </row>
    <row r="15" spans="1:44" ht="15.75" thickBot="1">
      <c r="A15" s="30"/>
      <c r="B15" s="966"/>
      <c r="C15" s="962" t="str">
        <f>IF($N$8=$N$9,"résultat",IF($N$8&lt;$N$9,$J$8,$J$9))</f>
        <v/>
      </c>
      <c r="D15" s="963"/>
      <c r="E15" s="963"/>
      <c r="F15" s="964"/>
      <c r="G15" s="58">
        <v>0</v>
      </c>
      <c r="H15" s="41"/>
      <c r="I15" s="44"/>
      <c r="J15" s="59" t="str">
        <f>IF(ISTEXT(J14)," ",0)</f>
        <v xml:space="preserve"> </v>
      </c>
      <c r="K15" s="44"/>
      <c r="L15" s="44"/>
      <c r="M15" s="44"/>
      <c r="N15" s="44"/>
      <c r="O15" s="44"/>
      <c r="P15" s="966"/>
      <c r="Q15" s="96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963"/>
      <c r="S15" s="964"/>
      <c r="T15" s="73">
        <v>0</v>
      </c>
      <c r="U15" s="60">
        <f>IF(G8&gt;G9,1)+IF(N9&gt;N8,1)</f>
        <v>1</v>
      </c>
      <c r="V15" s="61">
        <f>IF(G9&gt;G8,1)+IF(N8&gt;N9,1)</f>
        <v>1</v>
      </c>
      <c r="W15" s="30"/>
      <c r="X15" s="966"/>
      <c r="Y15" s="962" t="str">
        <f>IF($AJ$8=$AJ$9,"résultat",IF($AJ$8&lt;$AJ$9,$AF$8,$AF$9))</f>
        <v/>
      </c>
      <c r="Z15" s="963"/>
      <c r="AA15" s="963"/>
      <c r="AB15" s="964"/>
      <c r="AC15" s="49">
        <v>0</v>
      </c>
      <c r="AD15" s="41"/>
      <c r="AE15" s="44"/>
      <c r="AF15" s="44"/>
      <c r="AG15" s="44"/>
      <c r="AH15" s="44"/>
      <c r="AI15" s="44"/>
      <c r="AJ15" s="44"/>
      <c r="AK15" s="44"/>
      <c r="AL15" s="966"/>
      <c r="AM15" s="96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963"/>
      <c r="AO15" s="964"/>
      <c r="AP15" s="73">
        <v>0</v>
      </c>
      <c r="AQ15" s="60">
        <f>IF(AC8&gt;AC9,1)+IF(AJ9&gt;AJ8,1)</f>
        <v>1</v>
      </c>
      <c r="AR15" s="61">
        <f>IF(AC9&gt;AC8,1)+IF(AJ8&gt;AJ9,1)</f>
        <v>1</v>
      </c>
    </row>
    <row r="16" spans="1:44">
      <c r="A16" s="30"/>
      <c r="B16" s="4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62"/>
      <c r="Q16" s="44"/>
      <c r="R16" s="44"/>
      <c r="S16" s="44"/>
      <c r="T16" s="48"/>
      <c r="U16" s="44"/>
      <c r="V16" s="44"/>
      <c r="W16" s="30"/>
      <c r="X16" s="40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8"/>
      <c r="AQ16" s="34"/>
      <c r="AR16" s="34"/>
    </row>
    <row r="17" spans="1:44">
      <c r="A17" s="30"/>
      <c r="B17" s="4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8"/>
      <c r="U17" s="44"/>
      <c r="V17" s="44"/>
      <c r="W17" s="30"/>
      <c r="X17" s="40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8"/>
      <c r="AQ17" s="34"/>
      <c r="AR17" s="34"/>
    </row>
    <row r="18" spans="1:44">
      <c r="A18" s="30"/>
      <c r="B18" s="40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6"/>
      <c r="T18" s="48"/>
      <c r="U18" s="44"/>
      <c r="V18" s="44"/>
      <c r="W18" s="30"/>
      <c r="X18" s="40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8"/>
      <c r="AQ18" s="34"/>
      <c r="AR18" s="34"/>
    </row>
    <row r="19" spans="1:44" ht="15.75" thickBot="1">
      <c r="A19" s="30"/>
      <c r="B19" s="40"/>
      <c r="C19" s="44"/>
      <c r="D19" s="44"/>
      <c r="E19" s="41" t="s">
        <v>6</v>
      </c>
      <c r="F19" s="44"/>
      <c r="G19" s="44"/>
      <c r="H19" s="44"/>
      <c r="I19" s="44"/>
      <c r="J19" s="41" t="s">
        <v>5</v>
      </c>
      <c r="K19" s="41"/>
      <c r="L19" s="41" t="s">
        <v>6</v>
      </c>
      <c r="M19" s="44"/>
      <c r="N19" s="44"/>
      <c r="O19" s="44"/>
      <c r="P19" s="44"/>
      <c r="Q19" s="41" t="s">
        <v>5</v>
      </c>
      <c r="R19" s="44"/>
      <c r="S19" s="44"/>
      <c r="T19" s="48"/>
      <c r="U19" s="63"/>
      <c r="V19" s="44"/>
      <c r="W19" s="30"/>
      <c r="X19" s="40"/>
      <c r="Y19" s="44"/>
      <c r="Z19" s="44"/>
      <c r="AA19" s="41" t="s">
        <v>6</v>
      </c>
      <c r="AB19" s="44"/>
      <c r="AC19" s="44"/>
      <c r="AD19" s="44"/>
      <c r="AE19" s="44"/>
      <c r="AF19" s="41" t="s">
        <v>5</v>
      </c>
      <c r="AG19" s="41"/>
      <c r="AH19" s="41" t="s">
        <v>6</v>
      </c>
      <c r="AI19" s="44"/>
      <c r="AJ19" s="44"/>
      <c r="AK19" s="44"/>
      <c r="AL19" s="44"/>
      <c r="AM19" s="41" t="s">
        <v>5</v>
      </c>
      <c r="AN19" s="44"/>
      <c r="AO19" s="44"/>
      <c r="AP19" s="48"/>
      <c r="AQ19" s="34"/>
      <c r="AR19" s="34"/>
    </row>
    <row r="20" spans="1:44" ht="15.75" thickBot="1">
      <c r="A20" s="30"/>
      <c r="B20" s="40"/>
      <c r="C20" s="44"/>
      <c r="D20" s="44"/>
      <c r="E20" s="965"/>
      <c r="F20" s="976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977"/>
      <c r="H20" s="977"/>
      <c r="I20" s="978"/>
      <c r="J20" s="49">
        <v>1</v>
      </c>
      <c r="K20" s="41"/>
      <c r="L20" s="965" t="s">
        <v>13</v>
      </c>
      <c r="M20" s="991" t="b">
        <f>IF($E$2+$E$3=5,$J$14)</f>
        <v>0</v>
      </c>
      <c r="N20" s="992"/>
      <c r="O20" s="992"/>
      <c r="P20" s="993"/>
      <c r="Q20" s="49">
        <v>1</v>
      </c>
      <c r="R20" s="44"/>
      <c r="S20" s="44"/>
      <c r="T20" s="48"/>
      <c r="U20" s="44"/>
      <c r="V20" s="44"/>
      <c r="W20" s="30"/>
      <c r="X20" s="40"/>
      <c r="Y20" s="44"/>
      <c r="Z20" s="44"/>
      <c r="AA20" s="965"/>
      <c r="AB20" s="976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977"/>
      <c r="AD20" s="977"/>
      <c r="AE20" s="978"/>
      <c r="AF20" s="49">
        <v>1</v>
      </c>
      <c r="AG20" s="41"/>
      <c r="AH20" s="965" t="s">
        <v>13</v>
      </c>
      <c r="AI20" s="991" t="b">
        <f>IF($AA$2+$AA$3=5,$AF$14)</f>
        <v>0</v>
      </c>
      <c r="AJ20" s="992"/>
      <c r="AK20" s="992"/>
      <c r="AL20" s="993"/>
      <c r="AM20" s="49">
        <v>1</v>
      </c>
      <c r="AN20" s="44"/>
      <c r="AO20" s="44"/>
      <c r="AP20" s="48"/>
      <c r="AQ20" s="34"/>
      <c r="AR20" s="34"/>
    </row>
    <row r="21" spans="1:44" ht="15.75" thickBot="1">
      <c r="A21" s="30"/>
      <c r="B21" s="40"/>
      <c r="C21" s="44"/>
      <c r="D21" s="44"/>
      <c r="E21" s="966"/>
      <c r="F21" s="976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981"/>
      <c r="H21" s="981"/>
      <c r="I21" s="982"/>
      <c r="J21" s="49">
        <v>0</v>
      </c>
      <c r="K21" s="41"/>
      <c r="L21" s="966"/>
      <c r="M21" s="976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981"/>
      <c r="O21" s="981"/>
      <c r="P21" s="982"/>
      <c r="Q21" s="49">
        <v>0</v>
      </c>
      <c r="R21" s="44"/>
      <c r="S21" s="63"/>
      <c r="T21" s="48"/>
      <c r="U21" s="44"/>
      <c r="V21" s="36"/>
      <c r="W21" s="30"/>
      <c r="X21" s="40"/>
      <c r="Y21" s="44"/>
      <c r="Z21" s="44"/>
      <c r="AA21" s="966"/>
      <c r="AB21" s="976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981"/>
      <c r="AD21" s="981"/>
      <c r="AE21" s="982"/>
      <c r="AF21" s="49">
        <v>0</v>
      </c>
      <c r="AG21" s="41"/>
      <c r="AH21" s="966"/>
      <c r="AI21" s="976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981"/>
      <c r="AK21" s="981"/>
      <c r="AL21" s="982"/>
      <c r="AM21" s="49">
        <v>0</v>
      </c>
      <c r="AN21" s="44"/>
      <c r="AO21" s="44"/>
      <c r="AP21" s="48"/>
      <c r="AQ21" s="34"/>
      <c r="AR21" s="34"/>
    </row>
    <row r="22" spans="1:44">
      <c r="A22" s="30"/>
      <c r="B22" s="40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8"/>
      <c r="U22" s="44"/>
      <c r="V22" s="44"/>
      <c r="W22" s="30"/>
      <c r="X22" s="40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8"/>
      <c r="AQ22" s="34"/>
      <c r="AR22" s="34"/>
    </row>
    <row r="23" spans="1:44">
      <c r="A23" s="30"/>
      <c r="B23" s="4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8"/>
      <c r="U23" s="44"/>
      <c r="V23" s="44"/>
      <c r="W23" s="30"/>
      <c r="X23" s="40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8"/>
      <c r="AQ23" s="34"/>
      <c r="AR23" s="34"/>
    </row>
    <row r="24" spans="1:44" ht="15.75" thickBot="1">
      <c r="A24" s="30"/>
      <c r="B24" s="40"/>
      <c r="C24" s="44"/>
      <c r="D24" s="44"/>
      <c r="E24" s="44"/>
      <c r="F24" s="44"/>
      <c r="G24" s="44"/>
      <c r="H24" s="44"/>
      <c r="I24" s="41" t="s">
        <v>6</v>
      </c>
      <c r="J24" s="44"/>
      <c r="K24" s="44"/>
      <c r="L24" s="44"/>
      <c r="M24" s="44"/>
      <c r="N24" s="41" t="s">
        <v>5</v>
      </c>
      <c r="O24" s="41"/>
      <c r="P24" s="64"/>
      <c r="Q24" s="44"/>
      <c r="R24" s="44"/>
      <c r="S24" s="44"/>
      <c r="T24" s="48"/>
      <c r="U24" s="44"/>
      <c r="V24" s="44"/>
      <c r="W24" s="30"/>
      <c r="X24" s="40"/>
      <c r="Y24" s="44"/>
      <c r="Z24" s="44"/>
      <c r="AA24" s="44"/>
      <c r="AB24" s="44"/>
      <c r="AC24" s="44"/>
      <c r="AD24" s="44"/>
      <c r="AE24" s="41" t="s">
        <v>6</v>
      </c>
      <c r="AF24" s="44"/>
      <c r="AG24" s="44"/>
      <c r="AH24" s="44"/>
      <c r="AI24" s="44"/>
      <c r="AJ24" s="41" t="s">
        <v>5</v>
      </c>
      <c r="AK24" s="41"/>
      <c r="AL24" s="64"/>
      <c r="AM24" s="44"/>
      <c r="AN24" s="44"/>
      <c r="AO24" s="44"/>
      <c r="AP24" s="48"/>
      <c r="AQ24" s="34"/>
      <c r="AR24" s="34"/>
    </row>
    <row r="25" spans="1:44" ht="15.75" thickBot="1">
      <c r="A25" s="30"/>
      <c r="B25" s="40"/>
      <c r="C25" s="44"/>
      <c r="D25" s="44"/>
      <c r="E25" s="44"/>
      <c r="F25" s="44"/>
      <c r="G25" s="44"/>
      <c r="H25" s="44"/>
      <c r="I25" s="965"/>
      <c r="J25" s="1001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002"/>
      <c r="L25" s="1002"/>
      <c r="M25" s="1003"/>
      <c r="N25" s="49">
        <v>1</v>
      </c>
      <c r="O25" s="41"/>
      <c r="P25" s="44"/>
      <c r="Q25" s="44"/>
      <c r="R25" s="44"/>
      <c r="S25" s="44"/>
      <c r="T25" s="48"/>
      <c r="U25" s="44"/>
      <c r="V25" s="44"/>
      <c r="W25" s="30"/>
      <c r="X25" s="40"/>
      <c r="Y25" s="44"/>
      <c r="Z25" s="44"/>
      <c r="AA25" s="44"/>
      <c r="AB25" s="44"/>
      <c r="AC25" s="44"/>
      <c r="AD25" s="44"/>
      <c r="AE25" s="965"/>
      <c r="AF25" s="1001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1002"/>
      <c r="AH25" s="1002"/>
      <c r="AI25" s="1003"/>
      <c r="AJ25" s="49">
        <v>1</v>
      </c>
      <c r="AK25" s="41"/>
      <c r="AL25" s="44"/>
      <c r="AM25" s="44"/>
      <c r="AN25" s="44"/>
      <c r="AO25" s="44"/>
      <c r="AP25" s="48"/>
      <c r="AQ25" s="34"/>
      <c r="AR25" s="34"/>
    </row>
    <row r="26" spans="1:44" ht="15.75" thickBot="1">
      <c r="A26" s="30"/>
      <c r="B26" s="40"/>
      <c r="C26" s="44"/>
      <c r="D26" s="44"/>
      <c r="E26" s="44"/>
      <c r="F26" s="44"/>
      <c r="G26" s="44"/>
      <c r="H26" s="44"/>
      <c r="I26" s="966"/>
      <c r="J26" s="998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999"/>
      <c r="L26" s="999"/>
      <c r="M26" s="1000"/>
      <c r="N26" s="49">
        <v>0</v>
      </c>
      <c r="O26" s="41"/>
      <c r="P26" s="44"/>
      <c r="Q26" s="44"/>
      <c r="R26" s="44"/>
      <c r="S26" s="44"/>
      <c r="T26" s="48"/>
      <c r="U26" s="44"/>
      <c r="V26" s="44"/>
      <c r="W26" s="30"/>
      <c r="X26" s="40"/>
      <c r="Y26" s="44"/>
      <c r="Z26" s="44"/>
      <c r="AA26" s="44"/>
      <c r="AB26" s="44"/>
      <c r="AC26" s="44"/>
      <c r="AD26" s="44"/>
      <c r="AE26" s="966"/>
      <c r="AF26" s="998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999"/>
      <c r="AH26" s="999"/>
      <c r="AI26" s="1000"/>
      <c r="AJ26" s="49">
        <v>0</v>
      </c>
      <c r="AK26" s="41"/>
      <c r="AL26" s="44"/>
      <c r="AM26" s="44"/>
      <c r="AN26" s="44"/>
      <c r="AO26" s="44"/>
      <c r="AP26" s="48"/>
      <c r="AQ26" s="34"/>
      <c r="AR26" s="34"/>
    </row>
    <row r="27" spans="1:44" ht="15.75" thickBot="1">
      <c r="A27" s="30"/>
      <c r="B27" s="40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8"/>
      <c r="U27" s="44"/>
      <c r="V27" s="44"/>
      <c r="W27" s="30"/>
      <c r="X27" s="40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8"/>
      <c r="AQ27" s="34"/>
      <c r="AR27" s="34"/>
    </row>
    <row r="28" spans="1:44" ht="21.75" customHeight="1" thickBot="1">
      <c r="A28" s="30"/>
      <c r="B28" s="40"/>
      <c r="D28" s="44"/>
      <c r="E28" s="44"/>
      <c r="F28" s="44"/>
      <c r="G28" s="44"/>
      <c r="H28" s="44"/>
      <c r="I28" s="44"/>
      <c r="J28" s="955" t="s">
        <v>75</v>
      </c>
      <c r="K28" s="956"/>
      <c r="L28" s="956"/>
      <c r="M28" s="957"/>
      <c r="N28" s="44"/>
      <c r="O28" s="44"/>
      <c r="P28" s="63"/>
      <c r="Q28" s="44"/>
      <c r="R28" s="44"/>
      <c r="S28" s="44"/>
      <c r="T28" s="48"/>
      <c r="W28" s="30"/>
      <c r="X28" s="40"/>
      <c r="Z28" s="44"/>
      <c r="AA28" s="44"/>
      <c r="AB28" s="44"/>
      <c r="AC28" s="44"/>
      <c r="AD28" s="44"/>
      <c r="AE28" s="44"/>
      <c r="AF28" s="955" t="s">
        <v>75</v>
      </c>
      <c r="AG28" s="956"/>
      <c r="AH28" s="956"/>
      <c r="AI28" s="957"/>
      <c r="AJ28" s="44"/>
      <c r="AK28" s="44"/>
      <c r="AL28" s="63"/>
      <c r="AM28" s="44"/>
      <c r="AN28" s="44"/>
      <c r="AO28" s="44"/>
      <c r="AP28" s="48"/>
    </row>
    <row r="29" spans="1:44">
      <c r="A29" s="30"/>
      <c r="B29" s="40"/>
      <c r="D29" s="928" t="s">
        <v>0</v>
      </c>
      <c r="E29" s="929"/>
      <c r="F29" s="930"/>
      <c r="G29" s="44"/>
      <c r="H29" s="934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935"/>
      <c r="J29" s="935"/>
      <c r="K29" s="935"/>
      <c r="L29" s="935"/>
      <c r="M29" s="935"/>
      <c r="N29" s="936"/>
      <c r="O29" s="44"/>
      <c r="P29" s="44"/>
      <c r="Q29" s="44"/>
      <c r="R29" s="44"/>
      <c r="S29" s="44"/>
      <c r="T29" s="48"/>
      <c r="W29" s="30"/>
      <c r="X29" s="40"/>
      <c r="Z29" s="928" t="s">
        <v>0</v>
      </c>
      <c r="AA29" s="929"/>
      <c r="AB29" s="930"/>
      <c r="AC29" s="44"/>
      <c r="AD29" s="934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935"/>
      <c r="AF29" s="935"/>
      <c r="AG29" s="935"/>
      <c r="AH29" s="935"/>
      <c r="AI29" s="935"/>
      <c r="AJ29" s="936"/>
      <c r="AK29" s="44"/>
      <c r="AL29" s="44"/>
      <c r="AN29" s="44"/>
      <c r="AO29" s="44"/>
      <c r="AP29" s="48"/>
    </row>
    <row r="30" spans="1:44">
      <c r="A30" s="30"/>
      <c r="B30" s="40"/>
      <c r="D30" s="925" t="s">
        <v>1</v>
      </c>
      <c r="E30" s="926"/>
      <c r="F30" s="927"/>
      <c r="G30" s="44"/>
      <c r="H30" s="937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938"/>
      <c r="J30" s="938"/>
      <c r="K30" s="938"/>
      <c r="L30" s="938"/>
      <c r="M30" s="938"/>
      <c r="N30" s="939"/>
      <c r="O30" s="44"/>
      <c r="P30" s="65"/>
      <c r="Q30" s="65"/>
      <c r="R30" s="65"/>
      <c r="S30" s="65"/>
      <c r="T30" s="48"/>
      <c r="W30" s="30"/>
      <c r="X30" s="40"/>
      <c r="Z30" s="925" t="s">
        <v>1</v>
      </c>
      <c r="AA30" s="926"/>
      <c r="AB30" s="927"/>
      <c r="AC30" s="44"/>
      <c r="AD30" s="937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938"/>
      <c r="AF30" s="938"/>
      <c r="AG30" s="938"/>
      <c r="AH30" s="938"/>
      <c r="AI30" s="938"/>
      <c r="AJ30" s="939"/>
      <c r="AK30" s="44"/>
      <c r="AL30" s="65"/>
      <c r="AM30" s="65"/>
      <c r="AN30" s="65"/>
      <c r="AO30" s="44"/>
      <c r="AP30" s="48"/>
    </row>
    <row r="31" spans="1:44">
      <c r="A31" s="30"/>
      <c r="B31" s="40"/>
      <c r="D31" s="925" t="s">
        <v>2</v>
      </c>
      <c r="E31" s="926"/>
      <c r="F31" s="927"/>
      <c r="G31" s="44"/>
      <c r="H31" s="940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941"/>
      <c r="J31" s="941"/>
      <c r="K31" s="941"/>
      <c r="L31" s="941"/>
      <c r="M31" s="941"/>
      <c r="N31" s="942"/>
      <c r="O31" s="44"/>
      <c r="P31" s="44"/>
      <c r="Q31" s="44"/>
      <c r="R31" s="44"/>
      <c r="S31" s="44"/>
      <c r="T31" s="48"/>
      <c r="W31" s="30"/>
      <c r="X31" s="40"/>
      <c r="Z31" s="925" t="s">
        <v>2</v>
      </c>
      <c r="AA31" s="926"/>
      <c r="AB31" s="927"/>
      <c r="AC31" s="44"/>
      <c r="AD31" s="952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953"/>
      <c r="AF31" s="953"/>
      <c r="AG31" s="953"/>
      <c r="AH31" s="953"/>
      <c r="AI31" s="953"/>
      <c r="AJ31" s="954"/>
      <c r="AK31" s="44"/>
      <c r="AL31" s="44"/>
      <c r="AM31" s="44"/>
      <c r="AN31" s="44"/>
      <c r="AO31" s="44"/>
      <c r="AP31" s="48"/>
    </row>
    <row r="32" spans="1:44">
      <c r="A32" s="30"/>
      <c r="B32" s="40"/>
      <c r="D32" s="925" t="s">
        <v>3</v>
      </c>
      <c r="E32" s="926"/>
      <c r="F32" s="927"/>
      <c r="G32" s="44"/>
      <c r="H32" s="940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941"/>
      <c r="J32" s="941"/>
      <c r="K32" s="941"/>
      <c r="L32" s="941"/>
      <c r="M32" s="941"/>
      <c r="N32" s="942"/>
      <c r="O32" s="44"/>
      <c r="P32" s="44"/>
      <c r="Q32" s="44"/>
      <c r="R32" s="44"/>
      <c r="S32" s="44"/>
      <c r="T32" s="48"/>
      <c r="W32" s="30"/>
      <c r="X32" s="40"/>
      <c r="Z32" s="925" t="s">
        <v>3</v>
      </c>
      <c r="AA32" s="926"/>
      <c r="AB32" s="927"/>
      <c r="AC32" s="44"/>
      <c r="AD32" s="940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941"/>
      <c r="AF32" s="941"/>
      <c r="AG32" s="941"/>
      <c r="AH32" s="941"/>
      <c r="AI32" s="941"/>
      <c r="AJ32" s="942"/>
      <c r="AK32" s="44"/>
      <c r="AL32" s="44"/>
      <c r="AM32" s="44"/>
      <c r="AN32" s="44"/>
      <c r="AO32" s="44"/>
      <c r="AP32" s="48"/>
    </row>
    <row r="33" spans="1:44" ht="15.75" thickBot="1">
      <c r="A33" s="30"/>
      <c r="B33" s="40"/>
      <c r="D33" s="931" t="s">
        <v>4</v>
      </c>
      <c r="E33" s="932"/>
      <c r="F33" s="933"/>
      <c r="G33" s="44"/>
      <c r="H33" s="946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947"/>
      <c r="J33" s="947"/>
      <c r="K33" s="947"/>
      <c r="L33" s="947"/>
      <c r="M33" s="947"/>
      <c r="N33" s="948"/>
      <c r="O33" s="44"/>
      <c r="P33" s="44"/>
      <c r="Q33" s="44"/>
      <c r="R33" s="44"/>
      <c r="S33" s="44"/>
      <c r="T33" s="48"/>
      <c r="W33" s="30"/>
      <c r="X33" s="40"/>
      <c r="Z33" s="931" t="s">
        <v>4</v>
      </c>
      <c r="AA33" s="932"/>
      <c r="AB33" s="933"/>
      <c r="AC33" s="44"/>
      <c r="AD33" s="946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947"/>
      <c r="AF33" s="947"/>
      <c r="AG33" s="947"/>
      <c r="AH33" s="947"/>
      <c r="AI33" s="947"/>
      <c r="AJ33" s="948"/>
      <c r="AK33" s="44"/>
      <c r="AL33" s="44"/>
      <c r="AM33" s="44"/>
      <c r="AN33" s="44"/>
      <c r="AO33" s="44"/>
      <c r="AP33" s="48"/>
    </row>
    <row r="34" spans="1:44">
      <c r="A34" s="30"/>
      <c r="B34" s="40"/>
      <c r="C34" s="53"/>
      <c r="D34" s="53"/>
      <c r="E34" s="53"/>
      <c r="F34" s="53"/>
      <c r="H34" s="53"/>
      <c r="I34" s="53"/>
      <c r="J34" s="53"/>
      <c r="K34" s="53"/>
      <c r="L34" s="53"/>
      <c r="M34" s="53"/>
      <c r="N34" s="44"/>
      <c r="O34" s="44"/>
      <c r="P34" s="44"/>
      <c r="Q34" s="44"/>
      <c r="R34" s="44"/>
      <c r="S34" s="44"/>
      <c r="T34" s="48"/>
      <c r="U34" s="44"/>
      <c r="V34" s="44"/>
      <c r="W34" s="30"/>
      <c r="X34" s="40"/>
      <c r="Y34" s="36"/>
      <c r="Z34" s="36"/>
      <c r="AA34" s="36"/>
      <c r="AB34" s="36"/>
      <c r="AD34" s="36"/>
      <c r="AE34" s="36"/>
      <c r="AF34" s="36"/>
      <c r="AG34" s="36"/>
      <c r="AH34" s="36"/>
      <c r="AI34" s="36"/>
      <c r="AJ34" s="44"/>
      <c r="AK34" s="44"/>
      <c r="AL34" s="44"/>
      <c r="AM34" s="44"/>
      <c r="AN34" s="44"/>
      <c r="AO34" s="44"/>
      <c r="AP34" s="48"/>
      <c r="AQ34" s="34"/>
      <c r="AR34" s="34"/>
    </row>
    <row r="35" spans="1:44" ht="15.75" thickBot="1">
      <c r="A35" s="30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68"/>
      <c r="P35" s="68"/>
      <c r="Q35" s="68"/>
      <c r="R35" s="68"/>
      <c r="S35" s="68"/>
      <c r="T35" s="69"/>
      <c r="U35" s="30"/>
      <c r="V35" s="30"/>
      <c r="W35" s="30"/>
      <c r="X35" s="66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9"/>
      <c r="AQ35" s="34"/>
      <c r="AR35" s="34"/>
    </row>
    <row r="36" spans="1:44" ht="15.75" thickBo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4"/>
      <c r="AR36" s="4"/>
    </row>
    <row r="37" spans="1:44" ht="15.75" thickBot="1">
      <c r="A37" s="2"/>
      <c r="B37" s="3"/>
      <c r="C37" s="3"/>
      <c r="G37" s="3"/>
      <c r="H37" s="3"/>
      <c r="I37" s="3"/>
      <c r="J37" s="3"/>
      <c r="K37" s="3"/>
      <c r="L37" s="3"/>
      <c r="M37" s="1004" t="s">
        <v>79</v>
      </c>
      <c r="N37" s="1005"/>
      <c r="O37" s="1006"/>
      <c r="P37" s="3"/>
      <c r="Q37" s="3"/>
      <c r="R37" s="3"/>
      <c r="S37" s="3"/>
      <c r="T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B14:B15"/>
    <mergeCell ref="P14:P15"/>
    <mergeCell ref="E20:E21"/>
    <mergeCell ref="L20:L21"/>
    <mergeCell ref="I25:I26"/>
    <mergeCell ref="C15:F15"/>
    <mergeCell ref="F21:I21"/>
    <mergeCell ref="M21:P21"/>
    <mergeCell ref="F20:I20"/>
    <mergeCell ref="C14:F14"/>
    <mergeCell ref="J14:M14"/>
    <mergeCell ref="B8:B9"/>
    <mergeCell ref="I8:I9"/>
    <mergeCell ref="C9:F9"/>
    <mergeCell ref="J9:M9"/>
    <mergeCell ref="C8:F8"/>
    <mergeCell ref="B2:D2"/>
    <mergeCell ref="F2:G2"/>
    <mergeCell ref="T4:T5"/>
    <mergeCell ref="I2:K2"/>
    <mergeCell ref="L2:T2"/>
    <mergeCell ref="AD29:AJ29"/>
    <mergeCell ref="D29:F29"/>
    <mergeCell ref="H29:N29"/>
    <mergeCell ref="Z29:AB29"/>
    <mergeCell ref="D30:F30"/>
    <mergeCell ref="H30:N30"/>
    <mergeCell ref="Z30:AB30"/>
    <mergeCell ref="X2:Z2"/>
    <mergeCell ref="AB2:AC2"/>
    <mergeCell ref="AE2:AG2"/>
    <mergeCell ref="AF26:AI26"/>
    <mergeCell ref="J28:M28"/>
    <mergeCell ref="AF28:AI28"/>
    <mergeCell ref="Q14:S14"/>
    <mergeCell ref="X14:X15"/>
    <mergeCell ref="Y14:AB14"/>
    <mergeCell ref="AF14:AI14"/>
    <mergeCell ref="Q15:S15"/>
    <mergeCell ref="Y15:AB15"/>
    <mergeCell ref="AH2:AP2"/>
    <mergeCell ref="J26:M26"/>
    <mergeCell ref="M20:P20"/>
    <mergeCell ref="J25:M25"/>
    <mergeCell ref="AF25:AI25"/>
    <mergeCell ref="AE25:AE26"/>
    <mergeCell ref="AM14:AO14"/>
    <mergeCell ref="J8:M8"/>
    <mergeCell ref="Q8:S8"/>
    <mergeCell ref="AM15:AO15"/>
    <mergeCell ref="AA20:AA21"/>
    <mergeCell ref="AB20:AE20"/>
    <mergeCell ref="AH20:AH21"/>
    <mergeCell ref="AI20:AL20"/>
    <mergeCell ref="AB21:AE21"/>
    <mergeCell ref="AI21:AL21"/>
    <mergeCell ref="AL14:AL15"/>
    <mergeCell ref="AP4:AP5"/>
    <mergeCell ref="C4:S4"/>
    <mergeCell ref="Y4:AO4"/>
    <mergeCell ref="X8:X9"/>
    <mergeCell ref="Y8:AB8"/>
    <mergeCell ref="AE8:AE9"/>
    <mergeCell ref="AF8:AI8"/>
    <mergeCell ref="Y9:AB9"/>
    <mergeCell ref="AF9:AI9"/>
    <mergeCell ref="AM8:AO8"/>
    <mergeCell ref="B1:D1"/>
    <mergeCell ref="E1:G1"/>
    <mergeCell ref="X1:Z1"/>
    <mergeCell ref="AA1:AC1"/>
    <mergeCell ref="AJ1:AO1"/>
    <mergeCell ref="I1:L1"/>
    <mergeCell ref="N1:S1"/>
    <mergeCell ref="AE1:AH1"/>
    <mergeCell ref="M37:O37"/>
    <mergeCell ref="AD30:AJ30"/>
    <mergeCell ref="Z31:AB31"/>
    <mergeCell ref="AD31:AJ31"/>
    <mergeCell ref="D32:F32"/>
    <mergeCell ref="H32:N32"/>
    <mergeCell ref="Z32:AB32"/>
    <mergeCell ref="D31:F31"/>
    <mergeCell ref="H31:N31"/>
    <mergeCell ref="AD32:AJ32"/>
    <mergeCell ref="D33:F33"/>
    <mergeCell ref="H33:N33"/>
    <mergeCell ref="Z33:AB33"/>
    <mergeCell ref="AD33:AJ33"/>
  </mergeCells>
  <conditionalFormatting sqref="G32 AC32">
    <cfRule type="expression" dxfId="613" priority="317">
      <formula>$H$2=5</formula>
    </cfRule>
  </conditionalFormatting>
  <conditionalFormatting sqref="G29:M29 AC29:AI29">
    <cfRule type="expression" dxfId="612" priority="221">
      <formula>$AD$2=5</formula>
    </cfRule>
    <cfRule type="expression" dxfId="611" priority="222">
      <formula>$AD$2=4</formula>
    </cfRule>
    <cfRule type="expression" dxfId="610" priority="223">
      <formula>$AD$2=3</formula>
    </cfRule>
    <cfRule type="expression" dxfId="609" priority="224">
      <formula>$AD$2=2</formula>
    </cfRule>
    <cfRule type="expression" dxfId="608" priority="225">
      <formula>$AD$2=0</formula>
    </cfRule>
  </conditionalFormatting>
  <conditionalFormatting sqref="G30:M30 AC30:AI30">
    <cfRule type="expression" dxfId="607" priority="216">
      <formula>$AD$2=0</formula>
    </cfRule>
    <cfRule type="expression" dxfId="606" priority="217">
      <formula>$AD$2=5</formula>
    </cfRule>
    <cfRule type="expression" dxfId="605" priority="218">
      <formula>$AD$2=4</formula>
    </cfRule>
    <cfRule type="expression" dxfId="604" priority="219">
      <formula>$AD$2=3</formula>
    </cfRule>
    <cfRule type="expression" dxfId="603" priority="220">
      <formula>$AD$2=2</formula>
    </cfRule>
  </conditionalFormatting>
  <conditionalFormatting sqref="AC31:AI31">
    <cfRule type="expression" dxfId="602" priority="228">
      <formula>$AD$2=0</formula>
    </cfRule>
    <cfRule type="expression" dxfId="601" priority="229">
      <formula>$AD$2=5</formula>
    </cfRule>
    <cfRule type="expression" dxfId="600" priority="230">
      <formula>$AD$2=4</formula>
    </cfRule>
    <cfRule type="expression" dxfId="599" priority="231">
      <formula>$AD$2=3</formula>
    </cfRule>
  </conditionalFormatting>
  <conditionalFormatting sqref="AC32:AI32">
    <cfRule type="expression" dxfId="598" priority="226">
      <formula>$H$2=0</formula>
    </cfRule>
    <cfRule type="expression" dxfId="597" priority="227">
      <formula>$H$2=4</formula>
    </cfRule>
  </conditionalFormatting>
  <conditionalFormatting sqref="AC33">
    <cfRule type="expression" dxfId="596" priority="207">
      <formula>$AD$2=0</formula>
    </cfRule>
    <cfRule type="expression" dxfId="595" priority="208">
      <formula>$AD$2=5</formula>
    </cfRule>
  </conditionalFormatting>
  <conditionalFormatting sqref="G33:M33">
    <cfRule type="expression" dxfId="594" priority="205">
      <formula>$H$2=0</formula>
    </cfRule>
    <cfRule type="expression" dxfId="593" priority="206">
      <formula>$H$2=5</formula>
    </cfRule>
  </conditionalFormatting>
  <conditionalFormatting sqref="G31:M31">
    <cfRule type="expression" dxfId="592" priority="201">
      <formula>$H$2=0</formula>
    </cfRule>
    <cfRule type="expression" dxfId="591" priority="202">
      <formula>$H$2=5</formula>
    </cfRule>
    <cfRule type="expression" dxfId="590" priority="203">
      <formula>$H$2=4</formula>
    </cfRule>
    <cfRule type="expression" dxfId="589" priority="204">
      <formula>$H$2=3</formula>
    </cfRule>
  </conditionalFormatting>
  <conditionalFormatting sqref="G32:M32">
    <cfRule type="expression" dxfId="588" priority="200">
      <formula>$H$2=4</formula>
    </cfRule>
  </conditionalFormatting>
  <conditionalFormatting sqref="H33 AD33">
    <cfRule type="expression" dxfId="587" priority="182">
      <formula>$AD$2=5</formula>
    </cfRule>
  </conditionalFormatting>
  <conditionalFormatting sqref="AD33">
    <cfRule type="expression" dxfId="586" priority="181">
      <formula>$AD$2=0</formula>
    </cfRule>
  </conditionalFormatting>
  <conditionalFormatting sqref="AD29">
    <cfRule type="expression" dxfId="585" priority="172">
      <formula>$AD$2=2</formula>
    </cfRule>
    <cfRule type="expression" dxfId="584" priority="173">
      <formula>$AD$2=5</formula>
    </cfRule>
    <cfRule type="expression" dxfId="583" priority="174">
      <formula>$AD$2=4</formula>
    </cfRule>
    <cfRule type="expression" dxfId="582" priority="175">
      <formula>$AD$2=3</formula>
    </cfRule>
    <cfRule type="expression" dxfId="581" priority="176">
      <formula>$H$2=0</formula>
    </cfRule>
  </conditionalFormatting>
  <conditionalFormatting sqref="AD31:AJ31">
    <cfRule type="expression" dxfId="580" priority="163">
      <formula>$AD$2=0</formula>
    </cfRule>
    <cfRule type="expression" dxfId="579" priority="164">
      <formula>$AD$2=5</formula>
    </cfRule>
    <cfRule type="expression" dxfId="578" priority="165">
      <formula>$AD$2=4</formula>
    </cfRule>
    <cfRule type="expression" dxfId="577" priority="166">
      <formula>$AD$2=3</formula>
    </cfRule>
  </conditionalFormatting>
  <conditionalFormatting sqref="AD32:AJ32">
    <cfRule type="expression" dxfId="576" priority="160">
      <formula>$AD$2=5</formula>
    </cfRule>
    <cfRule type="expression" dxfId="575" priority="161">
      <formula>$AD$2=0</formula>
    </cfRule>
    <cfRule type="expression" dxfId="574" priority="162">
      <formula>$AD$2=4</formula>
    </cfRule>
  </conditionalFormatting>
  <conditionalFormatting sqref="H32 AD32">
    <cfRule type="expression" dxfId="573" priority="157">
      <formula>$H$2=5</formula>
    </cfRule>
    <cfRule type="expression" dxfId="572" priority="158">
      <formula>$H$2=4</formula>
    </cfRule>
    <cfRule type="expression" dxfId="571" priority="159">
      <formula>$H$2=0</formula>
    </cfRule>
  </conditionalFormatting>
  <conditionalFormatting sqref="AD29:AJ29">
    <cfRule type="expression" dxfId="570" priority="156">
      <formula>$AD$2=1</formula>
    </cfRule>
  </conditionalFormatting>
  <conditionalFormatting sqref="H29:N29">
    <cfRule type="expression" dxfId="569" priority="154">
      <formula>$H$2=0</formula>
    </cfRule>
    <cfRule type="expression" dxfId="568" priority="155" stopIfTrue="1">
      <formula>(OR(H2="1",H2="2",H2="3"))</formula>
    </cfRule>
  </conditionalFormatting>
  <conditionalFormatting sqref="H30:N30">
    <cfRule type="expression" dxfId="567" priority="153">
      <formula>(OR(H2="2",H2="3"))</formula>
    </cfRule>
  </conditionalFormatting>
  <conditionalFormatting sqref="H31:N31">
    <cfRule type="expression" dxfId="566" priority="152">
      <formula>(H2="3")</formula>
    </cfRule>
  </conditionalFormatting>
  <conditionalFormatting sqref="H32:N33 AD31:AJ33 F20:I21 M20:P21 J25:M26 AB20:AE21 AI20:AL21 AF25:AI26">
    <cfRule type="cellIs" dxfId="565" priority="151" operator="equal">
      <formula>0</formula>
    </cfRule>
  </conditionalFormatting>
  <conditionalFormatting sqref="AD29:AJ29">
    <cfRule type="expression" dxfId="564" priority="139">
      <formula>$H$2=0</formula>
    </cfRule>
    <cfRule type="expression" dxfId="563" priority="140" stopIfTrue="1">
      <formula>(OR(AD2="1",AD2="2",AD2="3"))</formula>
    </cfRule>
  </conditionalFormatting>
  <conditionalFormatting sqref="AD30:AJ30">
    <cfRule type="expression" dxfId="562" priority="138">
      <formula>(OR(AD2="2",AD2="3"))</formula>
    </cfRule>
  </conditionalFormatting>
  <conditionalFormatting sqref="AD31:AJ31">
    <cfRule type="expression" dxfId="561" priority="137">
      <formula>(AD2="3")</formula>
    </cfRule>
  </conditionalFormatting>
  <conditionalFormatting sqref="AD32:AJ32">
    <cfRule type="cellIs" dxfId="560" priority="98" operator="equal">
      <formula>0</formula>
    </cfRule>
    <cfRule type="expression" dxfId="559" priority="99">
      <formula>$AD$2=5</formula>
    </cfRule>
    <cfRule type="expression" dxfId="558" priority="100">
      <formula>$AD$2=0</formula>
    </cfRule>
    <cfRule type="expression" dxfId="557" priority="101">
      <formula>$AD$2=4</formula>
    </cfRule>
  </conditionalFormatting>
  <conditionalFormatting sqref="H32 AD32">
    <cfRule type="expression" dxfId="556" priority="97">
      <formula>$H$2=0</formula>
    </cfRule>
  </conditionalFormatting>
  <conditionalFormatting sqref="H29:N29">
    <cfRule type="expression" dxfId="555" priority="94">
      <formula>$H$2=0</formula>
    </cfRule>
    <cfRule type="expression" dxfId="554" priority="95" stopIfTrue="1">
      <formula>(OR(H2="1",H2="2",H2="3"))</formula>
    </cfRule>
  </conditionalFormatting>
  <conditionalFormatting sqref="H30:N30">
    <cfRule type="expression" dxfId="553" priority="93">
      <formula>(OR(H2="2",H2="3"))</formula>
    </cfRule>
  </conditionalFormatting>
  <conditionalFormatting sqref="H31:N31">
    <cfRule type="cellIs" dxfId="552" priority="91" operator="equal">
      <formula>0</formula>
    </cfRule>
    <cfRule type="expression" dxfId="551" priority="92">
      <formula>(H2="3")</formula>
    </cfRule>
  </conditionalFormatting>
  <conditionalFormatting sqref="AD29:AJ29">
    <cfRule type="expression" dxfId="550" priority="89">
      <formula>$H$2=0</formula>
    </cfRule>
    <cfRule type="expression" dxfId="549" priority="90" stopIfTrue="1">
      <formula>(OR(AD2="1",AD2="2",AD2="3"))</formula>
    </cfRule>
  </conditionalFormatting>
  <conditionalFormatting sqref="AD30:AJ30">
    <cfRule type="expression" dxfId="548" priority="88">
      <formula>(OR(AD2="2",AD2="3"))</formula>
    </cfRule>
  </conditionalFormatting>
  <conditionalFormatting sqref="AD31">
    <cfRule type="expression" dxfId="547" priority="87">
      <formula>(AD2="3")</formula>
    </cfRule>
  </conditionalFormatting>
  <conditionalFormatting sqref="J8:M9">
    <cfRule type="expression" dxfId="546" priority="17">
      <formula>(OR($E$2=3,$E$2=4,$E$2=5))</formula>
    </cfRule>
  </conditionalFormatting>
  <conditionalFormatting sqref="AF9:AI9">
    <cfRule type="cellIs" dxfId="545" priority="9" operator="equal">
      <formula>$E$2=0</formula>
    </cfRule>
  </conditionalFormatting>
  <conditionalFormatting sqref="AM15:AO15">
    <cfRule type="expression" dxfId="544" priority="7">
      <formula>(OR($AA$2=3,$AA$2=4,$AA$2=5))</formula>
    </cfRule>
  </conditionalFormatting>
  <pageMargins left="0.23622047244094491" right="0.23622047244094491" top="0.74803149606299213" bottom="0.19685039370078741" header="0.31496062992125984" footer="0.31496062992125984"/>
  <pageSetup paperSize="9" scale="52" orientation="landscape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tabColor rgb="FF0070C0"/>
    <pageSetUpPr fitToPage="1"/>
  </sheetPr>
  <dimension ref="A1:AR40"/>
  <sheetViews>
    <sheetView zoomScale="80" zoomScaleNormal="80" workbookViewId="0">
      <selection activeCell="Q9" sqref="Q9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6.42578125" customWidth="1"/>
    <col min="18" max="18" width="5.28515625" customWidth="1"/>
    <col min="19" max="19" width="12.28515625" customWidth="1"/>
    <col min="20" max="20" width="7" customWidth="1"/>
    <col min="21" max="21" width="7.85546875" hidden="1" customWidth="1"/>
    <col min="22" max="22" width="5.140625" hidden="1" customWidth="1"/>
    <col min="23" max="23" width="4.140625" customWidth="1"/>
    <col min="24" max="24" width="8.42578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7.7109375" customWidth="1"/>
    <col min="31" max="31" width="6.28515625" customWidth="1"/>
    <col min="32" max="32" width="4.42578125" customWidth="1"/>
    <col min="33" max="33" width="8.85546875" customWidth="1"/>
    <col min="34" max="34" width="6" customWidth="1"/>
    <col min="35" max="35" width="8.42578125" customWidth="1"/>
    <col min="36" max="36" width="6" customWidth="1"/>
    <col min="37" max="37" width="7.7109375" customWidth="1"/>
    <col min="38" max="38" width="5.28515625" customWidth="1"/>
    <col min="39" max="39" width="7.42578125" customWidth="1"/>
    <col min="40" max="40" width="6" customWidth="1"/>
    <col min="42" max="42" width="8" customWidth="1"/>
    <col min="43" max="43" width="7.28515625" hidden="1" customWidth="1"/>
    <col min="44" max="44" width="7.85546875" hidden="1" customWidth="1"/>
  </cols>
  <sheetData>
    <row r="1" spans="1:44" ht="24.75" customHeight="1" thickBot="1">
      <c r="A1" s="2"/>
      <c r="B1" s="1007" t="s">
        <v>70</v>
      </c>
      <c r="C1" s="1008"/>
      <c r="D1" s="1008"/>
      <c r="E1" s="1008">
        <f>Données!J1</f>
        <v>0</v>
      </c>
      <c r="F1" s="1008"/>
      <c r="G1" s="1008"/>
      <c r="H1" s="15" t="str">
        <f>Données!$D$3</f>
        <v>F_U18</v>
      </c>
      <c r="I1" s="1008">
        <f>Données!$N$3</f>
        <v>0</v>
      </c>
      <c r="J1" s="1008"/>
      <c r="K1" s="1008"/>
      <c r="L1" s="1008"/>
      <c r="M1" s="16">
        <f>Données!$G$3</f>
        <v>0</v>
      </c>
      <c r="N1" s="1007" t="s">
        <v>20</v>
      </c>
      <c r="O1" s="1008"/>
      <c r="P1" s="1008"/>
      <c r="Q1" s="1008"/>
      <c r="R1" s="1008"/>
      <c r="S1" s="1009"/>
      <c r="T1" s="5">
        <f>+Données!D17</f>
        <v>0</v>
      </c>
      <c r="W1" s="2"/>
      <c r="X1" s="1007" t="s">
        <v>70</v>
      </c>
      <c r="Y1" s="1008"/>
      <c r="Z1" s="1008"/>
      <c r="AA1" s="1008">
        <f>Données!J1</f>
        <v>0</v>
      </c>
      <c r="AB1" s="1008"/>
      <c r="AC1" s="1008"/>
      <c r="AD1" s="15" t="str">
        <f>Données!$D$3</f>
        <v>F_U18</v>
      </c>
      <c r="AE1" s="1008">
        <f>Données!$N$3</f>
        <v>0</v>
      </c>
      <c r="AF1" s="1008"/>
      <c r="AG1" s="1008"/>
      <c r="AH1" s="1008"/>
      <c r="AI1" s="16">
        <f>Données!$G$3</f>
        <v>0</v>
      </c>
      <c r="AJ1" s="1007" t="s">
        <v>20</v>
      </c>
      <c r="AK1" s="1008"/>
      <c r="AL1" s="1008"/>
      <c r="AM1" s="1008"/>
      <c r="AN1" s="1008"/>
      <c r="AO1" s="1009"/>
      <c r="AP1" s="27">
        <f>+Données!D17</f>
        <v>0</v>
      </c>
      <c r="AQ1" s="4"/>
    </row>
    <row r="2" spans="1:44" ht="20.25" customHeight="1" thickBot="1">
      <c r="A2" s="2"/>
      <c r="B2" s="1007" t="s">
        <v>23</v>
      </c>
      <c r="C2" s="1008"/>
      <c r="D2" s="1008"/>
      <c r="E2" s="17">
        <f>Données!I17</f>
        <v>0</v>
      </c>
      <c r="F2" s="1008" t="s">
        <v>16</v>
      </c>
      <c r="G2" s="1008"/>
      <c r="H2" s="7">
        <f>Données!I18</f>
        <v>0</v>
      </c>
      <c r="I2" s="1008" t="s">
        <v>17</v>
      </c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9"/>
      <c r="W2" s="2"/>
      <c r="X2" s="1007" t="s">
        <v>24</v>
      </c>
      <c r="Y2" s="1008"/>
      <c r="Z2" s="1008"/>
      <c r="AA2" s="6">
        <f>Données!J17</f>
        <v>0</v>
      </c>
      <c r="AB2" s="1008" t="s">
        <v>16</v>
      </c>
      <c r="AC2" s="1008"/>
      <c r="AD2" s="7">
        <f>Données!J18</f>
        <v>0</v>
      </c>
      <c r="AE2" s="1008" t="s">
        <v>17</v>
      </c>
      <c r="AF2" s="1008"/>
      <c r="AG2" s="1008"/>
      <c r="AH2" s="1008"/>
      <c r="AI2" s="1008"/>
      <c r="AJ2" s="1008"/>
      <c r="AK2" s="1008"/>
      <c r="AL2" s="1008"/>
      <c r="AM2" s="1008"/>
      <c r="AN2" s="1008"/>
      <c r="AO2" s="1008"/>
      <c r="AP2" s="1009"/>
      <c r="AQ2" s="4"/>
    </row>
    <row r="3" spans="1:44" ht="15.75" customHeight="1" thickBot="1">
      <c r="A3" s="30"/>
      <c r="B3" s="40"/>
      <c r="C3" s="41"/>
      <c r="D3" s="41"/>
      <c r="E3" s="41"/>
      <c r="F3" s="192" t="str">
        <f>CONCATENATE(E2,H2)</f>
        <v>00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  <c r="U3" s="41"/>
      <c r="V3" s="41"/>
      <c r="W3" s="30"/>
      <c r="X3" s="40"/>
      <c r="Y3" s="41"/>
      <c r="Z3" s="41"/>
      <c r="AA3" s="33"/>
      <c r="AB3" s="193" t="str">
        <f>CONCATENATE(AA2,AD2)</f>
        <v>00</v>
      </c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2"/>
      <c r="AQ3" s="34"/>
      <c r="AR3" s="34"/>
    </row>
    <row r="4" spans="1:44" ht="15.75" thickBot="1">
      <c r="A4" s="30"/>
      <c r="B4" s="40"/>
      <c r="C4" s="959" t="s">
        <v>81</v>
      </c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0"/>
      <c r="Q4" s="960"/>
      <c r="R4" s="960"/>
      <c r="S4" s="961"/>
      <c r="T4" s="958"/>
      <c r="U4" s="43"/>
      <c r="V4" s="43"/>
      <c r="W4" s="30"/>
      <c r="X4" s="40"/>
      <c r="Y4" s="959" t="s">
        <v>81</v>
      </c>
      <c r="Z4" s="960"/>
      <c r="AA4" s="960"/>
      <c r="AB4" s="960"/>
      <c r="AC4" s="960"/>
      <c r="AD4" s="960"/>
      <c r="AE4" s="960"/>
      <c r="AF4" s="960"/>
      <c r="AG4" s="960"/>
      <c r="AH4" s="960"/>
      <c r="AI4" s="960"/>
      <c r="AJ4" s="960"/>
      <c r="AK4" s="960"/>
      <c r="AL4" s="960"/>
      <c r="AM4" s="960"/>
      <c r="AN4" s="960"/>
      <c r="AO4" s="961"/>
      <c r="AP4" s="958"/>
      <c r="AQ4" s="34"/>
      <c r="AR4" s="34"/>
    </row>
    <row r="5" spans="1:44">
      <c r="A5" s="30"/>
      <c r="B5" s="40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958"/>
      <c r="U5" s="43"/>
      <c r="V5" s="43"/>
      <c r="W5" s="30"/>
      <c r="X5" s="40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958"/>
      <c r="AQ5" s="34"/>
      <c r="AR5" s="34"/>
    </row>
    <row r="6" spans="1:44" ht="15.75" thickBot="1">
      <c r="A6" s="30"/>
      <c r="B6" s="4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1"/>
      <c r="T6" s="42"/>
      <c r="U6" s="41"/>
      <c r="V6" s="41"/>
      <c r="W6" s="30"/>
      <c r="X6" s="40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5"/>
      <c r="AO6" s="41"/>
      <c r="AP6" s="42"/>
      <c r="AQ6" s="34"/>
      <c r="AR6" s="34"/>
    </row>
    <row r="7" spans="1:44" ht="15.75" thickBot="1">
      <c r="A7" s="30"/>
      <c r="B7" s="46" t="s">
        <v>6</v>
      </c>
      <c r="C7" s="47" t="s">
        <v>11</v>
      </c>
      <c r="D7" s="33"/>
      <c r="E7" s="44"/>
      <c r="F7" s="44"/>
      <c r="G7" s="41" t="s">
        <v>5</v>
      </c>
      <c r="H7" s="41"/>
      <c r="I7" s="41" t="s">
        <v>6</v>
      </c>
      <c r="J7" s="47" t="str">
        <f>IF(E2=2,"","C")</f>
        <v>C</v>
      </c>
      <c r="K7" s="33"/>
      <c r="L7" s="44"/>
      <c r="M7" s="44"/>
      <c r="N7" s="41" t="s">
        <v>5</v>
      </c>
      <c r="O7" s="41"/>
      <c r="P7" s="41"/>
      <c r="Q7" s="47" t="s">
        <v>52</v>
      </c>
      <c r="R7" s="44"/>
      <c r="S7" s="44" t="s">
        <v>78</v>
      </c>
      <c r="T7" s="48"/>
      <c r="U7" s="44"/>
      <c r="V7" s="44"/>
      <c r="W7" s="30"/>
      <c r="X7" s="46" t="s">
        <v>6</v>
      </c>
      <c r="Y7" s="47" t="s">
        <v>11</v>
      </c>
      <c r="Z7" s="33"/>
      <c r="AA7" s="44"/>
      <c r="AB7" s="44"/>
      <c r="AC7" s="41" t="s">
        <v>5</v>
      </c>
      <c r="AD7" s="41"/>
      <c r="AE7" s="41" t="s">
        <v>6</v>
      </c>
      <c r="AF7" s="47" t="str">
        <f>IF(AA2=2,"","C")</f>
        <v>C</v>
      </c>
      <c r="AG7" s="33"/>
      <c r="AH7" s="44"/>
      <c r="AI7" s="44"/>
      <c r="AJ7" s="41" t="s">
        <v>5</v>
      </c>
      <c r="AK7" s="41"/>
      <c r="AL7" s="41"/>
      <c r="AM7" s="47" t="s">
        <v>52</v>
      </c>
      <c r="AN7" s="44"/>
      <c r="AO7" s="44" t="s">
        <v>78</v>
      </c>
      <c r="AP7" s="48"/>
      <c r="AQ7" s="34"/>
      <c r="AR7" s="34"/>
    </row>
    <row r="8" spans="1:44" ht="15.75" thickBot="1">
      <c r="A8" s="195">
        <v>17</v>
      </c>
      <c r="B8" s="965"/>
      <c r="C8" s="970" t="str">
        <f>IF(ISNA(MATCH($A$8,Données!$AE$5:$AE$84,0)),"",INDEX(Données!$AC$5:$AC$82,MATCH($A$8,Données!$AE$5:$AE$84,0)))</f>
        <v/>
      </c>
      <c r="D8" s="979"/>
      <c r="E8" s="979"/>
      <c r="F8" s="980"/>
      <c r="G8" s="49">
        <v>1</v>
      </c>
      <c r="H8" s="196">
        <v>19</v>
      </c>
      <c r="I8" s="965"/>
      <c r="J8" s="1016" t="str">
        <f>IF(ISNA(MATCH($H$8,Données!$AE$5:$AE$84,0)),"",INDEX(Données!$AC$5:$AC$82,MATCH($H$8,Données!$AE$5:$AE$84,0)))</f>
        <v/>
      </c>
      <c r="K8" s="1017"/>
      <c r="L8" s="1017"/>
      <c r="M8" s="1018"/>
      <c r="N8" s="49">
        <v>1</v>
      </c>
      <c r="O8" s="41"/>
      <c r="P8" s="44"/>
      <c r="Q8" s="973" t="str">
        <f>IF(E2+E3=4,0,IF(E2+E3=3,0,IF(ISNA(MATCH($P$8,Données!$AE$5:$AE$85,0)),"",INDEX(Données!$AC$5:$AC$83,MATCH($P$8,Données!$AE$5:$AE$85,0)))))</f>
        <v/>
      </c>
      <c r="R8" s="974"/>
      <c r="S8" s="975"/>
      <c r="T8" s="50"/>
      <c r="U8" s="44"/>
      <c r="V8" s="44"/>
      <c r="W8" s="141">
        <v>21</v>
      </c>
      <c r="X8" s="965"/>
      <c r="Y8" s="970" t="str">
        <f>IF(ISNA(MATCH($W$8,Données!$AE$5:$AE$84,0)),"",INDEX(Données!$AC$5:$AC$82,MATCH($W$8,Données!$AE$5:$AE$84,0)))</f>
        <v/>
      </c>
      <c r="Z8" s="979"/>
      <c r="AA8" s="979"/>
      <c r="AB8" s="980"/>
      <c r="AC8" s="49">
        <v>1</v>
      </c>
      <c r="AD8" s="196">
        <v>23</v>
      </c>
      <c r="AE8" s="965"/>
      <c r="AF8" s="970" t="str">
        <f>IF(ISNA(MATCH($AD$8,Données!$AE$5:$AE$84,0)),"",INDEX(Données!$AC$5:$AC$82,MATCH($AD$8,Données!$AE$5:$AE$84,0)))</f>
        <v/>
      </c>
      <c r="AG8" s="979"/>
      <c r="AH8" s="979"/>
      <c r="AI8" s="980"/>
      <c r="AJ8" s="49">
        <v>1</v>
      </c>
      <c r="AK8" s="41"/>
      <c r="AL8" s="44"/>
      <c r="AM8" s="973" t="str">
        <f>IF($AA$2+$AA$3=4,0,IF($AA$2+$AA$3=3,0,IF(ISNA(MATCH($AL$8,Données!$AE$5:$AE$85,0)),"",INDEX(Données!$AC$5:$AC$83,MATCH($AL$8,Données!$AE$5:$AE$85,0)))))</f>
        <v/>
      </c>
      <c r="AN8" s="974"/>
      <c r="AO8" s="975"/>
      <c r="AP8" s="50"/>
      <c r="AQ8" s="34"/>
      <c r="AR8" s="34"/>
    </row>
    <row r="9" spans="1:44" ht="15.75" thickBot="1">
      <c r="A9" s="195">
        <v>18</v>
      </c>
      <c r="B9" s="966"/>
      <c r="C9" s="976" t="str">
        <f>IF(ISNA(MATCH($A$9,Données!$AE$5:$AE$84,0)),"",INDEX(Données!$AC$5:$AC$82,MATCH($A$9,Données!$AE$5:$AE$84,0)))</f>
        <v/>
      </c>
      <c r="D9" s="981"/>
      <c r="E9" s="981"/>
      <c r="F9" s="982"/>
      <c r="G9" s="72">
        <v>0</v>
      </c>
      <c r="H9" s="196">
        <v>20</v>
      </c>
      <c r="I9" s="966"/>
      <c r="J9" s="976" t="str">
        <f>IF(ISNA(MATCH($H$9,Données!$AE$5:$AE$84,0)),"0ffice",INDEX(Données!$AC$5:$AC$82,MATCH($H$9,Données!$AE$5:$AE$84,0)))</f>
        <v>0ffice</v>
      </c>
      <c r="K9" s="981"/>
      <c r="L9" s="981"/>
      <c r="M9" s="982"/>
      <c r="N9" s="49">
        <v>0</v>
      </c>
      <c r="O9" s="41"/>
      <c r="P9" s="44"/>
      <c r="R9" s="44"/>
      <c r="S9" s="44"/>
      <c r="T9" s="48"/>
      <c r="U9" s="44"/>
      <c r="V9" s="44"/>
      <c r="W9" s="141">
        <v>22</v>
      </c>
      <c r="X9" s="966"/>
      <c r="Y9" s="976" t="str">
        <f>IF(ISNA(MATCH($W$9,Données!$AE$5:$AE$84,0)),"",INDEX(Données!$AC$5:$AC$82,MATCH($W$9,Données!$AE$5:$AE$84,0)))</f>
        <v/>
      </c>
      <c r="Z9" s="981"/>
      <c r="AA9" s="981"/>
      <c r="AB9" s="982"/>
      <c r="AC9" s="73">
        <v>0</v>
      </c>
      <c r="AD9" s="196">
        <v>24</v>
      </c>
      <c r="AE9" s="966"/>
      <c r="AF9" s="976" t="str">
        <f>IF(ISNA(MATCH($AD$9,Données!$AE$5:$AE$84,0)),"",INDEX(Données!$AC$5:$AC$82,MATCH($AD$9,Données!$AE$5:$AE$84,0)))</f>
        <v/>
      </c>
      <c r="AG9" s="981"/>
      <c r="AH9" s="981"/>
      <c r="AI9" s="982"/>
      <c r="AJ9" s="49">
        <v>0</v>
      </c>
      <c r="AK9" s="41"/>
      <c r="AL9" s="44"/>
      <c r="AN9" s="44"/>
      <c r="AO9" s="44"/>
      <c r="AP9" s="48"/>
      <c r="AQ9" s="34"/>
      <c r="AR9" s="34"/>
    </row>
    <row r="10" spans="1:44" ht="15.75" thickBot="1">
      <c r="A10" s="30"/>
      <c r="B10" s="40"/>
      <c r="C10" s="83" t="s">
        <v>12</v>
      </c>
      <c r="D10" s="33"/>
      <c r="E10" s="44"/>
      <c r="F10" s="44"/>
      <c r="G10" s="44"/>
      <c r="H10" s="44"/>
      <c r="I10" s="44"/>
      <c r="J10" s="47" t="s">
        <v>51</v>
      </c>
      <c r="K10" s="33"/>
      <c r="L10" s="44"/>
      <c r="M10" s="44"/>
      <c r="N10" s="44"/>
      <c r="O10" s="44"/>
      <c r="P10" s="44"/>
      <c r="Q10" s="44"/>
      <c r="R10" s="44"/>
      <c r="S10" s="44"/>
      <c r="T10" s="48"/>
      <c r="U10" s="44"/>
      <c r="V10" s="44"/>
      <c r="W10" s="30"/>
      <c r="X10" s="40"/>
      <c r="Y10" s="83" t="s">
        <v>12</v>
      </c>
      <c r="Z10" s="33"/>
      <c r="AA10" s="44"/>
      <c r="AB10" s="44"/>
      <c r="AC10" s="44"/>
      <c r="AD10" s="44"/>
      <c r="AE10" s="44"/>
      <c r="AF10" s="47" t="s">
        <v>51</v>
      </c>
      <c r="AG10" s="33"/>
      <c r="AH10" s="44"/>
      <c r="AI10" s="44"/>
      <c r="AJ10" s="44"/>
      <c r="AK10" s="44"/>
      <c r="AL10" s="44"/>
      <c r="AM10" s="44"/>
      <c r="AN10" s="44"/>
      <c r="AO10" s="44"/>
      <c r="AP10" s="48"/>
      <c r="AQ10" s="34"/>
      <c r="AR10" s="34"/>
    </row>
    <row r="11" spans="1:44">
      <c r="A11" s="30"/>
      <c r="B11" s="4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8"/>
      <c r="U11" s="44"/>
      <c r="V11" s="44"/>
      <c r="W11" s="30"/>
      <c r="X11" s="40"/>
      <c r="Y11" s="45"/>
      <c r="Z11" s="45"/>
      <c r="AA11" s="45"/>
      <c r="AB11" s="45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8"/>
      <c r="AQ11" s="34"/>
      <c r="AR11" s="34"/>
    </row>
    <row r="12" spans="1:44">
      <c r="A12" s="30"/>
      <c r="B12" s="4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8"/>
      <c r="U12" s="44"/>
      <c r="V12" s="44"/>
      <c r="W12" s="30"/>
      <c r="X12" s="40"/>
      <c r="Y12" s="45"/>
      <c r="Z12" s="45"/>
      <c r="AA12" s="45"/>
      <c r="AB12" s="45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8"/>
      <c r="AQ12" s="34"/>
      <c r="AR12" s="34"/>
    </row>
    <row r="13" spans="1:44" ht="15.75" thickBot="1">
      <c r="A13" s="30"/>
      <c r="B13" s="46" t="s">
        <v>6</v>
      </c>
      <c r="C13" s="44"/>
      <c r="D13" s="70" t="s">
        <v>77</v>
      </c>
      <c r="E13" s="44"/>
      <c r="F13" s="44"/>
      <c r="G13" s="41" t="s">
        <v>5</v>
      </c>
      <c r="H13" s="41"/>
      <c r="I13" s="44"/>
      <c r="J13" s="44"/>
      <c r="K13" s="44"/>
      <c r="L13" s="44" t="s">
        <v>78</v>
      </c>
      <c r="M13" s="44"/>
      <c r="N13" s="44"/>
      <c r="O13" s="44"/>
      <c r="P13" s="41" t="s">
        <v>6</v>
      </c>
      <c r="Q13" s="44"/>
      <c r="R13" s="70" t="s">
        <v>76</v>
      </c>
      <c r="S13" s="44"/>
      <c r="T13" s="42" t="s">
        <v>5</v>
      </c>
      <c r="U13" s="52"/>
      <c r="V13" s="53"/>
      <c r="W13" s="30"/>
      <c r="X13" s="54" t="s">
        <v>6</v>
      </c>
      <c r="Y13" s="45"/>
      <c r="Z13" s="45" t="s">
        <v>77</v>
      </c>
      <c r="AA13" s="45"/>
      <c r="AB13" s="45"/>
      <c r="AC13" s="41" t="s">
        <v>5</v>
      </c>
      <c r="AD13" s="41"/>
      <c r="AE13" s="44"/>
      <c r="AF13" s="44"/>
      <c r="AG13" s="44"/>
      <c r="AH13" s="44" t="s">
        <v>78</v>
      </c>
      <c r="AI13" s="44"/>
      <c r="AJ13" s="44"/>
      <c r="AK13" s="44"/>
      <c r="AL13" s="41" t="s">
        <v>6</v>
      </c>
      <c r="AM13" s="44"/>
      <c r="AN13" s="44" t="s">
        <v>76</v>
      </c>
      <c r="AO13" s="44"/>
      <c r="AP13" s="42" t="s">
        <v>5</v>
      </c>
      <c r="AQ13" s="53"/>
      <c r="AR13" s="53"/>
    </row>
    <row r="14" spans="1:44" ht="15.75" thickBot="1">
      <c r="A14" s="30"/>
      <c r="B14" s="965"/>
      <c r="C14" s="970" t="str">
        <f>IF($G$8=$G$9,"résultat",IF($G$8&gt;$G$9,$C$9,$C$8))</f>
        <v/>
      </c>
      <c r="D14" s="971"/>
      <c r="E14" s="971"/>
      <c r="F14" s="972"/>
      <c r="G14" s="49">
        <v>1</v>
      </c>
      <c r="H14" s="41"/>
      <c r="I14" s="44"/>
      <c r="J14" s="994" t="str">
        <f>IF(ISTEXT($Q$8),IF(($G$9=$G$8),"résultat",IF(($N$9=$N$8),"résultat",IF(($U$14=2),$C$8,IF(($V$14=2),$C$9,IF(($U$15=2),$J$9,IF(($V$15=2),J8,0)))))))</f>
        <v/>
      </c>
      <c r="K14" s="995"/>
      <c r="L14" s="995"/>
      <c r="M14" s="996"/>
      <c r="N14" s="50"/>
      <c r="O14" s="44"/>
      <c r="P14" s="965"/>
      <c r="Q14" s="967" t="str">
        <f>IF($E$2+$E$3=5,$Q$8,IF($N$8=$N$9,"résultat",IF($N$8&gt;$N$9,$J$8,$J$9)))</f>
        <v/>
      </c>
      <c r="R14" s="968"/>
      <c r="S14" s="969"/>
      <c r="T14" s="49">
        <v>1</v>
      </c>
      <c r="U14" s="56">
        <f>IF(G8&gt;G9,1)+IF(N8&gt;N9,1)</f>
        <v>2</v>
      </c>
      <c r="V14" s="57">
        <f>IF(G9&gt;G8,1)+IF(N9&gt;N8,1)</f>
        <v>0</v>
      </c>
      <c r="W14" s="30"/>
      <c r="X14" s="965"/>
      <c r="Y14" s="1015" t="str">
        <f>IF($AC$8=$AC$9,"résultat",IF($AC$8&gt;$AC$9,$Y$9,$Y$8))</f>
        <v/>
      </c>
      <c r="Z14" s="971"/>
      <c r="AA14" s="971"/>
      <c r="AB14" s="972"/>
      <c r="AC14" s="49">
        <v>1</v>
      </c>
      <c r="AD14" s="41"/>
      <c r="AE14" s="44"/>
      <c r="AF14" s="997" t="str">
        <f>IF(ISTEXT($AM$8),IF(($AC$9=$AC$8),"résultat",IF(($AJ$9=$AJ$8),"résultat",IF(($AQ$14=2),$Y$8,IF(($AR$14=2),$Y$9,IF(($AQ$15=2),$AF$9,IF(($AR$15=2),$AF$8,0)))))))</f>
        <v/>
      </c>
      <c r="AG14" s="995"/>
      <c r="AH14" s="995"/>
      <c r="AI14" s="996"/>
      <c r="AJ14" s="55"/>
      <c r="AK14" s="44"/>
      <c r="AL14" s="965"/>
      <c r="AM14" s="967" t="str">
        <f>IF($AA$2+$AA$3=5,$AM$8,IF($AJ$8&gt;$AJ$9,$AF$8,$AF$9))</f>
        <v/>
      </c>
      <c r="AN14" s="968"/>
      <c r="AO14" s="969"/>
      <c r="AP14" s="49">
        <v>1</v>
      </c>
      <c r="AQ14" s="56">
        <f>IF(AC8&gt;AC9,1)+IF(AJ8&gt;AJ9,1)</f>
        <v>2</v>
      </c>
      <c r="AR14" s="57">
        <f>IF(AC9&gt;AC8,1)+IF(AJ9&gt;AJ8,1)</f>
        <v>0</v>
      </c>
    </row>
    <row r="15" spans="1:44" ht="15.75" thickBot="1">
      <c r="A15" s="30"/>
      <c r="B15" s="966"/>
      <c r="C15" s="962" t="str">
        <f>IF($N$8=$N$9,"résultat",IF($N$8&lt;$N$9,$J$8,$J$9))</f>
        <v>0ffice</v>
      </c>
      <c r="D15" s="963"/>
      <c r="E15" s="963"/>
      <c r="F15" s="964"/>
      <c r="G15" s="58">
        <v>0</v>
      </c>
      <c r="H15" s="41"/>
      <c r="I15" s="44"/>
      <c r="J15" s="59" t="str">
        <f>IF(ISTEXT(J14)," ",0)</f>
        <v xml:space="preserve"> </v>
      </c>
      <c r="K15" s="44"/>
      <c r="L15" s="44"/>
      <c r="M15" s="44"/>
      <c r="N15" s="44"/>
      <c r="O15" s="44"/>
      <c r="P15" s="966"/>
      <c r="Q15" s="96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963"/>
      <c r="S15" s="964"/>
      <c r="T15" s="72">
        <v>0</v>
      </c>
      <c r="U15" s="60">
        <f>IF(G8&gt;G9,1)+IF(N9&gt;N8,1)</f>
        <v>1</v>
      </c>
      <c r="V15" s="61">
        <f>IF(G9&gt;G8,1)+IF(N8&gt;N9,1)</f>
        <v>1</v>
      </c>
      <c r="W15" s="30"/>
      <c r="X15" s="966"/>
      <c r="Y15" s="962" t="str">
        <f>IF($AJ$8=$AJ$9,"résultat",IF($AJ$8&lt;$AJ$9,$AF$8,$AF$9))</f>
        <v/>
      </c>
      <c r="Z15" s="963"/>
      <c r="AA15" s="963"/>
      <c r="AB15" s="964"/>
      <c r="AC15" s="49">
        <v>0</v>
      </c>
      <c r="AD15" s="41"/>
      <c r="AE15" s="44"/>
      <c r="AF15" s="44"/>
      <c r="AG15" s="44"/>
      <c r="AH15" s="44"/>
      <c r="AI15" s="44"/>
      <c r="AJ15" s="44"/>
      <c r="AK15" s="44"/>
      <c r="AL15" s="966"/>
      <c r="AM15" s="96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963"/>
      <c r="AO15" s="964"/>
      <c r="AP15" s="72">
        <v>0</v>
      </c>
      <c r="AQ15" s="60">
        <f>IF(AC8&gt;AC9,1)+IF(AJ9&gt;AJ8,1)</f>
        <v>1</v>
      </c>
      <c r="AR15" s="61">
        <f>IF(AC9&gt;AC8,1)+IF(AJ8&gt;AJ9,1)</f>
        <v>1</v>
      </c>
    </row>
    <row r="16" spans="1:44">
      <c r="A16" s="30"/>
      <c r="B16" s="4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62"/>
      <c r="Q16" s="44"/>
      <c r="R16" s="44"/>
      <c r="S16" s="44"/>
      <c r="T16" s="48"/>
      <c r="U16" s="44"/>
      <c r="V16" s="44"/>
      <c r="W16" s="30"/>
      <c r="X16" s="40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8"/>
      <c r="AQ16" s="34"/>
      <c r="AR16" s="34"/>
    </row>
    <row r="17" spans="1:44">
      <c r="A17" s="30"/>
      <c r="B17" s="4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8"/>
      <c r="U17" s="44"/>
      <c r="V17" s="44"/>
      <c r="W17" s="30"/>
      <c r="X17" s="40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8"/>
      <c r="AQ17" s="34"/>
      <c r="AR17" s="34"/>
    </row>
    <row r="18" spans="1:44">
      <c r="A18" s="30"/>
      <c r="B18" s="40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6"/>
      <c r="T18" s="48"/>
      <c r="U18" s="44"/>
      <c r="V18" s="44"/>
      <c r="W18" s="30"/>
      <c r="X18" s="40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8"/>
      <c r="AQ18" s="34"/>
      <c r="AR18" s="34"/>
    </row>
    <row r="19" spans="1:44" ht="15.75" thickBot="1">
      <c r="A19" s="30"/>
      <c r="B19" s="40"/>
      <c r="C19" s="44"/>
      <c r="D19" s="44"/>
      <c r="E19" s="41" t="s">
        <v>6</v>
      </c>
      <c r="F19" s="44"/>
      <c r="G19" s="44"/>
      <c r="H19" s="44"/>
      <c r="I19" s="44"/>
      <c r="J19" s="41" t="s">
        <v>5</v>
      </c>
      <c r="K19" s="41"/>
      <c r="L19" s="41" t="s">
        <v>6</v>
      </c>
      <c r="M19" s="44"/>
      <c r="N19" s="44"/>
      <c r="O19" s="44"/>
      <c r="P19" s="44"/>
      <c r="Q19" s="41" t="s">
        <v>5</v>
      </c>
      <c r="R19" s="44"/>
      <c r="S19" s="44"/>
      <c r="T19" s="48"/>
      <c r="U19" s="63"/>
      <c r="V19" s="44"/>
      <c r="W19" s="30"/>
      <c r="X19" s="40"/>
      <c r="Y19" s="44"/>
      <c r="Z19" s="44"/>
      <c r="AA19" s="41" t="s">
        <v>6</v>
      </c>
      <c r="AB19" s="44"/>
      <c r="AC19" s="44"/>
      <c r="AD19" s="44"/>
      <c r="AE19" s="44"/>
      <c r="AF19" s="41" t="s">
        <v>5</v>
      </c>
      <c r="AG19" s="41"/>
      <c r="AH19" s="41" t="s">
        <v>6</v>
      </c>
      <c r="AI19" s="44"/>
      <c r="AJ19" s="44"/>
      <c r="AK19" s="44"/>
      <c r="AL19" s="44"/>
      <c r="AM19" s="41" t="s">
        <v>5</v>
      </c>
      <c r="AN19" s="44"/>
      <c r="AO19" s="44"/>
      <c r="AP19" s="48"/>
      <c r="AQ19" s="34"/>
      <c r="AR19" s="34"/>
    </row>
    <row r="20" spans="1:44" ht="15.75" thickBot="1">
      <c r="A20" s="30"/>
      <c r="B20" s="40"/>
      <c r="C20" s="44"/>
      <c r="D20" s="44"/>
      <c r="E20" s="965"/>
      <c r="F20" s="976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977"/>
      <c r="H20" s="977"/>
      <c r="I20" s="978"/>
      <c r="J20" s="49">
        <v>1</v>
      </c>
      <c r="K20" s="41"/>
      <c r="L20" s="965" t="s">
        <v>13</v>
      </c>
      <c r="M20" s="991" t="b">
        <f>IF($E$2+$E$3=5,$J$14)</f>
        <v>0</v>
      </c>
      <c r="N20" s="992"/>
      <c r="O20" s="992"/>
      <c r="P20" s="993"/>
      <c r="Q20" s="49">
        <v>1</v>
      </c>
      <c r="R20" s="44"/>
      <c r="S20" s="44"/>
      <c r="T20" s="48"/>
      <c r="U20" s="44"/>
      <c r="V20" s="44"/>
      <c r="W20" s="30"/>
      <c r="X20" s="40"/>
      <c r="Y20" s="44"/>
      <c r="Z20" s="44"/>
      <c r="AA20" s="965"/>
      <c r="AB20" s="976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AC20" s="977"/>
      <c r="AD20" s="977"/>
      <c r="AE20" s="978"/>
      <c r="AF20" s="49">
        <v>1</v>
      </c>
      <c r="AG20" s="41"/>
      <c r="AH20" s="965" t="s">
        <v>13</v>
      </c>
      <c r="AI20" s="991" t="b">
        <f>IF($E$2+$E$3=5,$J$14)</f>
        <v>0</v>
      </c>
      <c r="AJ20" s="992"/>
      <c r="AK20" s="992"/>
      <c r="AL20" s="993"/>
      <c r="AM20" s="49">
        <v>1</v>
      </c>
      <c r="AN20" s="44"/>
      <c r="AO20" s="44"/>
      <c r="AP20" s="48"/>
      <c r="AQ20" s="34"/>
      <c r="AR20" s="34"/>
    </row>
    <row r="21" spans="1:44" ht="15.75" thickBot="1">
      <c r="A21" s="30"/>
      <c r="B21" s="40"/>
      <c r="C21" s="44"/>
      <c r="D21" s="44"/>
      <c r="E21" s="966"/>
      <c r="F21" s="976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981"/>
      <c r="H21" s="981"/>
      <c r="I21" s="982"/>
      <c r="J21" s="49">
        <v>0</v>
      </c>
      <c r="K21" s="41"/>
      <c r="L21" s="966"/>
      <c r="M21" s="976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981"/>
      <c r="O21" s="981"/>
      <c r="P21" s="982"/>
      <c r="Q21" s="49">
        <v>0</v>
      </c>
      <c r="R21" s="44"/>
      <c r="S21" s="63"/>
      <c r="T21" s="48"/>
      <c r="U21" s="44"/>
      <c r="V21" s="36"/>
      <c r="W21" s="30"/>
      <c r="X21" s="40"/>
      <c r="Y21" s="44"/>
      <c r="Z21" s="44"/>
      <c r="AA21" s="966"/>
      <c r="AB21" s="976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AC21" s="981"/>
      <c r="AD21" s="981"/>
      <c r="AE21" s="982"/>
      <c r="AF21" s="49">
        <v>0</v>
      </c>
      <c r="AG21" s="41"/>
      <c r="AH21" s="966"/>
      <c r="AI21" s="976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AJ21" s="981"/>
      <c r="AK21" s="981"/>
      <c r="AL21" s="982"/>
      <c r="AM21" s="49">
        <v>0</v>
      </c>
      <c r="AN21" s="44"/>
      <c r="AO21" s="44"/>
      <c r="AP21" s="48"/>
      <c r="AQ21" s="34"/>
      <c r="AR21" s="34"/>
    </row>
    <row r="22" spans="1:44">
      <c r="A22" s="30"/>
      <c r="B22" s="40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8"/>
      <c r="U22" s="44"/>
      <c r="V22" s="44"/>
      <c r="W22" s="30"/>
      <c r="X22" s="40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8"/>
      <c r="AQ22" s="34"/>
      <c r="AR22" s="34"/>
    </row>
    <row r="23" spans="1:44">
      <c r="A23" s="30"/>
      <c r="B23" s="4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8"/>
      <c r="U23" s="44"/>
      <c r="V23" s="44"/>
      <c r="W23" s="30"/>
      <c r="X23" s="40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8"/>
      <c r="AQ23" s="34"/>
      <c r="AR23" s="34"/>
    </row>
    <row r="24" spans="1:44" ht="15.75" thickBot="1">
      <c r="A24" s="30"/>
      <c r="B24" s="40"/>
      <c r="C24" s="44"/>
      <c r="D24" s="44"/>
      <c r="E24" s="44"/>
      <c r="F24" s="44"/>
      <c r="G24" s="44"/>
      <c r="H24" s="44"/>
      <c r="I24" s="41" t="s">
        <v>6</v>
      </c>
      <c r="J24" s="44"/>
      <c r="K24" s="44"/>
      <c r="L24" s="44"/>
      <c r="M24" s="44"/>
      <c r="N24" s="41" t="s">
        <v>5</v>
      </c>
      <c r="O24" s="41"/>
      <c r="P24" s="64"/>
      <c r="Q24" s="44"/>
      <c r="R24" s="44"/>
      <c r="S24" s="44"/>
      <c r="T24" s="48"/>
      <c r="U24" s="44"/>
      <c r="V24" s="44"/>
      <c r="W24" s="30"/>
      <c r="X24" s="40"/>
      <c r="Y24" s="44"/>
      <c r="Z24" s="44"/>
      <c r="AA24" s="44"/>
      <c r="AB24" s="44"/>
      <c r="AC24" s="44"/>
      <c r="AD24" s="44"/>
      <c r="AE24" s="41" t="s">
        <v>6</v>
      </c>
      <c r="AF24" s="44"/>
      <c r="AG24" s="44"/>
      <c r="AH24" s="44"/>
      <c r="AI24" s="44"/>
      <c r="AJ24" s="41" t="s">
        <v>5</v>
      </c>
      <c r="AK24" s="41"/>
      <c r="AL24" s="64"/>
      <c r="AM24" s="44"/>
      <c r="AN24" s="44"/>
      <c r="AO24" s="44"/>
      <c r="AP24" s="48"/>
      <c r="AQ24" s="34"/>
      <c r="AR24" s="34"/>
    </row>
    <row r="25" spans="1:44" ht="15.75" thickBot="1">
      <c r="A25" s="30"/>
      <c r="B25" s="40"/>
      <c r="C25" s="44"/>
      <c r="D25" s="44"/>
      <c r="E25" s="44"/>
      <c r="F25" s="44"/>
      <c r="G25" s="44"/>
      <c r="H25" s="44"/>
      <c r="I25" s="965"/>
      <c r="J25" s="1001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002"/>
      <c r="L25" s="1002"/>
      <c r="M25" s="1003"/>
      <c r="N25" s="49">
        <v>1</v>
      </c>
      <c r="O25" s="41"/>
      <c r="P25" s="44"/>
      <c r="Q25" s="44"/>
      <c r="R25" s="44"/>
      <c r="S25" s="44"/>
      <c r="T25" s="48"/>
      <c r="U25" s="44"/>
      <c r="V25" s="44"/>
      <c r="W25" s="30"/>
      <c r="X25" s="40"/>
      <c r="Y25" s="44"/>
      <c r="Z25" s="44"/>
      <c r="AA25" s="44"/>
      <c r="AB25" s="44"/>
      <c r="AC25" s="44"/>
      <c r="AD25" s="44"/>
      <c r="AE25" s="965"/>
      <c r="AF25" s="1001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1002"/>
      <c r="AH25" s="1002"/>
      <c r="AI25" s="1003"/>
      <c r="AJ25" s="49">
        <v>1</v>
      </c>
      <c r="AK25" s="41"/>
      <c r="AL25" s="44"/>
      <c r="AM25" s="44"/>
      <c r="AN25" s="44"/>
      <c r="AO25" s="44"/>
      <c r="AP25" s="48"/>
      <c r="AQ25" s="34"/>
      <c r="AR25" s="34"/>
    </row>
    <row r="26" spans="1:44" ht="15.75" thickBot="1">
      <c r="A26" s="30"/>
      <c r="B26" s="40"/>
      <c r="C26" s="44"/>
      <c r="D26" s="44"/>
      <c r="E26" s="44"/>
      <c r="F26" s="44"/>
      <c r="G26" s="44"/>
      <c r="H26" s="44"/>
      <c r="I26" s="966"/>
      <c r="J26" s="998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999"/>
      <c r="L26" s="999"/>
      <c r="M26" s="1000"/>
      <c r="N26" s="49">
        <v>0</v>
      </c>
      <c r="O26" s="41"/>
      <c r="P26" s="44"/>
      <c r="Q26" s="44"/>
      <c r="R26" s="44"/>
      <c r="S26" s="44"/>
      <c r="T26" s="48"/>
      <c r="U26" s="44"/>
      <c r="V26" s="44"/>
      <c r="W26" s="30"/>
      <c r="X26" s="40"/>
      <c r="Y26" s="44"/>
      <c r="Z26" s="44"/>
      <c r="AA26" s="44"/>
      <c r="AB26" s="44"/>
      <c r="AC26" s="44"/>
      <c r="AD26" s="44"/>
      <c r="AE26" s="966"/>
      <c r="AF26" s="1019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1020"/>
      <c r="AH26" s="1020"/>
      <c r="AI26" s="1021"/>
      <c r="AJ26" s="49">
        <v>0</v>
      </c>
      <c r="AK26" s="41"/>
      <c r="AL26" s="44"/>
      <c r="AM26" s="44"/>
      <c r="AN26" s="44"/>
      <c r="AO26" s="44"/>
      <c r="AP26" s="48"/>
      <c r="AQ26" s="34"/>
      <c r="AR26" s="34"/>
    </row>
    <row r="27" spans="1:44" ht="15.75" thickBot="1">
      <c r="A27" s="30"/>
      <c r="B27" s="40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8"/>
      <c r="U27" s="44"/>
      <c r="V27" s="44"/>
      <c r="W27" s="30"/>
      <c r="X27" s="40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8"/>
      <c r="AQ27" s="34"/>
      <c r="AR27" s="34"/>
    </row>
    <row r="28" spans="1:44" ht="15.75" thickBot="1">
      <c r="A28" s="30"/>
      <c r="B28" s="40"/>
      <c r="D28" s="44"/>
      <c r="E28" s="44"/>
      <c r="F28" s="44"/>
      <c r="G28" s="44"/>
      <c r="H28" s="44"/>
      <c r="I28" s="44"/>
      <c r="J28" s="955" t="s">
        <v>75</v>
      </c>
      <c r="K28" s="956"/>
      <c r="L28" s="956"/>
      <c r="M28" s="957"/>
      <c r="N28" s="44"/>
      <c r="O28" s="44"/>
      <c r="P28" s="63"/>
      <c r="Q28" s="44"/>
      <c r="R28" s="44"/>
      <c r="S28" s="44"/>
      <c r="T28" s="48"/>
      <c r="W28" s="30"/>
      <c r="X28" s="40"/>
      <c r="Z28" s="44"/>
      <c r="AA28" s="44"/>
      <c r="AB28" s="44"/>
      <c r="AC28" s="44"/>
      <c r="AD28" s="44"/>
      <c r="AE28" s="44"/>
      <c r="AF28" s="955" t="s">
        <v>75</v>
      </c>
      <c r="AG28" s="956"/>
      <c r="AH28" s="956"/>
      <c r="AI28" s="957"/>
      <c r="AJ28" s="44"/>
      <c r="AK28" s="44"/>
      <c r="AL28" s="63"/>
      <c r="AM28" s="44"/>
      <c r="AN28" s="44"/>
      <c r="AO28" s="44"/>
      <c r="AP28" s="48"/>
    </row>
    <row r="29" spans="1:44">
      <c r="A29" s="30"/>
      <c r="B29" s="40"/>
      <c r="D29" s="928" t="s">
        <v>0</v>
      </c>
      <c r="E29" s="929"/>
      <c r="F29" s="930"/>
      <c r="G29" s="44"/>
      <c r="H29" s="934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935"/>
      <c r="J29" s="935"/>
      <c r="K29" s="935"/>
      <c r="L29" s="935"/>
      <c r="M29" s="935"/>
      <c r="N29" s="936"/>
      <c r="O29" s="44"/>
      <c r="P29" s="44"/>
      <c r="Q29" s="44"/>
      <c r="R29" s="44"/>
      <c r="S29" s="44"/>
      <c r="T29" s="48"/>
      <c r="W29" s="30"/>
      <c r="X29" s="40"/>
      <c r="Z29" s="928" t="s">
        <v>0</v>
      </c>
      <c r="AA29" s="929"/>
      <c r="AB29" s="930"/>
      <c r="AC29" s="44"/>
      <c r="AD29" s="934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935"/>
      <c r="AF29" s="935"/>
      <c r="AG29" s="935"/>
      <c r="AH29" s="935"/>
      <c r="AI29" s="935"/>
      <c r="AJ29" s="936"/>
      <c r="AK29" s="44"/>
      <c r="AL29" s="44"/>
      <c r="AN29" s="44"/>
      <c r="AO29" s="44"/>
      <c r="AP29" s="48"/>
    </row>
    <row r="30" spans="1:44">
      <c r="A30" s="30"/>
      <c r="B30" s="40"/>
      <c r="D30" s="925" t="s">
        <v>1</v>
      </c>
      <c r="E30" s="926"/>
      <c r="F30" s="927"/>
      <c r="G30" s="44"/>
      <c r="H30" s="937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938"/>
      <c r="J30" s="938"/>
      <c r="K30" s="938"/>
      <c r="L30" s="938"/>
      <c r="M30" s="938"/>
      <c r="N30" s="939"/>
      <c r="O30" s="44"/>
      <c r="P30" s="65"/>
      <c r="Q30" s="65"/>
      <c r="R30" s="65"/>
      <c r="S30" s="65"/>
      <c r="T30" s="48"/>
      <c r="W30" s="30"/>
      <c r="X30" s="40"/>
      <c r="Z30" s="925" t="s">
        <v>1</v>
      </c>
      <c r="AA30" s="926"/>
      <c r="AB30" s="927"/>
      <c r="AC30" s="44"/>
      <c r="AD30" s="937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938"/>
      <c r="AF30" s="938"/>
      <c r="AG30" s="938"/>
      <c r="AH30" s="938"/>
      <c r="AI30" s="938"/>
      <c r="AJ30" s="939"/>
      <c r="AK30" s="44"/>
      <c r="AL30" s="65"/>
      <c r="AM30" s="65"/>
      <c r="AN30" s="65"/>
      <c r="AO30" s="44"/>
      <c r="AP30" s="48"/>
    </row>
    <row r="31" spans="1:44">
      <c r="A31" s="30"/>
      <c r="B31" s="40"/>
      <c r="D31" s="925" t="s">
        <v>2</v>
      </c>
      <c r="E31" s="926"/>
      <c r="F31" s="927"/>
      <c r="G31" s="44"/>
      <c r="H31" s="940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941"/>
      <c r="J31" s="941"/>
      <c r="K31" s="941"/>
      <c r="L31" s="941"/>
      <c r="M31" s="941"/>
      <c r="N31" s="942"/>
      <c r="O31" s="44"/>
      <c r="P31" s="44"/>
      <c r="Q31" s="44"/>
      <c r="R31" s="44"/>
      <c r="S31" s="44"/>
      <c r="T31" s="48"/>
      <c r="W31" s="30"/>
      <c r="X31" s="40"/>
      <c r="Z31" s="925" t="s">
        <v>2</v>
      </c>
      <c r="AA31" s="926"/>
      <c r="AB31" s="927"/>
      <c r="AC31" s="44"/>
      <c r="AD31" s="952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953"/>
      <c r="AF31" s="953"/>
      <c r="AG31" s="953"/>
      <c r="AH31" s="953"/>
      <c r="AI31" s="953"/>
      <c r="AJ31" s="954"/>
      <c r="AK31" s="44"/>
      <c r="AL31" s="44"/>
      <c r="AM31" s="44"/>
      <c r="AN31" s="44"/>
      <c r="AO31" s="44"/>
      <c r="AP31" s="48"/>
    </row>
    <row r="32" spans="1:44">
      <c r="A32" s="30"/>
      <c r="B32" s="40"/>
      <c r="D32" s="925" t="s">
        <v>3</v>
      </c>
      <c r="E32" s="926"/>
      <c r="F32" s="927"/>
      <c r="G32" s="44"/>
      <c r="H32" s="940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941"/>
      <c r="J32" s="941"/>
      <c r="K32" s="941"/>
      <c r="L32" s="941"/>
      <c r="M32" s="941"/>
      <c r="N32" s="942"/>
      <c r="O32" s="44"/>
      <c r="P32" s="44"/>
      <c r="Q32" s="44"/>
      <c r="R32" s="44"/>
      <c r="S32" s="44"/>
      <c r="T32" s="48"/>
      <c r="W32" s="30"/>
      <c r="X32" s="40"/>
      <c r="Z32" s="925" t="s">
        <v>3</v>
      </c>
      <c r="AA32" s="926"/>
      <c r="AB32" s="927"/>
      <c r="AC32" s="44"/>
      <c r="AD32" s="940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941"/>
      <c r="AF32" s="941"/>
      <c r="AG32" s="941"/>
      <c r="AH32" s="941"/>
      <c r="AI32" s="941"/>
      <c r="AJ32" s="942"/>
      <c r="AK32" s="44"/>
      <c r="AL32" s="44"/>
      <c r="AM32" s="44"/>
      <c r="AN32" s="44"/>
      <c r="AO32" s="44"/>
      <c r="AP32" s="48"/>
    </row>
    <row r="33" spans="1:44" ht="15.75" thickBot="1">
      <c r="A33" s="30"/>
      <c r="B33" s="40"/>
      <c r="D33" s="931" t="s">
        <v>4</v>
      </c>
      <c r="E33" s="932"/>
      <c r="F33" s="933"/>
      <c r="G33" s="44"/>
      <c r="H33" s="946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947"/>
      <c r="J33" s="947"/>
      <c r="K33" s="947"/>
      <c r="L33" s="947"/>
      <c r="M33" s="947"/>
      <c r="N33" s="948"/>
      <c r="O33" s="44"/>
      <c r="P33" s="44"/>
      <c r="Q33" s="44"/>
      <c r="R33" s="44"/>
      <c r="S33" s="44"/>
      <c r="T33" s="48"/>
      <c r="W33" s="30"/>
      <c r="X33" s="40"/>
      <c r="Z33" s="931" t="s">
        <v>4</v>
      </c>
      <c r="AA33" s="932"/>
      <c r="AB33" s="933"/>
      <c r="AC33" s="44"/>
      <c r="AD33" s="946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947"/>
      <c r="AF33" s="947"/>
      <c r="AG33" s="947"/>
      <c r="AH33" s="947"/>
      <c r="AI33" s="947"/>
      <c r="AJ33" s="948"/>
      <c r="AK33" s="44"/>
      <c r="AL33" s="44"/>
      <c r="AM33" s="44"/>
      <c r="AN33" s="44"/>
      <c r="AO33" s="44"/>
      <c r="AP33" s="48"/>
    </row>
    <row r="34" spans="1:44">
      <c r="A34" s="30"/>
      <c r="B34" s="40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44"/>
      <c r="O34" s="44"/>
      <c r="P34" s="44"/>
      <c r="Q34" s="44"/>
      <c r="R34" s="44"/>
      <c r="S34" s="44"/>
      <c r="T34" s="48"/>
      <c r="U34" s="44"/>
      <c r="V34" s="44"/>
      <c r="W34" s="30"/>
      <c r="X34" s="40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44"/>
      <c r="AK34" s="44"/>
      <c r="AL34" s="44"/>
      <c r="AM34" s="44"/>
      <c r="AN34" s="44"/>
      <c r="AO34" s="44"/>
      <c r="AP34" s="48"/>
      <c r="AQ34" s="34"/>
      <c r="AR34" s="34"/>
    </row>
    <row r="35" spans="1:44" ht="15.75" thickBot="1">
      <c r="A35" s="30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68"/>
      <c r="P35" s="68"/>
      <c r="Q35" s="68"/>
      <c r="R35" s="68"/>
      <c r="S35" s="68"/>
      <c r="T35" s="69"/>
      <c r="U35" s="30"/>
      <c r="V35" s="30"/>
      <c r="W35" s="30"/>
      <c r="X35" s="66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9"/>
      <c r="AQ35" s="34"/>
      <c r="AR35" s="34"/>
    </row>
    <row r="36" spans="1:44" ht="15.75" thickBo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4"/>
    </row>
    <row r="37" spans="1:44" ht="15.75" thickBo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1004" t="s">
        <v>79</v>
      </c>
      <c r="N37" s="1005"/>
      <c r="O37" s="1006"/>
      <c r="P37" s="8"/>
      <c r="Q37" s="8"/>
      <c r="R37" s="8"/>
      <c r="S37" s="8"/>
      <c r="T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4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D33:F33"/>
    <mergeCell ref="H33:N33"/>
    <mergeCell ref="Z33:AB33"/>
    <mergeCell ref="AD33:AJ33"/>
    <mergeCell ref="D31:F31"/>
    <mergeCell ref="H31:N31"/>
    <mergeCell ref="Z31:AB31"/>
    <mergeCell ref="AD31:AJ31"/>
    <mergeCell ref="D32:F32"/>
    <mergeCell ref="H32:N32"/>
    <mergeCell ref="Z32:AB32"/>
    <mergeCell ref="AD32:AJ32"/>
    <mergeCell ref="D29:F29"/>
    <mergeCell ref="H29:N29"/>
    <mergeCell ref="Z29:AB29"/>
    <mergeCell ref="AD29:AJ29"/>
    <mergeCell ref="D30:F30"/>
    <mergeCell ref="H30:N30"/>
    <mergeCell ref="Z30:AB30"/>
    <mergeCell ref="AD30:AJ30"/>
    <mergeCell ref="I25:I26"/>
    <mergeCell ref="J25:M25"/>
    <mergeCell ref="AE25:AE26"/>
    <mergeCell ref="AF25:AI25"/>
    <mergeCell ref="J26:M26"/>
    <mergeCell ref="AF26:AI26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AF14:AI14"/>
    <mergeCell ref="AL14:AL15"/>
    <mergeCell ref="AM14:AO14"/>
    <mergeCell ref="C15:F15"/>
    <mergeCell ref="Q15:S15"/>
    <mergeCell ref="Y15:AB15"/>
    <mergeCell ref="AM15:AO15"/>
    <mergeCell ref="X14:X15"/>
    <mergeCell ref="Y14:AB14"/>
    <mergeCell ref="B14:B15"/>
    <mergeCell ref="C14:F14"/>
    <mergeCell ref="J14:M14"/>
    <mergeCell ref="P14:P15"/>
    <mergeCell ref="Q14:S14"/>
    <mergeCell ref="X8:X9"/>
    <mergeCell ref="Y8:AB8"/>
    <mergeCell ref="AE8:AE9"/>
    <mergeCell ref="AF8:AI8"/>
    <mergeCell ref="AM8:AO8"/>
    <mergeCell ref="Y9:AB9"/>
    <mergeCell ref="AF9:AI9"/>
    <mergeCell ref="I1:L1"/>
    <mergeCell ref="N1:S1"/>
    <mergeCell ref="B8:B9"/>
    <mergeCell ref="C8:F8"/>
    <mergeCell ref="I8:I9"/>
    <mergeCell ref="J8:M8"/>
    <mergeCell ref="Q8:S8"/>
    <mergeCell ref="C9:F9"/>
    <mergeCell ref="J9:M9"/>
    <mergeCell ref="T4:T5"/>
    <mergeCell ref="AJ1:AO1"/>
    <mergeCell ref="X2:Z2"/>
    <mergeCell ref="AB2:AC2"/>
    <mergeCell ref="AE2:AG2"/>
    <mergeCell ref="AE1:AH1"/>
    <mergeCell ref="AH2:AP2"/>
    <mergeCell ref="AP4:AP5"/>
    <mergeCell ref="Y4:AO4"/>
    <mergeCell ref="M37:O37"/>
    <mergeCell ref="AF28:AI28"/>
    <mergeCell ref="J28:M28"/>
    <mergeCell ref="B1:D1"/>
    <mergeCell ref="E1:G1"/>
    <mergeCell ref="X1:Z1"/>
    <mergeCell ref="AA1:AC1"/>
    <mergeCell ref="E20:E21"/>
    <mergeCell ref="F20:I20"/>
    <mergeCell ref="L20:L21"/>
    <mergeCell ref="M20:P20"/>
    <mergeCell ref="F2:G2"/>
    <mergeCell ref="C4:S4"/>
    <mergeCell ref="I2:K2"/>
    <mergeCell ref="B2:D2"/>
    <mergeCell ref="L2:T2"/>
  </mergeCells>
  <conditionalFormatting sqref="H32">
    <cfRule type="expression" dxfId="543" priority="136">
      <formula>$H$2=5</formula>
    </cfRule>
    <cfRule type="expression" dxfId="542" priority="137">
      <formula>$H$2=4</formula>
    </cfRule>
    <cfRule type="expression" dxfId="541" priority="138">
      <formula>$H$2=0</formula>
    </cfRule>
  </conditionalFormatting>
  <conditionalFormatting sqref="H29:N29">
    <cfRule type="expression" dxfId="540" priority="133">
      <formula>$H$2=0</formula>
    </cfRule>
    <cfRule type="expression" dxfId="539" priority="134" stopIfTrue="1">
      <formula>(OR(H2="1",H2="2",H2="3"))</formula>
    </cfRule>
  </conditionalFormatting>
  <conditionalFormatting sqref="H30:N30">
    <cfRule type="expression" dxfId="538" priority="132">
      <formula>(OR(H2="2",H2="3"))</formula>
    </cfRule>
  </conditionalFormatting>
  <conditionalFormatting sqref="H31:N31">
    <cfRule type="expression" dxfId="537" priority="131">
      <formula>(H2="3")</formula>
    </cfRule>
  </conditionalFormatting>
  <conditionalFormatting sqref="H32:N33 AD32:AJ33 AD31 F20:I20 AB20:AE20">
    <cfRule type="cellIs" dxfId="536" priority="130" operator="equal">
      <formula>0</formula>
    </cfRule>
  </conditionalFormatting>
  <conditionalFormatting sqref="H33 AD33">
    <cfRule type="expression" dxfId="535" priority="161">
      <formula>$AF$2=5</formula>
    </cfRule>
  </conditionalFormatting>
  <conditionalFormatting sqref="AD33">
    <cfRule type="expression" dxfId="534" priority="160">
      <formula>$AA$2=0</formula>
    </cfRule>
  </conditionalFormatting>
  <conditionalFormatting sqref="AD30">
    <cfRule type="expression" dxfId="533" priority="146" stopIfTrue="1">
      <formula>$AA$2=0</formula>
    </cfRule>
    <cfRule type="expression" dxfId="532" priority="147">
      <formula>$AF$2=5</formula>
    </cfRule>
    <cfRule type="expression" dxfId="531" priority="148">
      <formula>$AF$2=4</formula>
    </cfRule>
    <cfRule type="expression" dxfId="530" priority="149">
      <formula>$AF$2=3</formula>
    </cfRule>
    <cfRule type="expression" dxfId="529" priority="150">
      <formula>$AF$2=2</formula>
    </cfRule>
  </conditionalFormatting>
  <conditionalFormatting sqref="AD31">
    <cfRule type="expression" dxfId="528" priority="142" stopIfTrue="1">
      <formula>$AA$2=0</formula>
    </cfRule>
    <cfRule type="expression" dxfId="527" priority="143">
      <formula>$AF$2=5</formula>
    </cfRule>
    <cfRule type="expression" dxfId="526" priority="144">
      <formula>$AF$2=4</formula>
    </cfRule>
    <cfRule type="expression" dxfId="525" priority="145">
      <formula>$AF$2=3</formula>
    </cfRule>
  </conditionalFormatting>
  <conditionalFormatting sqref="AD32:AJ32">
    <cfRule type="expression" dxfId="524" priority="139">
      <formula>$AF$2=5</formula>
    </cfRule>
    <cfRule type="expression" dxfId="523" priority="140" stopIfTrue="1">
      <formula>$AA$2=0</formula>
    </cfRule>
    <cfRule type="expression" dxfId="522" priority="141">
      <formula>$AF$2=4</formula>
    </cfRule>
  </conditionalFormatting>
  <conditionalFormatting sqref="AD29:AJ29">
    <cfRule type="expression" dxfId="521" priority="135">
      <formula>$AF$2=1</formula>
    </cfRule>
  </conditionalFormatting>
  <conditionalFormatting sqref="AD32">
    <cfRule type="expression" dxfId="520" priority="120">
      <formula>$H$2=5</formula>
    </cfRule>
    <cfRule type="expression" dxfId="519" priority="121">
      <formula>$H$2=4</formula>
    </cfRule>
    <cfRule type="expression" dxfId="518" priority="122">
      <formula>$AA$2=0</formula>
    </cfRule>
  </conditionalFormatting>
  <conditionalFormatting sqref="AD29:AJ29">
    <cfRule type="expression" dxfId="517" priority="118" stopIfTrue="1">
      <formula>$AA$2=0</formula>
    </cfRule>
    <cfRule type="expression" dxfId="516" priority="119" stopIfTrue="1">
      <formula>(OR(AF2="1",AF2="2",AF2="3"))</formula>
    </cfRule>
  </conditionalFormatting>
  <conditionalFormatting sqref="AD30:AJ30">
    <cfRule type="expression" dxfId="515" priority="117">
      <formula>(OR(AF2="2",AF2="3"))</formula>
    </cfRule>
  </conditionalFormatting>
  <conditionalFormatting sqref="AD31">
    <cfRule type="expression" dxfId="514" priority="116">
      <formula>(AF2="3")</formula>
    </cfRule>
  </conditionalFormatting>
  <conditionalFormatting sqref="AD29">
    <cfRule type="expression" dxfId="513" priority="200">
      <formula>$AF$2=2</formula>
    </cfRule>
    <cfRule type="expression" dxfId="512" priority="201">
      <formula>$AF$2=5</formula>
    </cfRule>
    <cfRule type="expression" dxfId="511" priority="202">
      <formula>$AF$2=4</formula>
    </cfRule>
    <cfRule type="expression" dxfId="510" priority="203">
      <formula>$AF$2=3</formula>
    </cfRule>
    <cfRule type="expression" dxfId="509" priority="204">
      <formula>$H$2=0</formula>
    </cfRule>
  </conditionalFormatting>
  <conditionalFormatting sqref="H33 AD33">
    <cfRule type="expression" dxfId="508" priority="99">
      <formula>$AD$2=5</formula>
    </cfRule>
  </conditionalFormatting>
  <conditionalFormatting sqref="AD33">
    <cfRule type="expression" dxfId="507" priority="98">
      <formula>$AD$2=0</formula>
    </cfRule>
  </conditionalFormatting>
  <conditionalFormatting sqref="AD29">
    <cfRule type="expression" dxfId="506" priority="90">
      <formula>$AD$2=2</formula>
    </cfRule>
    <cfRule type="expression" dxfId="505" priority="91">
      <formula>$AD$2=5</formula>
    </cfRule>
    <cfRule type="expression" dxfId="504" priority="92">
      <formula>$AD$2=4</formula>
    </cfRule>
    <cfRule type="expression" dxfId="503" priority="93">
      <formula>$AD$2=3</formula>
    </cfRule>
    <cfRule type="expression" dxfId="502" priority="94">
      <formula>$H$2=0</formula>
    </cfRule>
  </conditionalFormatting>
  <conditionalFormatting sqref="AD30">
    <cfRule type="expression" dxfId="501" priority="85">
      <formula>$AD$2=0</formula>
    </cfRule>
    <cfRule type="expression" dxfId="500" priority="86">
      <formula>$AD$2=5</formula>
    </cfRule>
    <cfRule type="expression" dxfId="499" priority="87">
      <formula>$AD$2=4</formula>
    </cfRule>
    <cfRule type="expression" dxfId="498" priority="88">
      <formula>$AD$2=3</formula>
    </cfRule>
    <cfRule type="expression" dxfId="497" priority="89">
      <formula>$AD$2=2</formula>
    </cfRule>
  </conditionalFormatting>
  <conditionalFormatting sqref="AD31">
    <cfRule type="expression" dxfId="496" priority="81">
      <formula>$AD$2=0</formula>
    </cfRule>
    <cfRule type="expression" dxfId="495" priority="82">
      <formula>$AD$2=5</formula>
    </cfRule>
    <cfRule type="expression" dxfId="494" priority="83">
      <formula>$AD$2=4</formula>
    </cfRule>
    <cfRule type="expression" dxfId="493" priority="84">
      <formula>$AD$2=3</formula>
    </cfRule>
  </conditionalFormatting>
  <conditionalFormatting sqref="AD32:AJ32">
    <cfRule type="cellIs" dxfId="492" priority="77" operator="equal">
      <formula>0</formula>
    </cfRule>
    <cfRule type="expression" dxfId="491" priority="78">
      <formula>$AD$2=5</formula>
    </cfRule>
    <cfRule type="expression" dxfId="490" priority="79">
      <formula>$AD$2=0</formula>
    </cfRule>
    <cfRule type="expression" dxfId="489" priority="80">
      <formula>$AD$2=4</formula>
    </cfRule>
  </conditionalFormatting>
  <conditionalFormatting sqref="H32 AD32">
    <cfRule type="expression" dxfId="488" priority="76">
      <formula>$H$2=0</formula>
    </cfRule>
  </conditionalFormatting>
  <conditionalFormatting sqref="AD29:AJ29">
    <cfRule type="expression" dxfId="487" priority="75">
      <formula>$AD$2=1</formula>
    </cfRule>
  </conditionalFormatting>
  <conditionalFormatting sqref="H29:N29">
    <cfRule type="expression" dxfId="486" priority="73">
      <formula>$H$2=0</formula>
    </cfRule>
    <cfRule type="expression" dxfId="485" priority="74" stopIfTrue="1">
      <formula>(OR(H2="1",H2="2",H2="3"))</formula>
    </cfRule>
  </conditionalFormatting>
  <conditionalFormatting sqref="H30:N30">
    <cfRule type="expression" dxfId="484" priority="72">
      <formula>(OR(H2="2",H2="3"))</formula>
    </cfRule>
  </conditionalFormatting>
  <conditionalFormatting sqref="H31:N31">
    <cfRule type="cellIs" dxfId="483" priority="70" operator="equal">
      <formula>0</formula>
    </cfRule>
    <cfRule type="expression" dxfId="482" priority="71">
      <formula>(H2="3")</formula>
    </cfRule>
  </conditionalFormatting>
  <conditionalFormatting sqref="AD29:AJ29">
    <cfRule type="expression" dxfId="481" priority="68">
      <formula>$H$2=0</formula>
    </cfRule>
    <cfRule type="expression" dxfId="480" priority="69" stopIfTrue="1">
      <formula>(OR(AD2="1",AD2="2",AD2="3"))</formula>
    </cfRule>
  </conditionalFormatting>
  <conditionalFormatting sqref="AD30:AJ30">
    <cfRule type="expression" dxfId="479" priority="67">
      <formula>(OR(AD2="2",AD2="3"))</formula>
    </cfRule>
  </conditionalFormatting>
  <conditionalFormatting sqref="AD31">
    <cfRule type="expression" dxfId="478" priority="66">
      <formula>(AD2="3")</formula>
    </cfRule>
  </conditionalFormatting>
  <conditionalFormatting sqref="C8:F9 AF26">
    <cfRule type="expression" dxfId="477" priority="39">
      <formula>(OR($E$2=3,$E$2=4,$E$2=5))</formula>
    </cfRule>
  </conditionalFormatting>
  <pageMargins left="0.7" right="0.7" top="0.75" bottom="0.75" header="0.3" footer="0.3"/>
  <pageSetup paperSize="9" scale="48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>
    <tabColor rgb="FF66FF33"/>
  </sheetPr>
  <dimension ref="A1:AR49"/>
  <sheetViews>
    <sheetView zoomScale="80" zoomScaleNormal="80" workbookViewId="0">
      <selection activeCell="Q9" sqref="Q9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" customWidth="1"/>
    <col min="21" max="21" width="7" hidden="1" customWidth="1"/>
    <col min="22" max="22" width="5.140625" hidden="1" customWidth="1"/>
    <col min="23" max="23" width="4.140625" customWidth="1"/>
    <col min="24" max="24" width="11.285156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5" customWidth="1"/>
    <col min="31" max="31" width="6.28515625" customWidth="1"/>
    <col min="32" max="32" width="4.42578125" customWidth="1"/>
    <col min="33" max="33" width="10.140625" customWidth="1"/>
    <col min="34" max="34" width="6" customWidth="1"/>
    <col min="35" max="35" width="8.42578125" customWidth="1"/>
    <col min="36" max="36" width="6" customWidth="1"/>
    <col min="37" max="37" width="7.7109375" customWidth="1"/>
    <col min="38" max="38" width="5.28515625" customWidth="1"/>
    <col min="39" max="39" width="9" customWidth="1"/>
    <col min="40" max="40" width="6" customWidth="1"/>
    <col min="42" max="42" width="7.7109375" customWidth="1"/>
    <col min="43" max="43" width="7" hidden="1" customWidth="1"/>
    <col min="44" max="44" width="5.5703125" hidden="1" customWidth="1"/>
  </cols>
  <sheetData>
    <row r="1" spans="1:44" ht="21.75" thickBot="1">
      <c r="A1" s="2"/>
      <c r="B1" s="1007" t="s">
        <v>70</v>
      </c>
      <c r="C1" s="1008"/>
      <c r="D1" s="1008"/>
      <c r="E1" s="1008">
        <f>Données!J1</f>
        <v>0</v>
      </c>
      <c r="F1" s="1008"/>
      <c r="G1" s="1008"/>
      <c r="H1" s="18" t="str">
        <f>Données!$D$3</f>
        <v>F_U18</v>
      </c>
      <c r="I1" s="1008">
        <f>Données!$N$3</f>
        <v>0</v>
      </c>
      <c r="J1" s="1008"/>
      <c r="K1" s="1008"/>
      <c r="L1" s="1008"/>
      <c r="M1" s="19">
        <f>Données!$G$3</f>
        <v>0</v>
      </c>
      <c r="N1" s="1007" t="s">
        <v>20</v>
      </c>
      <c r="O1" s="1008"/>
      <c r="P1" s="1008"/>
      <c r="Q1" s="1008"/>
      <c r="R1" s="1008"/>
      <c r="S1" s="1009"/>
      <c r="T1" s="5">
        <f>+Données!D17</f>
        <v>0</v>
      </c>
      <c r="W1" s="2"/>
      <c r="X1" s="1007" t="s">
        <v>70</v>
      </c>
      <c r="Y1" s="1008"/>
      <c r="Z1" s="1008"/>
      <c r="AA1" s="1008">
        <f>Données!J1</f>
        <v>0</v>
      </c>
      <c r="AB1" s="1008"/>
      <c r="AC1" s="1008"/>
      <c r="AD1" s="18" t="str">
        <f>Données!$D$3</f>
        <v>F_U18</v>
      </c>
      <c r="AE1" s="1008">
        <f>Données!$N$3</f>
        <v>0</v>
      </c>
      <c r="AF1" s="1008"/>
      <c r="AG1" s="1008"/>
      <c r="AH1" s="1008"/>
      <c r="AI1" s="19">
        <f>Données!$G$3</f>
        <v>0</v>
      </c>
      <c r="AJ1" s="1007" t="s">
        <v>20</v>
      </c>
      <c r="AK1" s="1008"/>
      <c r="AL1" s="1008"/>
      <c r="AM1" s="1008"/>
      <c r="AN1" s="1008"/>
      <c r="AO1" s="1009"/>
      <c r="AP1" s="27">
        <f>+Données!D17</f>
        <v>0</v>
      </c>
      <c r="AQ1" s="4"/>
    </row>
    <row r="2" spans="1:44" ht="19.5" customHeight="1" thickBot="1">
      <c r="A2" s="2"/>
      <c r="B2" s="1007" t="s">
        <v>25</v>
      </c>
      <c r="C2" s="1008"/>
      <c r="D2" s="1008"/>
      <c r="E2" s="17">
        <f>Données!K17</f>
        <v>0</v>
      </c>
      <c r="F2" s="1008" t="s">
        <v>16</v>
      </c>
      <c r="G2" s="1008"/>
      <c r="H2" s="7">
        <f>Données!K18</f>
        <v>0</v>
      </c>
      <c r="I2" s="1008" t="s">
        <v>17</v>
      </c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9"/>
      <c r="U2" s="25"/>
      <c r="V2" s="25"/>
      <c r="W2" s="2"/>
      <c r="X2" s="1007" t="s">
        <v>26</v>
      </c>
      <c r="Y2" s="1008"/>
      <c r="Z2" s="1008"/>
      <c r="AA2" s="6">
        <f>Données!L17</f>
        <v>0</v>
      </c>
      <c r="AB2" s="1008" t="s">
        <v>16</v>
      </c>
      <c r="AC2" s="1008"/>
      <c r="AD2" s="7">
        <f>Données!L18</f>
        <v>0</v>
      </c>
      <c r="AE2" s="1008" t="s">
        <v>17</v>
      </c>
      <c r="AF2" s="1008"/>
      <c r="AG2" s="1008"/>
      <c r="AH2" s="1008"/>
      <c r="AI2" s="1008"/>
      <c r="AJ2" s="1008"/>
      <c r="AK2" s="1008"/>
      <c r="AL2" s="1008"/>
      <c r="AM2" s="1008"/>
      <c r="AN2" s="1008"/>
      <c r="AO2" s="1008"/>
      <c r="AP2" s="1009"/>
      <c r="AQ2" s="4"/>
    </row>
    <row r="3" spans="1:44" ht="15.75" customHeight="1" thickBot="1">
      <c r="A3" s="30"/>
      <c r="B3" s="40"/>
      <c r="C3" s="41"/>
      <c r="D3" s="41"/>
      <c r="E3" s="41"/>
      <c r="F3" s="192" t="str">
        <f>CONCATENATE(E2,H2)</f>
        <v>00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  <c r="U3" s="41"/>
      <c r="V3" s="41"/>
      <c r="W3" s="30"/>
      <c r="X3" s="40"/>
      <c r="Y3" s="41"/>
      <c r="Z3" s="41"/>
      <c r="AA3" s="33"/>
      <c r="AB3" s="193" t="str">
        <f>CONCATENATE(AA2,AD2)</f>
        <v>00</v>
      </c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2"/>
      <c r="AQ3" s="34"/>
      <c r="AR3" s="34"/>
    </row>
    <row r="4" spans="1:44" ht="15.75" thickBot="1">
      <c r="A4" s="30"/>
      <c r="B4" s="40"/>
      <c r="C4" s="959" t="s">
        <v>81</v>
      </c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0"/>
      <c r="Q4" s="960"/>
      <c r="R4" s="960"/>
      <c r="S4" s="961"/>
      <c r="T4" s="958"/>
      <c r="U4" s="43"/>
      <c r="V4" s="43"/>
      <c r="W4" s="30"/>
      <c r="X4" s="40"/>
      <c r="Y4" s="959" t="s">
        <v>81</v>
      </c>
      <c r="Z4" s="960"/>
      <c r="AA4" s="960"/>
      <c r="AB4" s="960"/>
      <c r="AC4" s="960"/>
      <c r="AD4" s="960"/>
      <c r="AE4" s="960"/>
      <c r="AF4" s="960"/>
      <c r="AG4" s="960"/>
      <c r="AH4" s="960"/>
      <c r="AI4" s="960"/>
      <c r="AJ4" s="960"/>
      <c r="AK4" s="960"/>
      <c r="AL4" s="960"/>
      <c r="AM4" s="960"/>
      <c r="AN4" s="960"/>
      <c r="AO4" s="961"/>
      <c r="AP4" s="958"/>
      <c r="AQ4" s="34"/>
      <c r="AR4" s="34"/>
    </row>
    <row r="5" spans="1:44">
      <c r="A5" s="30"/>
      <c r="B5" s="40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958"/>
      <c r="U5" s="43"/>
      <c r="V5" s="43"/>
      <c r="W5" s="30"/>
      <c r="X5" s="40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958"/>
      <c r="AQ5" s="34"/>
      <c r="AR5" s="34"/>
    </row>
    <row r="6" spans="1:44" ht="15.75" thickBot="1">
      <c r="A6" s="30"/>
      <c r="B6" s="4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1"/>
      <c r="T6" s="42"/>
      <c r="U6" s="41"/>
      <c r="V6" s="41"/>
      <c r="W6" s="30"/>
      <c r="X6" s="40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5"/>
      <c r="AO6" s="41"/>
      <c r="AP6" s="42"/>
      <c r="AQ6" s="34"/>
      <c r="AR6" s="34"/>
    </row>
    <row r="7" spans="1:44" ht="15.75" thickBot="1">
      <c r="A7" s="30"/>
      <c r="B7" s="46" t="s">
        <v>6</v>
      </c>
      <c r="C7" s="47" t="s">
        <v>11</v>
      </c>
      <c r="D7" s="33"/>
      <c r="E7" s="44"/>
      <c r="F7" s="44"/>
      <c r="G7" s="41" t="s">
        <v>5</v>
      </c>
      <c r="H7" s="41"/>
      <c r="I7" s="41" t="s">
        <v>6</v>
      </c>
      <c r="J7" s="47" t="str">
        <f>IF(E2=2,"","C")</f>
        <v>C</v>
      </c>
      <c r="K7" s="33"/>
      <c r="L7" s="44"/>
      <c r="M7" s="44"/>
      <c r="N7" s="41" t="s">
        <v>5</v>
      </c>
      <c r="O7" s="41"/>
      <c r="P7" s="41"/>
      <c r="Q7" s="47" t="s">
        <v>52</v>
      </c>
      <c r="R7" s="44"/>
      <c r="S7" s="44" t="s">
        <v>78</v>
      </c>
      <c r="T7" s="48"/>
      <c r="U7" s="44"/>
      <c r="V7" s="44"/>
      <c r="W7" s="30"/>
      <c r="X7" s="46" t="s">
        <v>6</v>
      </c>
      <c r="Y7" s="47" t="s">
        <v>11</v>
      </c>
      <c r="Z7" s="33"/>
      <c r="AA7" s="44"/>
      <c r="AB7" s="44"/>
      <c r="AC7" s="41" t="s">
        <v>5</v>
      </c>
      <c r="AD7" s="41"/>
      <c r="AE7" s="41" t="s">
        <v>6</v>
      </c>
      <c r="AF7" s="47" t="str">
        <f>IF(AA2=2,"","C")</f>
        <v>C</v>
      </c>
      <c r="AG7" s="33"/>
      <c r="AH7" s="44"/>
      <c r="AI7" s="44"/>
      <c r="AJ7" s="41" t="s">
        <v>5</v>
      </c>
      <c r="AK7" s="41"/>
      <c r="AL7" s="41"/>
      <c r="AM7" s="47" t="s">
        <v>52</v>
      </c>
      <c r="AN7" s="44"/>
      <c r="AO7" s="44" t="s">
        <v>78</v>
      </c>
      <c r="AP7" s="48"/>
      <c r="AQ7" s="34"/>
      <c r="AR7" s="34"/>
    </row>
    <row r="8" spans="1:44" ht="15.75" thickBot="1">
      <c r="A8" s="195">
        <v>25</v>
      </c>
      <c r="B8" s="965"/>
      <c r="C8" s="970" t="str">
        <f>IF(ISNA(MATCH($A$8,Données!$AE$5:$AE$84,0)),"",INDEX(Données!$AC$5:$AC$82,MATCH($A$8,Données!$AE$5:$AE$84,0)))</f>
        <v/>
      </c>
      <c r="D8" s="979"/>
      <c r="E8" s="979"/>
      <c r="F8" s="980"/>
      <c r="G8" s="49">
        <v>1</v>
      </c>
      <c r="H8" s="196">
        <v>27</v>
      </c>
      <c r="I8" s="965"/>
      <c r="J8" s="1016" t="str">
        <f>IF(ISNA(MATCH($H$8,Données!$AE$5:$AE$84,0)),"",INDEX(Données!$AC$5:$AC$82,MATCH($H$8,Données!$AE$5:$AE$84,0)))</f>
        <v/>
      </c>
      <c r="K8" s="1017"/>
      <c r="L8" s="1017"/>
      <c r="M8" s="1018"/>
      <c r="N8" s="49">
        <v>1</v>
      </c>
      <c r="O8" s="41"/>
      <c r="P8" s="44"/>
      <c r="Q8" s="973" t="str">
        <f>IF(E2+E3=4,0,IF(E2+E3=3,0,IF(ISNA(MATCH($P$8,Données!$AE$5:$AE$85,0)),"",INDEX(Données!$AC$5:$AC$83,MATCH($P$8,Données!$AE$5:$AE$85,0)))))</f>
        <v/>
      </c>
      <c r="R8" s="974"/>
      <c r="S8" s="975"/>
      <c r="T8" s="50"/>
      <c r="U8" s="44"/>
      <c r="V8" s="44"/>
      <c r="W8" s="141">
        <v>29</v>
      </c>
      <c r="X8" s="965"/>
      <c r="Y8" s="970" t="str">
        <f>IF(ISNA(MATCH($W$8,Données!$AE$5:$AE$84,0)),"",INDEX(Données!$AC$5:$AC$82,MATCH($W$8,Données!$AE$5:$AE$84,0)))</f>
        <v/>
      </c>
      <c r="Z8" s="979"/>
      <c r="AA8" s="979"/>
      <c r="AB8" s="980"/>
      <c r="AC8" s="49">
        <v>1</v>
      </c>
      <c r="AD8" s="196">
        <v>31</v>
      </c>
      <c r="AE8" s="965"/>
      <c r="AF8" s="970" t="str">
        <f>IF(ISNA(MATCH($AD$8,Données!$AE$5:$AE$84,0)),"",INDEX(Données!$AC$5:$AC$82,MATCH($AD$8,Données!$AE$5:$AE$84,0)))</f>
        <v/>
      </c>
      <c r="AG8" s="979"/>
      <c r="AH8" s="979"/>
      <c r="AI8" s="980"/>
      <c r="AJ8" s="49">
        <v>1</v>
      </c>
      <c r="AK8" s="41"/>
      <c r="AL8" s="44"/>
      <c r="AM8" s="973" t="str">
        <f>IF($AA$2+$AA$3=4,0,IF($AA$2+$AA$3=3,0,IF(ISNA(MATCH($AL$8,Données!$AE$5:$AE$85,0)),"",INDEX(Données!$AC$5:$AC$83,MATCH($AL$8,Données!$AE$5:$AE$85,0)))))</f>
        <v/>
      </c>
      <c r="AN8" s="974"/>
      <c r="AO8" s="975"/>
      <c r="AP8" s="50"/>
      <c r="AQ8" s="34"/>
      <c r="AR8" s="34"/>
    </row>
    <row r="9" spans="1:44" ht="15.75" thickBot="1">
      <c r="A9" s="195">
        <v>26</v>
      </c>
      <c r="B9" s="966"/>
      <c r="C9" s="976" t="str">
        <f>IF(ISNA(MATCH($A$9,Données!$AE$5:$AE$84,0)),"",INDEX(Données!$AC$5:$AC$82,MATCH($A$9,Données!$AE$5:$AE$84,0)))</f>
        <v/>
      </c>
      <c r="D9" s="981"/>
      <c r="E9" s="981"/>
      <c r="F9" s="982"/>
      <c r="G9" s="73">
        <v>0</v>
      </c>
      <c r="H9" s="196">
        <v>28</v>
      </c>
      <c r="I9" s="966"/>
      <c r="J9" s="985" t="str">
        <f>IF(ISNA(MATCH($H$9,Données!$AE$5:$AE$84,0)),"0ffice",INDEX(Données!$AC$5:$AC$82,MATCH($H$9,Données!$AE$5:$AE$84,0)))</f>
        <v>0ffice</v>
      </c>
      <c r="K9" s="986"/>
      <c r="L9" s="986"/>
      <c r="M9" s="987"/>
      <c r="N9" s="49">
        <v>0</v>
      </c>
      <c r="O9" s="41"/>
      <c r="P9" s="44"/>
      <c r="R9" s="44"/>
      <c r="S9" s="44"/>
      <c r="T9" s="48"/>
      <c r="U9" s="44"/>
      <c r="V9" s="44"/>
      <c r="W9" s="141">
        <v>30</v>
      </c>
      <c r="X9" s="966"/>
      <c r="Y9" s="976" t="str">
        <f>IF(ISNA(MATCH($W$9,Données!$AE$5:$AE$84,0)),"",INDEX(Données!$AC$5:$AC$82,MATCH($W$9,Données!$AE$5:$AE$84,0)))</f>
        <v/>
      </c>
      <c r="Z9" s="981"/>
      <c r="AA9" s="981"/>
      <c r="AB9" s="982"/>
      <c r="AC9" s="73">
        <v>0</v>
      </c>
      <c r="AD9" s="196">
        <v>32</v>
      </c>
      <c r="AE9" s="966"/>
      <c r="AF9" s="985" t="str">
        <f>IF(ISNA(MATCH($AD$9,Données!$AE$5:$AE$84,0)),"",INDEX(Données!$AC$5:$AC$82,MATCH($AD$9,Données!$AE$5:$AE$84,0)))</f>
        <v/>
      </c>
      <c r="AG9" s="986"/>
      <c r="AH9" s="986"/>
      <c r="AI9" s="987"/>
      <c r="AJ9" s="49">
        <v>0</v>
      </c>
      <c r="AK9" s="41"/>
      <c r="AL9" s="44"/>
      <c r="AN9" s="44"/>
      <c r="AO9" s="44"/>
      <c r="AP9" s="48"/>
      <c r="AQ9" s="34"/>
      <c r="AR9" s="34"/>
    </row>
    <row r="10" spans="1:44" ht="15.75" thickBot="1">
      <c r="A10" s="30"/>
      <c r="B10" s="40"/>
      <c r="C10" s="83" t="s">
        <v>12</v>
      </c>
      <c r="D10" s="33"/>
      <c r="E10" s="44"/>
      <c r="F10" s="44"/>
      <c r="G10" s="44"/>
      <c r="H10" s="44"/>
      <c r="I10" s="44"/>
      <c r="J10" s="47" t="s">
        <v>51</v>
      </c>
      <c r="K10" s="33"/>
      <c r="L10" s="44"/>
      <c r="M10" s="44"/>
      <c r="N10" s="44" t="s">
        <v>146</v>
      </c>
      <c r="O10" s="44"/>
      <c r="P10" s="44"/>
      <c r="Q10" s="44"/>
      <c r="R10" s="44"/>
      <c r="S10" s="44"/>
      <c r="T10" s="48"/>
      <c r="U10" s="44"/>
      <c r="V10" s="44"/>
      <c r="W10" s="30"/>
      <c r="X10" s="40"/>
      <c r="Y10" s="83" t="s">
        <v>12</v>
      </c>
      <c r="Z10" s="33"/>
      <c r="AA10" s="44"/>
      <c r="AB10" s="44"/>
      <c r="AC10" s="44"/>
      <c r="AD10" s="44"/>
      <c r="AE10" s="44"/>
      <c r="AF10" s="47" t="s">
        <v>51</v>
      </c>
      <c r="AG10" s="33"/>
      <c r="AH10" s="44"/>
      <c r="AI10" s="44"/>
      <c r="AJ10" s="44"/>
      <c r="AK10" s="44"/>
      <c r="AL10" s="44"/>
      <c r="AM10" s="44"/>
      <c r="AN10" s="44"/>
      <c r="AO10" s="44"/>
      <c r="AP10" s="48"/>
      <c r="AQ10" s="34"/>
      <c r="AR10" s="34"/>
    </row>
    <row r="11" spans="1:44">
      <c r="A11" s="30"/>
      <c r="B11" s="4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8"/>
      <c r="U11" s="44"/>
      <c r="V11" s="44"/>
      <c r="W11" s="30"/>
      <c r="X11" s="40"/>
      <c r="Y11" s="45"/>
      <c r="Z11" s="45"/>
      <c r="AA11" s="45"/>
      <c r="AB11" s="45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8"/>
      <c r="AQ11" s="34"/>
      <c r="AR11" s="34"/>
    </row>
    <row r="12" spans="1:44">
      <c r="A12" s="30"/>
      <c r="B12" s="4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8"/>
      <c r="U12" s="44"/>
      <c r="V12" s="44"/>
      <c r="W12" s="30"/>
      <c r="X12" s="40"/>
      <c r="Y12" s="45"/>
      <c r="Z12" s="45"/>
      <c r="AA12" s="45"/>
      <c r="AB12" s="45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8"/>
      <c r="AQ12" s="34"/>
      <c r="AR12" s="34"/>
    </row>
    <row r="13" spans="1:44" ht="15.75" thickBot="1">
      <c r="A13" s="30"/>
      <c r="B13" s="46" t="s">
        <v>6</v>
      </c>
      <c r="C13" s="44"/>
      <c r="D13" s="70" t="s">
        <v>77</v>
      </c>
      <c r="E13" s="44"/>
      <c r="F13" s="44"/>
      <c r="G13" s="41" t="s">
        <v>5</v>
      </c>
      <c r="H13" s="41"/>
      <c r="I13" s="44"/>
      <c r="J13" s="44"/>
      <c r="K13" s="44"/>
      <c r="L13" s="44" t="s">
        <v>78</v>
      </c>
      <c r="M13" s="44"/>
      <c r="N13" s="44"/>
      <c r="O13" s="44"/>
      <c r="P13" s="41" t="s">
        <v>6</v>
      </c>
      <c r="Q13" s="44"/>
      <c r="R13" s="70" t="s">
        <v>76</v>
      </c>
      <c r="S13" s="44"/>
      <c r="T13" s="42" t="s">
        <v>5</v>
      </c>
      <c r="U13" s="52"/>
      <c r="V13" s="53"/>
      <c r="W13" s="30"/>
      <c r="X13" s="54" t="s">
        <v>6</v>
      </c>
      <c r="Y13" s="45"/>
      <c r="Z13" s="45" t="s">
        <v>77</v>
      </c>
      <c r="AA13" s="45"/>
      <c r="AB13" s="45"/>
      <c r="AC13" s="41" t="s">
        <v>5</v>
      </c>
      <c r="AD13" s="41"/>
      <c r="AE13" s="44"/>
      <c r="AF13" s="44"/>
      <c r="AG13" s="44"/>
      <c r="AH13" s="44" t="s">
        <v>78</v>
      </c>
      <c r="AI13" s="44"/>
      <c r="AJ13" s="44"/>
      <c r="AK13" s="44"/>
      <c r="AL13" s="41" t="s">
        <v>6</v>
      </c>
      <c r="AM13" s="44"/>
      <c r="AN13" s="44" t="s">
        <v>76</v>
      </c>
      <c r="AO13" s="44"/>
      <c r="AP13" s="42" t="s">
        <v>5</v>
      </c>
      <c r="AQ13" s="53"/>
      <c r="AR13" s="53"/>
    </row>
    <row r="14" spans="1:44" ht="15.75" thickBot="1">
      <c r="A14" s="30"/>
      <c r="B14" s="965"/>
      <c r="C14" s="970" t="str">
        <f>IF($G$8=$G$9,"résultat",IF($G$8&gt;$G$9,$C$9,$C$8))</f>
        <v/>
      </c>
      <c r="D14" s="971"/>
      <c r="E14" s="971"/>
      <c r="F14" s="972"/>
      <c r="G14" s="49">
        <v>1</v>
      </c>
      <c r="H14" s="41"/>
      <c r="I14" s="44"/>
      <c r="J14" s="994" t="str">
        <f>IF(ISTEXT($Q$8),IF(($G$9=$G$8),"résultat",IF(($N$9=$N$8),"résultat",IF(($U$14=2),$C$8,IF(($V$14=2),$C$9,IF(($U$15=2),$J$9,IF(($V$15=2),J8,0)))))))</f>
        <v/>
      </c>
      <c r="K14" s="995"/>
      <c r="L14" s="995"/>
      <c r="M14" s="996"/>
      <c r="N14" s="50"/>
      <c r="O14" s="44"/>
      <c r="P14" s="965"/>
      <c r="Q14" s="967" t="str">
        <f>IF($E$2+$E$3=5,$Q$8,IF($N$8=$N$9,"résultat",IF($N$8&gt;$N$9,$J$8,$J$9)))</f>
        <v/>
      </c>
      <c r="R14" s="968"/>
      <c r="S14" s="969"/>
      <c r="T14" s="49">
        <v>1</v>
      </c>
      <c r="U14" s="56">
        <f>IF(G8&gt;G9,1)+IF(N8&gt;N9,1)</f>
        <v>2</v>
      </c>
      <c r="V14" s="57">
        <f>IF(G9&gt;G8,1)+IF(N9&gt;N8,1)</f>
        <v>0</v>
      </c>
      <c r="W14" s="30"/>
      <c r="X14" s="965"/>
      <c r="Y14" s="1015" t="str">
        <f>IF($AC$8=$AC$9,"résultat",IF($AC$8&gt;$AC$9,$Y$9,$Y$8))</f>
        <v/>
      </c>
      <c r="Z14" s="971"/>
      <c r="AA14" s="971"/>
      <c r="AB14" s="972"/>
      <c r="AC14" s="49">
        <v>1</v>
      </c>
      <c r="AD14" s="41"/>
      <c r="AE14" s="44"/>
      <c r="AF14" s="997" t="str">
        <f>IF(ISTEXT($AM$8),IF(($AC$9=$AC$8),"résultat",IF(($AJ$9=$AJ$8),"résultat",IF(($AQ$14=2),$Y$8,IF(($AR$14=2),$Y$9,IF(($AQ$15=2),$AF$9,IF(($AR$15=2),$AF$8,0)))))))</f>
        <v/>
      </c>
      <c r="AG14" s="995"/>
      <c r="AH14" s="995"/>
      <c r="AI14" s="996"/>
      <c r="AJ14" s="55"/>
      <c r="AK14" s="44"/>
      <c r="AL14" s="965"/>
      <c r="AM14" s="967" t="str">
        <f>IF($AA$2+$AA$3=5,$AM$8,IF($AJ$8&gt;$AJ$9,$AF$8,$AF$9))</f>
        <v/>
      </c>
      <c r="AN14" s="968"/>
      <c r="AO14" s="969"/>
      <c r="AP14" s="49">
        <v>1</v>
      </c>
      <c r="AQ14" s="56">
        <f>IF(AC8&gt;AC9,1)+IF(AJ8&gt;AJ9,1)</f>
        <v>2</v>
      </c>
      <c r="AR14" s="57">
        <f>IF(AC9&gt;AC8,1)+IF(AJ9&gt;AJ8,1)</f>
        <v>0</v>
      </c>
    </row>
    <row r="15" spans="1:44" ht="15.75" thickBot="1">
      <c r="A15" s="30"/>
      <c r="B15" s="966"/>
      <c r="C15" s="962" t="str">
        <f>IF($N$8=$N$9,"résultat",IF($N$8&lt;$N$9,$J$8,$J$9))</f>
        <v>0ffice</v>
      </c>
      <c r="D15" s="963"/>
      <c r="E15" s="963"/>
      <c r="F15" s="964"/>
      <c r="G15" s="58">
        <v>0</v>
      </c>
      <c r="H15" s="41"/>
      <c r="I15" s="44"/>
      <c r="J15" s="59" t="str">
        <f>IF(ISTEXT(J14)," ",0)</f>
        <v xml:space="preserve"> </v>
      </c>
      <c r="K15" s="44"/>
      <c r="L15" s="44"/>
      <c r="M15" s="44"/>
      <c r="N15" s="44"/>
      <c r="O15" s="44"/>
      <c r="P15" s="966"/>
      <c r="Q15" s="96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963"/>
      <c r="S15" s="964"/>
      <c r="T15" s="73">
        <v>0</v>
      </c>
      <c r="U15" s="60">
        <f>IF(G8&gt;G9,1)+IF(N9&gt;N8,1)</f>
        <v>1</v>
      </c>
      <c r="V15" s="61">
        <f>IF(G9&gt;G8,1)+IF(N8&gt;N9,1)</f>
        <v>1</v>
      </c>
      <c r="W15" s="30"/>
      <c r="X15" s="966"/>
      <c r="Y15" s="962" t="str">
        <f>IF($AJ$8=$AJ$9,"résultat",IF($AJ$8&lt;$AJ$9,$AF$8,$AF$9))</f>
        <v/>
      </c>
      <c r="Z15" s="963"/>
      <c r="AA15" s="963"/>
      <c r="AB15" s="964"/>
      <c r="AC15" s="49">
        <v>0</v>
      </c>
      <c r="AD15" s="41"/>
      <c r="AE15" s="44"/>
      <c r="AF15" s="44"/>
      <c r="AG15" s="44"/>
      <c r="AH15" s="44"/>
      <c r="AI15" s="44"/>
      <c r="AJ15" s="44"/>
      <c r="AK15" s="44"/>
      <c r="AL15" s="966"/>
      <c r="AM15" s="96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963"/>
      <c r="AO15" s="964"/>
      <c r="AP15" s="72">
        <v>0</v>
      </c>
      <c r="AQ15" s="60">
        <f>IF(AC8&gt;AC9,1)+IF(AJ9&gt;AJ8,1)</f>
        <v>1</v>
      </c>
      <c r="AR15" s="61">
        <f>IF(AC9&gt;AC8,1)+IF(AJ8&gt;AJ9,1)</f>
        <v>1</v>
      </c>
    </row>
    <row r="16" spans="1:44">
      <c r="A16" s="30"/>
      <c r="B16" s="4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62"/>
      <c r="Q16" s="44"/>
      <c r="R16" s="44"/>
      <c r="S16" s="44"/>
      <c r="T16" s="48"/>
      <c r="U16" s="44"/>
      <c r="V16" s="44"/>
      <c r="W16" s="30"/>
      <c r="X16" s="40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8"/>
      <c r="AQ16" s="34"/>
      <c r="AR16" s="34"/>
    </row>
    <row r="17" spans="1:44">
      <c r="A17" s="30"/>
      <c r="B17" s="4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8"/>
      <c r="U17" s="44"/>
      <c r="V17" s="44"/>
      <c r="W17" s="30"/>
      <c r="X17" s="40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8"/>
      <c r="AQ17" s="34"/>
      <c r="AR17" s="34"/>
    </row>
    <row r="18" spans="1:44">
      <c r="A18" s="30"/>
      <c r="B18" s="40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6"/>
      <c r="T18" s="48"/>
      <c r="U18" s="44"/>
      <c r="V18" s="44"/>
      <c r="W18" s="30"/>
      <c r="X18" s="40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8"/>
      <c r="AQ18" s="34"/>
      <c r="AR18" s="34"/>
    </row>
    <row r="19" spans="1:44" ht="15.75" thickBot="1">
      <c r="A19" s="30"/>
      <c r="B19" s="40"/>
      <c r="C19" s="44"/>
      <c r="D19" s="44"/>
      <c r="E19" s="41" t="s">
        <v>6</v>
      </c>
      <c r="F19" s="44"/>
      <c r="G19" s="44"/>
      <c r="H19" s="44"/>
      <c r="I19" s="44"/>
      <c r="J19" s="41" t="s">
        <v>5</v>
      </c>
      <c r="K19" s="41"/>
      <c r="L19" s="41" t="s">
        <v>6</v>
      </c>
      <c r="M19" s="44"/>
      <c r="N19" s="44"/>
      <c r="O19" s="44"/>
      <c r="P19" s="44"/>
      <c r="Q19" s="41" t="s">
        <v>5</v>
      </c>
      <c r="R19" s="44"/>
      <c r="S19" s="44"/>
      <c r="T19" s="48"/>
      <c r="U19" s="63"/>
      <c r="V19" s="44"/>
      <c r="W19" s="30"/>
      <c r="X19" s="40"/>
      <c r="Y19" s="44"/>
      <c r="Z19" s="44"/>
      <c r="AA19" s="41" t="s">
        <v>6</v>
      </c>
      <c r="AB19" s="44"/>
      <c r="AC19" s="44"/>
      <c r="AD19" s="44"/>
      <c r="AE19" s="44"/>
      <c r="AF19" s="41" t="s">
        <v>5</v>
      </c>
      <c r="AG19" s="41"/>
      <c r="AH19" s="41" t="s">
        <v>6</v>
      </c>
      <c r="AI19" s="44"/>
      <c r="AJ19" s="44"/>
      <c r="AK19" s="44"/>
      <c r="AL19" s="44"/>
      <c r="AM19" s="41" t="s">
        <v>5</v>
      </c>
      <c r="AN19" s="44"/>
      <c r="AO19" s="44"/>
      <c r="AP19" s="48"/>
      <c r="AQ19" s="34"/>
      <c r="AR19" s="34"/>
    </row>
    <row r="20" spans="1:44" ht="15.75" thickBot="1">
      <c r="A20" s="30"/>
      <c r="B20" s="40"/>
      <c r="C20" s="44"/>
      <c r="D20" s="44"/>
      <c r="E20" s="965"/>
      <c r="F20" s="976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977"/>
      <c r="H20" s="977"/>
      <c r="I20" s="978"/>
      <c r="J20" s="49">
        <v>1</v>
      </c>
      <c r="K20" s="41"/>
      <c r="L20" s="965" t="s">
        <v>13</v>
      </c>
      <c r="M20" s="991" t="b">
        <f>IF($E$2+$E$3=5,$J$14)</f>
        <v>0</v>
      </c>
      <c r="N20" s="992"/>
      <c r="O20" s="992"/>
      <c r="P20" s="993"/>
      <c r="Q20" s="49">
        <v>1</v>
      </c>
      <c r="R20" s="44"/>
      <c r="S20" s="44"/>
      <c r="T20" s="48"/>
      <c r="U20" s="44"/>
      <c r="V20" s="44"/>
      <c r="W20" s="30"/>
      <c r="X20" s="40"/>
      <c r="Y20" s="44"/>
      <c r="Z20" s="44"/>
      <c r="AA20" s="965"/>
      <c r="AB20" s="976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977"/>
      <c r="AD20" s="977"/>
      <c r="AE20" s="978"/>
      <c r="AF20" s="49">
        <v>1</v>
      </c>
      <c r="AG20" s="41"/>
      <c r="AH20" s="965" t="s">
        <v>13</v>
      </c>
      <c r="AI20" s="991" t="b">
        <f>IF($AA$2+$AA$3=5,$AF$14)</f>
        <v>0</v>
      </c>
      <c r="AJ20" s="992"/>
      <c r="AK20" s="992"/>
      <c r="AL20" s="993"/>
      <c r="AM20" s="49">
        <v>1</v>
      </c>
      <c r="AN20" s="44"/>
      <c r="AO20" s="44"/>
      <c r="AP20" s="48"/>
      <c r="AQ20" s="34"/>
      <c r="AR20" s="34"/>
    </row>
    <row r="21" spans="1:44" ht="15.75" thickBot="1">
      <c r="A21" s="30"/>
      <c r="B21" s="40"/>
      <c r="C21" s="44"/>
      <c r="D21" s="44"/>
      <c r="E21" s="966"/>
      <c r="F21" s="976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981"/>
      <c r="H21" s="981"/>
      <c r="I21" s="982"/>
      <c r="J21" s="49">
        <v>0</v>
      </c>
      <c r="K21" s="41"/>
      <c r="L21" s="966"/>
      <c r="M21" s="976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981"/>
      <c r="O21" s="981"/>
      <c r="P21" s="982"/>
      <c r="Q21" s="49">
        <v>0</v>
      </c>
      <c r="R21" s="44"/>
      <c r="S21" s="63"/>
      <c r="T21" s="48"/>
      <c r="U21" s="44"/>
      <c r="V21" s="36"/>
      <c r="W21" s="30"/>
      <c r="X21" s="40"/>
      <c r="Y21" s="44"/>
      <c r="Z21" s="44"/>
      <c r="AA21" s="966"/>
      <c r="AB21" s="976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981"/>
      <c r="AD21" s="981"/>
      <c r="AE21" s="982"/>
      <c r="AF21" s="49">
        <v>0</v>
      </c>
      <c r="AG21" s="41"/>
      <c r="AH21" s="966"/>
      <c r="AI21" s="976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981"/>
      <c r="AK21" s="981"/>
      <c r="AL21" s="982"/>
      <c r="AM21" s="49">
        <v>0</v>
      </c>
      <c r="AN21" s="44"/>
      <c r="AO21" s="44"/>
      <c r="AP21" s="48"/>
      <c r="AQ21" s="34"/>
      <c r="AR21" s="34"/>
    </row>
    <row r="22" spans="1:44">
      <c r="A22" s="30"/>
      <c r="B22" s="40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8"/>
      <c r="U22" s="44"/>
      <c r="V22" s="44"/>
      <c r="W22" s="30"/>
      <c r="X22" s="40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8"/>
      <c r="AQ22" s="34"/>
      <c r="AR22" s="34"/>
    </row>
    <row r="23" spans="1:44">
      <c r="A23" s="30"/>
      <c r="B23" s="4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8"/>
      <c r="U23" s="44"/>
      <c r="V23" s="44"/>
      <c r="W23" s="30"/>
      <c r="X23" s="40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8"/>
      <c r="AQ23" s="34"/>
      <c r="AR23" s="34"/>
    </row>
    <row r="24" spans="1:44" ht="15.75" thickBot="1">
      <c r="A24" s="30"/>
      <c r="B24" s="40"/>
      <c r="C24" s="44"/>
      <c r="D24" s="44"/>
      <c r="E24" s="44"/>
      <c r="F24" s="44"/>
      <c r="G24" s="44"/>
      <c r="H24" s="44"/>
      <c r="I24" s="41" t="s">
        <v>6</v>
      </c>
      <c r="J24" s="44"/>
      <c r="K24" s="44"/>
      <c r="L24" s="44"/>
      <c r="M24" s="44"/>
      <c r="N24" s="41" t="s">
        <v>5</v>
      </c>
      <c r="O24" s="41"/>
      <c r="P24" s="64"/>
      <c r="Q24" s="44"/>
      <c r="R24" s="44"/>
      <c r="S24" s="44"/>
      <c r="T24" s="48"/>
      <c r="U24" s="44"/>
      <c r="V24" s="44"/>
      <c r="W24" s="30"/>
      <c r="X24" s="40"/>
      <c r="Y24" s="44"/>
      <c r="Z24" s="44"/>
      <c r="AA24" s="44"/>
      <c r="AB24" s="44"/>
      <c r="AC24" s="44"/>
      <c r="AD24" s="44"/>
      <c r="AE24" s="41" t="s">
        <v>6</v>
      </c>
      <c r="AF24" s="44"/>
      <c r="AG24" s="44"/>
      <c r="AH24" s="44"/>
      <c r="AI24" s="44"/>
      <c r="AJ24" s="41" t="s">
        <v>5</v>
      </c>
      <c r="AK24" s="41"/>
      <c r="AL24" s="64"/>
      <c r="AM24" s="44"/>
      <c r="AN24" s="44"/>
      <c r="AO24" s="44"/>
      <c r="AP24" s="48"/>
      <c r="AQ24" s="34"/>
      <c r="AR24" s="34"/>
    </row>
    <row r="25" spans="1:44" ht="15.75" thickBot="1">
      <c r="A25" s="30"/>
      <c r="B25" s="40"/>
      <c r="C25" s="44"/>
      <c r="D25" s="44"/>
      <c r="E25" s="44"/>
      <c r="F25" s="44"/>
      <c r="G25" s="44"/>
      <c r="H25" s="44"/>
      <c r="I25" s="965"/>
      <c r="J25" s="1001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002"/>
      <c r="L25" s="1002"/>
      <c r="M25" s="1003"/>
      <c r="N25" s="49">
        <v>1</v>
      </c>
      <c r="O25" s="41"/>
      <c r="P25" s="44"/>
      <c r="Q25" s="44"/>
      <c r="R25" s="44"/>
      <c r="S25" s="44"/>
      <c r="T25" s="48"/>
      <c r="U25" s="44"/>
      <c r="V25" s="44"/>
      <c r="W25" s="30"/>
      <c r="X25" s="40"/>
      <c r="Y25" s="44"/>
      <c r="Z25" s="44"/>
      <c r="AA25" s="44"/>
      <c r="AB25" s="44"/>
      <c r="AC25" s="44"/>
      <c r="AD25" s="44"/>
      <c r="AE25" s="965"/>
      <c r="AF25" s="1001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1002"/>
      <c r="AH25" s="1002"/>
      <c r="AI25" s="1003"/>
      <c r="AJ25" s="49">
        <v>1</v>
      </c>
      <c r="AK25" s="41"/>
      <c r="AL25" s="44"/>
      <c r="AM25" s="44"/>
      <c r="AN25" s="44"/>
      <c r="AO25" s="44"/>
      <c r="AP25" s="48"/>
      <c r="AQ25" s="34"/>
      <c r="AR25" s="34"/>
    </row>
    <row r="26" spans="1:44" ht="15.75" thickBot="1">
      <c r="A26" s="30"/>
      <c r="B26" s="40"/>
      <c r="C26" s="44"/>
      <c r="D26" s="44"/>
      <c r="E26" s="44"/>
      <c r="F26" s="44"/>
      <c r="G26" s="44"/>
      <c r="H26" s="44"/>
      <c r="I26" s="966"/>
      <c r="J26" s="998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999"/>
      <c r="L26" s="999"/>
      <c r="M26" s="1000"/>
      <c r="N26" s="49">
        <v>0</v>
      </c>
      <c r="O26" s="41"/>
      <c r="P26" s="44"/>
      <c r="Q26" s="44"/>
      <c r="R26" s="44"/>
      <c r="S26" s="44"/>
      <c r="T26" s="48"/>
      <c r="U26" s="44"/>
      <c r="V26" s="44"/>
      <c r="W26" s="30"/>
      <c r="X26" s="40"/>
      <c r="Y26" s="44"/>
      <c r="Z26" s="44"/>
      <c r="AA26" s="44"/>
      <c r="AB26" s="44"/>
      <c r="AC26" s="44"/>
      <c r="AD26" s="44"/>
      <c r="AE26" s="966"/>
      <c r="AF26" s="998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999"/>
      <c r="AH26" s="999"/>
      <c r="AI26" s="1000"/>
      <c r="AJ26" s="49">
        <v>0</v>
      </c>
      <c r="AK26" s="41"/>
      <c r="AL26" s="44"/>
      <c r="AM26" s="44"/>
      <c r="AN26" s="44"/>
      <c r="AO26" s="44"/>
      <c r="AP26" s="48"/>
      <c r="AQ26" s="34"/>
      <c r="AR26" s="34"/>
    </row>
    <row r="27" spans="1:44" ht="15.75" thickBot="1">
      <c r="A27" s="30"/>
      <c r="B27" s="40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8"/>
      <c r="U27" s="44"/>
      <c r="V27" s="44"/>
      <c r="W27" s="30"/>
      <c r="X27" s="40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8"/>
      <c r="AQ27" s="34"/>
      <c r="AR27" s="34"/>
    </row>
    <row r="28" spans="1:44" ht="15.75" thickBot="1">
      <c r="A28" s="30"/>
      <c r="B28" s="40"/>
      <c r="D28" s="44"/>
      <c r="E28" s="44"/>
      <c r="F28" s="44"/>
      <c r="G28" s="44"/>
      <c r="H28" s="44"/>
      <c r="I28" s="44"/>
      <c r="J28" s="955" t="s">
        <v>75</v>
      </c>
      <c r="K28" s="956"/>
      <c r="L28" s="956"/>
      <c r="M28" s="957"/>
      <c r="N28" s="44"/>
      <c r="O28" s="44"/>
      <c r="P28" s="63"/>
      <c r="Q28" s="44"/>
      <c r="R28" s="44"/>
      <c r="S28" s="44"/>
      <c r="T28" s="48"/>
      <c r="W28" s="30"/>
      <c r="X28" s="40"/>
      <c r="Z28" s="44"/>
      <c r="AA28" s="44"/>
      <c r="AB28" s="44"/>
      <c r="AC28" s="44"/>
      <c r="AD28" s="44"/>
      <c r="AE28" s="44"/>
      <c r="AF28" s="955" t="s">
        <v>75</v>
      </c>
      <c r="AG28" s="956"/>
      <c r="AH28" s="956"/>
      <c r="AI28" s="957"/>
      <c r="AJ28" s="44"/>
      <c r="AK28" s="44"/>
      <c r="AL28" s="63"/>
      <c r="AM28" s="44"/>
      <c r="AN28" s="44"/>
      <c r="AO28" s="44"/>
      <c r="AP28" s="48"/>
    </row>
    <row r="29" spans="1:44">
      <c r="A29" s="30"/>
      <c r="B29" s="40"/>
      <c r="D29" s="928" t="s">
        <v>0</v>
      </c>
      <c r="E29" s="929"/>
      <c r="F29" s="930"/>
      <c r="G29" s="44"/>
      <c r="H29" s="1025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1026"/>
      <c r="J29" s="1026"/>
      <c r="K29" s="1026"/>
      <c r="L29" s="1026"/>
      <c r="M29" s="1026"/>
      <c r="N29" s="1027"/>
      <c r="O29" s="44"/>
      <c r="P29" s="44"/>
      <c r="Q29" s="44"/>
      <c r="R29" s="44"/>
      <c r="S29" s="44"/>
      <c r="T29" s="48"/>
      <c r="W29" s="30"/>
      <c r="X29" s="40"/>
      <c r="Z29" s="928" t="s">
        <v>0</v>
      </c>
      <c r="AA29" s="929"/>
      <c r="AB29" s="930"/>
      <c r="AC29" s="44"/>
      <c r="AD29" s="1025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1026"/>
      <c r="AF29" s="1026"/>
      <c r="AG29" s="1026"/>
      <c r="AH29" s="1026"/>
      <c r="AI29" s="1026"/>
      <c r="AJ29" s="1027"/>
      <c r="AK29" s="44"/>
      <c r="AL29" s="44"/>
      <c r="AN29" s="44"/>
      <c r="AO29" s="44"/>
      <c r="AP29" s="48"/>
    </row>
    <row r="30" spans="1:44">
      <c r="A30" s="30"/>
      <c r="B30" s="40"/>
      <c r="D30" s="925" t="s">
        <v>1</v>
      </c>
      <c r="E30" s="926"/>
      <c r="F30" s="927"/>
      <c r="G30" s="44"/>
      <c r="H30" s="1031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1032"/>
      <c r="J30" s="1032"/>
      <c r="K30" s="1032"/>
      <c r="L30" s="1032"/>
      <c r="M30" s="1032"/>
      <c r="N30" s="1033"/>
      <c r="O30" s="44"/>
      <c r="P30" s="65"/>
      <c r="Q30" s="65"/>
      <c r="R30" s="65"/>
      <c r="S30" s="65"/>
      <c r="T30" s="48"/>
      <c r="W30" s="30"/>
      <c r="X30" s="40"/>
      <c r="Z30" s="925" t="s">
        <v>1</v>
      </c>
      <c r="AA30" s="926"/>
      <c r="AB30" s="927"/>
      <c r="AC30" s="44"/>
      <c r="AD30" s="1031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1032"/>
      <c r="AF30" s="1032"/>
      <c r="AG30" s="1032"/>
      <c r="AH30" s="1032"/>
      <c r="AI30" s="1032"/>
      <c r="AJ30" s="1033"/>
      <c r="AK30" s="44"/>
      <c r="AL30" s="65"/>
      <c r="AM30" s="65"/>
      <c r="AN30" s="65"/>
      <c r="AO30" s="44"/>
      <c r="AP30" s="48"/>
    </row>
    <row r="31" spans="1:44">
      <c r="A31" s="30"/>
      <c r="B31" s="40"/>
      <c r="D31" s="925" t="s">
        <v>2</v>
      </c>
      <c r="E31" s="926"/>
      <c r="F31" s="927"/>
      <c r="G31" s="44"/>
      <c r="H31" s="1022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1023"/>
      <c r="J31" s="1023"/>
      <c r="K31" s="1023"/>
      <c r="L31" s="1023"/>
      <c r="M31" s="1023"/>
      <c r="N31" s="1024"/>
      <c r="O31" s="44"/>
      <c r="P31" s="44"/>
      <c r="Q31" s="44"/>
      <c r="R31" s="44"/>
      <c r="S31" s="44"/>
      <c r="T31" s="48"/>
      <c r="W31" s="30"/>
      <c r="X31" s="40"/>
      <c r="Z31" s="925" t="s">
        <v>2</v>
      </c>
      <c r="AA31" s="926"/>
      <c r="AB31" s="927"/>
      <c r="AC31" s="44"/>
      <c r="AD31" s="1034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1035"/>
      <c r="AF31" s="1035"/>
      <c r="AG31" s="1035"/>
      <c r="AH31" s="1035"/>
      <c r="AI31" s="1035"/>
      <c r="AJ31" s="1036"/>
      <c r="AK31" s="44"/>
      <c r="AL31" s="44"/>
      <c r="AM31" s="44"/>
      <c r="AN31" s="44"/>
      <c r="AO31" s="44"/>
      <c r="AP31" s="48"/>
    </row>
    <row r="32" spans="1:44">
      <c r="A32" s="30"/>
      <c r="B32" s="40"/>
      <c r="D32" s="925" t="s">
        <v>3</v>
      </c>
      <c r="E32" s="926"/>
      <c r="F32" s="927"/>
      <c r="G32" s="44"/>
      <c r="H32" s="1022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1023"/>
      <c r="J32" s="1023"/>
      <c r="K32" s="1023"/>
      <c r="L32" s="1023"/>
      <c r="M32" s="1023"/>
      <c r="N32" s="1024"/>
      <c r="O32" s="44"/>
      <c r="P32" s="44"/>
      <c r="Q32" s="44"/>
      <c r="R32" s="44"/>
      <c r="S32" s="44"/>
      <c r="T32" s="48"/>
      <c r="W32" s="30"/>
      <c r="X32" s="40"/>
      <c r="Z32" s="925" t="s">
        <v>3</v>
      </c>
      <c r="AA32" s="926"/>
      <c r="AB32" s="927"/>
      <c r="AC32" s="44"/>
      <c r="AD32" s="1022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1023"/>
      <c r="AF32" s="1023"/>
      <c r="AG32" s="1023"/>
      <c r="AH32" s="1023"/>
      <c r="AI32" s="1023"/>
      <c r="AJ32" s="1024"/>
      <c r="AK32" s="44"/>
      <c r="AL32" s="44"/>
      <c r="AM32" s="44"/>
      <c r="AN32" s="44"/>
      <c r="AO32" s="44"/>
      <c r="AP32" s="48"/>
    </row>
    <row r="33" spans="1:44" ht="15.75" thickBot="1">
      <c r="A33" s="30"/>
      <c r="B33" s="40"/>
      <c r="D33" s="931" t="s">
        <v>4</v>
      </c>
      <c r="E33" s="932"/>
      <c r="F33" s="933"/>
      <c r="G33" s="44"/>
      <c r="H33" s="1028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1029"/>
      <c r="J33" s="1029"/>
      <c r="K33" s="1029"/>
      <c r="L33" s="1029"/>
      <c r="M33" s="1029"/>
      <c r="N33" s="1030"/>
      <c r="O33" s="44"/>
      <c r="P33" s="44"/>
      <c r="Q33" s="44"/>
      <c r="R33" s="44"/>
      <c r="S33" s="44"/>
      <c r="T33" s="48"/>
      <c r="W33" s="30"/>
      <c r="X33" s="40"/>
      <c r="Z33" s="931" t="s">
        <v>4</v>
      </c>
      <c r="AA33" s="932"/>
      <c r="AB33" s="933"/>
      <c r="AC33" s="44"/>
      <c r="AD33" s="1028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1029"/>
      <c r="AF33" s="1029"/>
      <c r="AG33" s="1029"/>
      <c r="AH33" s="1029"/>
      <c r="AI33" s="1029"/>
      <c r="AJ33" s="1030"/>
      <c r="AK33" s="44"/>
      <c r="AL33" s="44"/>
      <c r="AM33" s="44"/>
      <c r="AN33" s="44"/>
      <c r="AO33" s="44"/>
      <c r="AP33" s="48"/>
    </row>
    <row r="34" spans="1:44">
      <c r="A34" s="30"/>
      <c r="B34" s="40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44"/>
      <c r="O34" s="44"/>
      <c r="P34" s="44"/>
      <c r="Q34" s="44"/>
      <c r="R34" s="44"/>
      <c r="S34" s="44"/>
      <c r="T34" s="48"/>
      <c r="U34" s="44"/>
      <c r="V34" s="44"/>
      <c r="W34" s="30"/>
      <c r="X34" s="40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44"/>
      <c r="AK34" s="44"/>
      <c r="AL34" s="44"/>
      <c r="AM34" s="44"/>
      <c r="AN34" s="44"/>
      <c r="AO34" s="44"/>
      <c r="AP34" s="48"/>
      <c r="AQ34" s="34"/>
      <c r="AR34" s="34"/>
    </row>
    <row r="35" spans="1:44" ht="15.75" thickBot="1">
      <c r="A35" s="30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68"/>
      <c r="P35" s="68"/>
      <c r="Q35" s="68"/>
      <c r="R35" s="68"/>
      <c r="S35" s="68"/>
      <c r="T35" s="69"/>
      <c r="U35" s="30"/>
      <c r="V35" s="30"/>
      <c r="W35" s="30"/>
      <c r="X35" s="66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9"/>
      <c r="AQ35" s="34"/>
      <c r="AR35" s="34"/>
    </row>
    <row r="36" spans="1:44" ht="15.75" thickBot="1"/>
    <row r="37" spans="1:44" ht="15.75" thickBot="1">
      <c r="M37" s="1004" t="s">
        <v>79</v>
      </c>
      <c r="N37" s="1005"/>
      <c r="O37" s="1006"/>
    </row>
    <row r="39" spans="1:4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9" spans="18:18">
      <c r="R49" t="s">
        <v>169</v>
      </c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AF9:AI9"/>
    <mergeCell ref="B8:B9"/>
    <mergeCell ref="C8:F8"/>
    <mergeCell ref="I8:I9"/>
    <mergeCell ref="J8:M8"/>
    <mergeCell ref="Q8:S8"/>
    <mergeCell ref="C9:F9"/>
    <mergeCell ref="J9:M9"/>
    <mergeCell ref="E20:E21"/>
    <mergeCell ref="F20:I20"/>
    <mergeCell ref="L20:L21"/>
    <mergeCell ref="M20:P20"/>
    <mergeCell ref="Y9:AB9"/>
    <mergeCell ref="AA20:AA21"/>
    <mergeCell ref="AB20:AE20"/>
    <mergeCell ref="Z32:AB32"/>
    <mergeCell ref="AD32:AJ32"/>
    <mergeCell ref="D33:F33"/>
    <mergeCell ref="H33:N33"/>
    <mergeCell ref="Z33:AB33"/>
    <mergeCell ref="AD33:AJ33"/>
    <mergeCell ref="AF28:AI28"/>
    <mergeCell ref="D29:F29"/>
    <mergeCell ref="H29:N29"/>
    <mergeCell ref="Z29:AB29"/>
    <mergeCell ref="AD29:AJ29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M37:O37"/>
    <mergeCell ref="I1:L1"/>
    <mergeCell ref="N1:S1"/>
    <mergeCell ref="B1:D1"/>
    <mergeCell ref="E1:G1"/>
    <mergeCell ref="B2:D2"/>
    <mergeCell ref="F2:G2"/>
    <mergeCell ref="I2:K2"/>
    <mergeCell ref="L2:T2"/>
    <mergeCell ref="J28:M28"/>
    <mergeCell ref="D32:F32"/>
    <mergeCell ref="H32:N32"/>
    <mergeCell ref="B14:B15"/>
    <mergeCell ref="C14:F14"/>
    <mergeCell ref="J14:M14"/>
    <mergeCell ref="P14:P15"/>
  </mergeCells>
  <conditionalFormatting sqref="H32">
    <cfRule type="expression" dxfId="476" priority="201">
      <formula>$H$2=5</formula>
    </cfRule>
    <cfRule type="expression" dxfId="475" priority="202">
      <formula>$H$2=4</formula>
    </cfRule>
    <cfRule type="expression" dxfId="474" priority="203">
      <formula>$H$2=0</formula>
    </cfRule>
  </conditionalFormatting>
  <conditionalFormatting sqref="H29:N29">
    <cfRule type="expression" dxfId="473" priority="198">
      <formula>$H$2=0</formula>
    </cfRule>
    <cfRule type="expression" dxfId="472" priority="199" stopIfTrue="1">
      <formula>(OR(H2="1",H2="2",H2="3"))</formula>
    </cfRule>
  </conditionalFormatting>
  <conditionalFormatting sqref="H30:N30">
    <cfRule type="expression" dxfId="471" priority="197">
      <formula>(OR(H2="2",H2="3"))</formula>
    </cfRule>
  </conditionalFormatting>
  <conditionalFormatting sqref="H31:N31">
    <cfRule type="expression" dxfId="470" priority="196">
      <formula>(H2="3")</formula>
    </cfRule>
  </conditionalFormatting>
  <conditionalFormatting sqref="H32:N33 AD31:AJ33 C14:F15 Q14:S15 F20:I21 M20:P21 J25:M26 AB20:AE21">
    <cfRule type="cellIs" dxfId="469" priority="195" operator="equal">
      <formula>0</formula>
    </cfRule>
  </conditionalFormatting>
  <conditionalFormatting sqref="AD32">
    <cfRule type="expression" dxfId="468" priority="185">
      <formula>$H$2=5</formula>
    </cfRule>
    <cfRule type="expression" dxfId="467" priority="186">
      <formula>$H$2=4</formula>
    </cfRule>
    <cfRule type="expression" dxfId="466" priority="187">
      <formula>$AA$2=0</formula>
    </cfRule>
  </conditionalFormatting>
  <conditionalFormatting sqref="H33 AD33">
    <cfRule type="expression" dxfId="465" priority="226">
      <formula>$AF$2=5</formula>
    </cfRule>
  </conditionalFormatting>
  <conditionalFormatting sqref="AD33">
    <cfRule type="expression" dxfId="464" priority="225">
      <formula>$AA$2=0</formula>
    </cfRule>
  </conditionalFormatting>
  <conditionalFormatting sqref="AD30">
    <cfRule type="expression" dxfId="463" priority="211">
      <formula>$AA$2=0</formula>
    </cfRule>
    <cfRule type="expression" dxfId="462" priority="212">
      <formula>$AF$2=5</formula>
    </cfRule>
    <cfRule type="expression" dxfId="461" priority="213">
      <formula>$AF$2=4</formula>
    </cfRule>
    <cfRule type="expression" dxfId="460" priority="214">
      <formula>$AF$2=3</formula>
    </cfRule>
    <cfRule type="expression" dxfId="459" priority="215">
      <formula>$AF$2=2</formula>
    </cfRule>
  </conditionalFormatting>
  <conditionalFormatting sqref="AD31:AJ31">
    <cfRule type="expression" dxfId="458" priority="207">
      <formula>$AA$2=0</formula>
    </cfRule>
    <cfRule type="expression" dxfId="457" priority="208">
      <formula>$AF$2=5</formula>
    </cfRule>
    <cfRule type="expression" dxfId="456" priority="209">
      <formula>$AF$2=4</formula>
    </cfRule>
    <cfRule type="expression" dxfId="455" priority="210">
      <formula>$AF$2=3</formula>
    </cfRule>
  </conditionalFormatting>
  <conditionalFormatting sqref="AD32:AJ32">
    <cfRule type="expression" dxfId="454" priority="204">
      <formula>$AF$2=5</formula>
    </cfRule>
    <cfRule type="expression" dxfId="453" priority="205">
      <formula>$AA$2=0</formula>
    </cfRule>
    <cfRule type="expression" dxfId="452" priority="206">
      <formula>$AF$2=4</formula>
    </cfRule>
  </conditionalFormatting>
  <conditionalFormatting sqref="AD29:AJ29">
    <cfRule type="expression" dxfId="451" priority="200">
      <formula>$AF$2=1</formula>
    </cfRule>
  </conditionalFormatting>
  <conditionalFormatting sqref="AD29:AJ29">
    <cfRule type="expression" dxfId="450" priority="183">
      <formula>$AA$2=0</formula>
    </cfRule>
    <cfRule type="expression" dxfId="449" priority="184" stopIfTrue="1">
      <formula>(OR(AF2="1",AF2="2",AF2="3"))</formula>
    </cfRule>
  </conditionalFormatting>
  <conditionalFormatting sqref="AD30:AJ30">
    <cfRule type="expression" dxfId="448" priority="182">
      <formula>(OR(AF2="2",AF2="3"))</formula>
    </cfRule>
  </conditionalFormatting>
  <conditionalFormatting sqref="AD31:AJ31">
    <cfRule type="expression" dxfId="447" priority="181">
      <formula>(AF2="3")</formula>
    </cfRule>
  </conditionalFormatting>
  <conditionalFormatting sqref="AD29">
    <cfRule type="expression" dxfId="446" priority="265">
      <formula>$AF$2=2</formula>
    </cfRule>
    <cfRule type="expression" dxfId="445" priority="266">
      <formula>$AF$2=5</formula>
    </cfRule>
    <cfRule type="expression" dxfId="444" priority="267">
      <formula>$AF$2=4</formula>
    </cfRule>
    <cfRule type="expression" dxfId="443" priority="268">
      <formula>$AF$2=3</formula>
    </cfRule>
    <cfRule type="expression" dxfId="442" priority="269">
      <formula>$AA$2=0</formula>
    </cfRule>
  </conditionalFormatting>
  <conditionalFormatting sqref="H33 AD33">
    <cfRule type="expression" dxfId="441" priority="164">
      <formula>$AD$2=5</formula>
    </cfRule>
  </conditionalFormatting>
  <conditionalFormatting sqref="AD33">
    <cfRule type="expression" dxfId="440" priority="163">
      <formula>$AD$2=0</formula>
    </cfRule>
  </conditionalFormatting>
  <conditionalFormatting sqref="AD29">
    <cfRule type="expression" dxfId="439" priority="155">
      <formula>$AD$2=2</formula>
    </cfRule>
    <cfRule type="expression" dxfId="438" priority="156">
      <formula>$AD$2=5</formula>
    </cfRule>
    <cfRule type="expression" dxfId="437" priority="157">
      <formula>$AD$2=4</formula>
    </cfRule>
    <cfRule type="expression" dxfId="436" priority="158">
      <formula>$AD$2=3</formula>
    </cfRule>
    <cfRule type="expression" dxfId="435" priority="159">
      <formula>$H$2=0</formula>
    </cfRule>
  </conditionalFormatting>
  <conditionalFormatting sqref="AD30">
    <cfRule type="expression" dxfId="434" priority="150">
      <formula>$AD$2=0</formula>
    </cfRule>
    <cfRule type="expression" dxfId="433" priority="151">
      <formula>$AD$2=5</formula>
    </cfRule>
    <cfRule type="expression" dxfId="432" priority="152">
      <formula>$AD$2=4</formula>
    </cfRule>
    <cfRule type="expression" dxfId="431" priority="153">
      <formula>$AD$2=3</formula>
    </cfRule>
    <cfRule type="expression" dxfId="430" priority="154">
      <formula>$AD$2=2</formula>
    </cfRule>
  </conditionalFormatting>
  <conditionalFormatting sqref="AD31">
    <cfRule type="expression" dxfId="429" priority="146">
      <formula>$AD$2=0</formula>
    </cfRule>
    <cfRule type="expression" dxfId="428" priority="147">
      <formula>$AD$2=5</formula>
    </cfRule>
    <cfRule type="expression" dxfId="427" priority="148">
      <formula>$AD$2=4</formula>
    </cfRule>
    <cfRule type="expression" dxfId="426" priority="149">
      <formula>$AD$2=3</formula>
    </cfRule>
  </conditionalFormatting>
  <conditionalFormatting sqref="AD32:AJ32">
    <cfRule type="cellIs" dxfId="425" priority="142" operator="equal">
      <formula>0</formula>
    </cfRule>
    <cfRule type="expression" dxfId="424" priority="143">
      <formula>$AD$2=5</formula>
    </cfRule>
    <cfRule type="expression" dxfId="423" priority="144">
      <formula>$AD$2=0</formula>
    </cfRule>
    <cfRule type="expression" dxfId="422" priority="145">
      <formula>$AD$2=4</formula>
    </cfRule>
  </conditionalFormatting>
  <conditionalFormatting sqref="H32 AD32">
    <cfRule type="expression" dxfId="421" priority="141">
      <formula>$H$2=0</formula>
    </cfRule>
  </conditionalFormatting>
  <conditionalFormatting sqref="AD29:AJ29">
    <cfRule type="expression" dxfId="420" priority="140">
      <formula>$AD$2=1</formula>
    </cfRule>
  </conditionalFormatting>
  <conditionalFormatting sqref="H29:N29">
    <cfRule type="expression" dxfId="419" priority="138">
      <formula>$H$2=0</formula>
    </cfRule>
    <cfRule type="expression" dxfId="418" priority="139" stopIfTrue="1">
      <formula>(OR(H2="1",H2="2",H2="3"))</formula>
    </cfRule>
  </conditionalFormatting>
  <conditionalFormatting sqref="H30:N30">
    <cfRule type="expression" dxfId="417" priority="137">
      <formula>(OR(H2="2",H2="3"))</formula>
    </cfRule>
  </conditionalFormatting>
  <conditionalFormatting sqref="H31:N31">
    <cfRule type="cellIs" dxfId="416" priority="135" operator="equal">
      <formula>0</formula>
    </cfRule>
    <cfRule type="expression" dxfId="415" priority="136">
      <formula>(H2="3")</formula>
    </cfRule>
  </conditionalFormatting>
  <conditionalFormatting sqref="AD29:AJ29">
    <cfRule type="expression" dxfId="414" priority="133">
      <formula>$H$2=0</formula>
    </cfRule>
    <cfRule type="expression" dxfId="413" priority="134" stopIfTrue="1">
      <formula>(OR(AD2="1",AD2="2",AD2="3"))</formula>
    </cfRule>
  </conditionalFormatting>
  <conditionalFormatting sqref="AD30:AJ30">
    <cfRule type="expression" dxfId="412" priority="132">
      <formula>(OR(AD2="2",AD2="3"))</formula>
    </cfRule>
  </conditionalFormatting>
  <conditionalFormatting sqref="AD31">
    <cfRule type="expression" dxfId="411" priority="131">
      <formula>(AD2="3")</formula>
    </cfRule>
  </conditionalFormatting>
  <conditionalFormatting sqref="C8:F9 AF8:AF9 AG8:AI8">
    <cfRule type="expression" dxfId="410" priority="68">
      <formula>(OR($E$2=3,$E$2=4,$E$2=5))</formula>
    </cfRule>
  </conditionalFormatting>
  <conditionalFormatting sqref="AF9">
    <cfRule type="cellIs" dxfId="409" priority="8" operator="equal">
      <formula>$E$2=0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>
    <tabColor rgb="FF0070C0"/>
    <pageSetUpPr fitToPage="1"/>
  </sheetPr>
  <dimension ref="A1:AR39"/>
  <sheetViews>
    <sheetView zoomScale="80" zoomScaleNormal="80" workbookViewId="0">
      <selection activeCell="Z42" sqref="Z42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1.42578125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" customWidth="1"/>
    <col min="21" max="21" width="5.7109375" hidden="1" customWidth="1"/>
    <col min="22" max="22" width="5.140625" hidden="1" customWidth="1"/>
    <col min="23" max="23" width="4.42578125" customWidth="1"/>
    <col min="24" max="24" width="11.285156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8.5703125" customWidth="1"/>
    <col min="31" max="31" width="6.28515625" customWidth="1"/>
    <col min="32" max="32" width="4.42578125" customWidth="1"/>
    <col min="33" max="33" width="7" customWidth="1"/>
    <col min="34" max="34" width="6" customWidth="1"/>
    <col min="35" max="35" width="8.7109375" customWidth="1"/>
    <col min="36" max="36" width="6" customWidth="1"/>
    <col min="37" max="37" width="7.7109375" customWidth="1"/>
    <col min="38" max="38" width="5.28515625" customWidth="1"/>
    <col min="39" max="39" width="8" customWidth="1"/>
    <col min="40" max="40" width="6" customWidth="1"/>
    <col min="42" max="42" width="9.42578125" customWidth="1"/>
    <col min="43" max="43" width="6.5703125" hidden="1" customWidth="1"/>
    <col min="44" max="44" width="5.85546875" hidden="1" customWidth="1"/>
  </cols>
  <sheetData>
    <row r="1" spans="1:44" ht="21.75" thickBot="1">
      <c r="A1" s="2"/>
      <c r="B1" s="1007" t="s">
        <v>70</v>
      </c>
      <c r="C1" s="1008"/>
      <c r="D1" s="1008"/>
      <c r="E1" s="1008">
        <f>Données!J1</f>
        <v>0</v>
      </c>
      <c r="F1" s="1008"/>
      <c r="G1" s="1008"/>
      <c r="H1" s="18" t="str">
        <f>Données!$D$3</f>
        <v>F_U18</v>
      </c>
      <c r="I1" s="1008">
        <f>Données!$N$3</f>
        <v>0</v>
      </c>
      <c r="J1" s="1008"/>
      <c r="K1" s="1008"/>
      <c r="L1" s="1008"/>
      <c r="M1" s="19">
        <f>Données!$G$3</f>
        <v>0</v>
      </c>
      <c r="N1" s="1007" t="s">
        <v>20</v>
      </c>
      <c r="O1" s="1008"/>
      <c r="P1" s="1008"/>
      <c r="Q1" s="1008"/>
      <c r="R1" s="1008"/>
      <c r="S1" s="1009"/>
      <c r="T1" s="5">
        <f>+Données!D17</f>
        <v>0</v>
      </c>
      <c r="W1" s="2"/>
      <c r="X1" s="1007" t="s">
        <v>70</v>
      </c>
      <c r="Y1" s="1008"/>
      <c r="Z1" s="1008"/>
      <c r="AA1" s="1008">
        <f>Données!J1</f>
        <v>0</v>
      </c>
      <c r="AB1" s="1008"/>
      <c r="AC1" s="1008"/>
      <c r="AD1" s="18" t="str">
        <f>Données!$D$3</f>
        <v>F_U18</v>
      </c>
      <c r="AE1" s="1008">
        <f>Données!$N$3</f>
        <v>0</v>
      </c>
      <c r="AF1" s="1008"/>
      <c r="AG1" s="1008"/>
      <c r="AH1" s="1008"/>
      <c r="AI1" s="19">
        <f>Données!$G$3</f>
        <v>0</v>
      </c>
      <c r="AJ1" s="1007" t="s">
        <v>20</v>
      </c>
      <c r="AK1" s="1008"/>
      <c r="AL1" s="1008"/>
      <c r="AM1" s="1008"/>
      <c r="AN1" s="1008"/>
      <c r="AO1" s="1009"/>
      <c r="AP1" s="27">
        <f>+Données!D17</f>
        <v>0</v>
      </c>
      <c r="AQ1" s="4"/>
    </row>
    <row r="2" spans="1:44" ht="19.5" customHeight="1" thickBot="1">
      <c r="A2" s="2"/>
      <c r="B2" s="1007" t="s">
        <v>27</v>
      </c>
      <c r="C2" s="1008"/>
      <c r="D2" s="1008"/>
      <c r="E2" s="17">
        <f>Données!M17</f>
        <v>0</v>
      </c>
      <c r="F2" s="1008" t="s">
        <v>16</v>
      </c>
      <c r="G2" s="1008"/>
      <c r="H2" s="7">
        <f>Données!M18</f>
        <v>0</v>
      </c>
      <c r="I2" s="1008" t="s">
        <v>17</v>
      </c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9"/>
      <c r="W2" s="2"/>
      <c r="X2" s="1007" t="s">
        <v>28</v>
      </c>
      <c r="Y2" s="1008"/>
      <c r="Z2" s="1008"/>
      <c r="AA2" s="6">
        <f>Données!N17</f>
        <v>0</v>
      </c>
      <c r="AB2" s="1008" t="s">
        <v>16</v>
      </c>
      <c r="AC2" s="1008"/>
      <c r="AD2" s="7">
        <f>Données!N18</f>
        <v>0</v>
      </c>
      <c r="AE2" s="1008" t="s">
        <v>17</v>
      </c>
      <c r="AF2" s="1008"/>
      <c r="AG2" s="1008"/>
      <c r="AH2" s="1008"/>
      <c r="AI2" s="1008"/>
      <c r="AJ2" s="1008"/>
      <c r="AK2" s="1008"/>
      <c r="AL2" s="1008"/>
      <c r="AM2" s="1008"/>
      <c r="AN2" s="1008"/>
      <c r="AO2" s="1008"/>
      <c r="AP2" s="1009"/>
      <c r="AQ2" s="4"/>
    </row>
    <row r="3" spans="1:44" ht="15.75" customHeight="1" thickBot="1">
      <c r="A3" s="30"/>
      <c r="B3" s="40"/>
      <c r="C3" s="41"/>
      <c r="D3" s="41"/>
      <c r="E3" s="41"/>
      <c r="F3" s="192" t="str">
        <f>CONCATENATE(E2,H2)</f>
        <v>00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  <c r="U3" s="41"/>
      <c r="V3" s="41"/>
      <c r="W3" s="30"/>
      <c r="X3" s="40"/>
      <c r="Y3" s="41"/>
      <c r="Z3" s="41"/>
      <c r="AA3" s="33"/>
      <c r="AB3" s="193" t="str">
        <f>CONCATENATE(AA2,AD2)</f>
        <v>00</v>
      </c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2"/>
      <c r="AQ3" s="34"/>
      <c r="AR3" s="34"/>
    </row>
    <row r="4" spans="1:44" ht="15.75" thickBot="1">
      <c r="A4" s="30"/>
      <c r="B4" s="40"/>
      <c r="C4" s="959" t="s">
        <v>81</v>
      </c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0"/>
      <c r="Q4" s="960"/>
      <c r="R4" s="960"/>
      <c r="S4" s="961"/>
      <c r="T4" s="958"/>
      <c r="U4" s="43"/>
      <c r="V4" s="43"/>
      <c r="W4" s="30"/>
      <c r="X4" s="40"/>
      <c r="Y4" s="959" t="s">
        <v>81</v>
      </c>
      <c r="Z4" s="960"/>
      <c r="AA4" s="960"/>
      <c r="AB4" s="960"/>
      <c r="AC4" s="960"/>
      <c r="AD4" s="960"/>
      <c r="AE4" s="960"/>
      <c r="AF4" s="960"/>
      <c r="AG4" s="960"/>
      <c r="AH4" s="960"/>
      <c r="AI4" s="960"/>
      <c r="AJ4" s="960"/>
      <c r="AK4" s="960"/>
      <c r="AL4" s="960"/>
      <c r="AM4" s="960"/>
      <c r="AN4" s="960"/>
      <c r="AO4" s="961"/>
      <c r="AP4" s="958"/>
      <c r="AQ4" s="34"/>
      <c r="AR4" s="34"/>
    </row>
    <row r="5" spans="1:44">
      <c r="A5" s="30"/>
      <c r="B5" s="40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958"/>
      <c r="U5" s="43"/>
      <c r="V5" s="43"/>
      <c r="W5" s="30"/>
      <c r="X5" s="40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958"/>
      <c r="AQ5" s="34"/>
      <c r="AR5" s="34"/>
    </row>
    <row r="6" spans="1:44" ht="15.75" thickBot="1">
      <c r="A6" s="30"/>
      <c r="B6" s="4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1"/>
      <c r="T6" s="42"/>
      <c r="U6" s="41"/>
      <c r="V6" s="41"/>
      <c r="W6" s="30"/>
      <c r="X6" s="40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5"/>
      <c r="AO6" s="41"/>
      <c r="AP6" s="42"/>
      <c r="AQ6" s="34"/>
      <c r="AR6" s="34"/>
    </row>
    <row r="7" spans="1:44" ht="15.75" thickBot="1">
      <c r="A7" s="30"/>
      <c r="B7" s="46" t="s">
        <v>6</v>
      </c>
      <c r="C7" s="47" t="s">
        <v>11</v>
      </c>
      <c r="D7" s="33"/>
      <c r="E7" s="44"/>
      <c r="F7" s="44"/>
      <c r="G7" s="41" t="s">
        <v>5</v>
      </c>
      <c r="H7" s="41"/>
      <c r="I7" s="41" t="s">
        <v>6</v>
      </c>
      <c r="J7" s="47" t="str">
        <f>IF(E2=2,"","C")</f>
        <v>C</v>
      </c>
      <c r="K7" s="33"/>
      <c r="L7" s="44"/>
      <c r="M7" s="44"/>
      <c r="N7" s="41" t="s">
        <v>5</v>
      </c>
      <c r="O7" s="41"/>
      <c r="P7" s="41"/>
      <c r="Q7" s="47" t="s">
        <v>52</v>
      </c>
      <c r="R7" s="44"/>
      <c r="S7" s="44" t="s">
        <v>78</v>
      </c>
      <c r="T7" s="48"/>
      <c r="U7" s="44"/>
      <c r="V7" s="44"/>
      <c r="W7" s="30"/>
      <c r="X7" s="46" t="s">
        <v>6</v>
      </c>
      <c r="Y7" s="47" t="s">
        <v>11</v>
      </c>
      <c r="Z7" s="33"/>
      <c r="AA7" s="44"/>
      <c r="AB7" s="44"/>
      <c r="AC7" s="41" t="s">
        <v>5</v>
      </c>
      <c r="AD7" s="41"/>
      <c r="AE7" s="41" t="s">
        <v>6</v>
      </c>
      <c r="AF7" s="47" t="str">
        <f>IF(AA2=2,"","C")</f>
        <v>C</v>
      </c>
      <c r="AG7" s="33"/>
      <c r="AH7" s="44"/>
      <c r="AI7" s="44"/>
      <c r="AJ7" s="41" t="s">
        <v>5</v>
      </c>
      <c r="AK7" s="41"/>
      <c r="AL7" s="41"/>
      <c r="AM7" s="47" t="s">
        <v>52</v>
      </c>
      <c r="AN7" s="44"/>
      <c r="AO7" s="44" t="s">
        <v>78</v>
      </c>
      <c r="AP7" s="48"/>
      <c r="AQ7" s="34"/>
      <c r="AR7" s="34"/>
    </row>
    <row r="8" spans="1:44" ht="15.75" thickBot="1">
      <c r="A8" s="195">
        <v>33</v>
      </c>
      <c r="B8" s="965"/>
      <c r="C8" s="970" t="str">
        <f>IF(ISNA(MATCH($A$8,Données!$AE$5:$AE$84,0)),"",INDEX(Données!$AC$5:$AC$82,MATCH($A$8,Données!$AE$5:$AE$84,0)))</f>
        <v/>
      </c>
      <c r="D8" s="979"/>
      <c r="E8" s="979"/>
      <c r="F8" s="980"/>
      <c r="G8" s="49">
        <v>1</v>
      </c>
      <c r="H8" s="196">
        <v>35</v>
      </c>
      <c r="I8" s="965"/>
      <c r="J8" s="1016" t="str">
        <f>IF(ISNA(MATCH($H$8,Données!$AE$5:$AE$84,0)),"",INDEX(Données!$AC$5:$AC$82,MATCH($H$8,Données!$AE$5:$AE$84,0)))</f>
        <v/>
      </c>
      <c r="K8" s="1017"/>
      <c r="L8" s="1017"/>
      <c r="M8" s="1018"/>
      <c r="N8" s="49">
        <v>1</v>
      </c>
      <c r="O8" s="41"/>
      <c r="P8" s="44"/>
      <c r="Q8" s="973" t="str">
        <f>IF(E2+E3=4,0,IF(E2+E3=3,0,IF(ISNA(MATCH($P$8,Données!$AE$5:$AE$85,0)),"",INDEX(Données!$AC$5:$AC$83,MATCH($P$8,Données!$AE$5:$AE$85,0)))))</f>
        <v/>
      </c>
      <c r="R8" s="974"/>
      <c r="S8" s="975"/>
      <c r="T8" s="50"/>
      <c r="U8" s="44"/>
      <c r="V8" s="44"/>
      <c r="W8" s="141">
        <v>37</v>
      </c>
      <c r="X8" s="965"/>
      <c r="Y8" s="970" t="str">
        <f>IF(ISNA(MATCH($W$8,Données!$AE$5:$AE$84,0)),"",INDEX(Données!$AC$5:$AC$82,MATCH($W$8,Données!$AE$5:$AE$84,0)))</f>
        <v/>
      </c>
      <c r="Z8" s="979"/>
      <c r="AA8" s="979"/>
      <c r="AB8" s="980"/>
      <c r="AC8" s="49">
        <v>1</v>
      </c>
      <c r="AD8" s="196">
        <v>39</v>
      </c>
      <c r="AE8" s="965"/>
      <c r="AF8" s="970" t="str">
        <f>IF(ISNA(MATCH($AD$8,Données!$AE$5:$AE$84,0)),"",INDEX(Données!$AC$5:$AC$82,MATCH($AD$8,Données!$AE$5:$AE$84,0)))</f>
        <v/>
      </c>
      <c r="AG8" s="979"/>
      <c r="AH8" s="979"/>
      <c r="AI8" s="980"/>
      <c r="AJ8" s="49">
        <v>1</v>
      </c>
      <c r="AK8" s="41"/>
      <c r="AL8" s="44"/>
      <c r="AM8" s="973" t="str">
        <f>IF($AA$2+$AA$3=4,0,IF($AA$2+$AA$3=3,0,IF(ISNA(MATCH($AL$8,Données!$AE$5:$AE$85,0)),"",INDEX(Données!$AC$5:$AC$843,MATCH($AL$8,Données!$AE$5:$AE$85,0)))))</f>
        <v/>
      </c>
      <c r="AN8" s="974"/>
      <c r="AO8" s="975"/>
      <c r="AP8" s="50"/>
      <c r="AQ8" s="34"/>
      <c r="AR8" s="34"/>
    </row>
    <row r="9" spans="1:44" ht="15.75" thickBot="1">
      <c r="A9" s="195">
        <v>34</v>
      </c>
      <c r="B9" s="966"/>
      <c r="C9" s="976" t="str">
        <f>IF(ISNA(MATCH($A$9,Données!$AE$5:$AE$84,0)),"",INDEX(Données!$AC$5:$AC$82,MATCH($A$9,Données!$AE$5:$AE$84,0)))</f>
        <v/>
      </c>
      <c r="D9" s="981"/>
      <c r="E9" s="981"/>
      <c r="F9" s="982"/>
      <c r="G9" s="73">
        <v>0</v>
      </c>
      <c r="H9" s="196">
        <v>36</v>
      </c>
      <c r="I9" s="966"/>
      <c r="J9" s="976" t="str">
        <f>IF(ISNA(MATCH($H$9,Données!$AE$5:$AE$84,0)),"0ffice",INDEX(Données!$AC$5:$AC$82,MATCH($H$9,Données!$AE$5:$AE$84,0)))</f>
        <v>0ffice</v>
      </c>
      <c r="K9" s="981"/>
      <c r="L9" s="981"/>
      <c r="M9" s="982"/>
      <c r="N9" s="49">
        <v>0</v>
      </c>
      <c r="O9" s="41"/>
      <c r="P9" s="44"/>
      <c r="R9" s="44"/>
      <c r="S9" s="44"/>
      <c r="T9" s="48"/>
      <c r="U9" s="44"/>
      <c r="V9" s="44"/>
      <c r="W9" s="141">
        <v>38</v>
      </c>
      <c r="X9" s="966"/>
      <c r="Y9" s="976" t="str">
        <f>IF(ISNA(MATCH($W$9,Données!$AE$5:$AE$84,0)),"",INDEX(Données!$AC$5:$AC$82,MATCH($W$9,Données!$AE$5:$AE$84,0)))</f>
        <v/>
      </c>
      <c r="Z9" s="981"/>
      <c r="AA9" s="981"/>
      <c r="AB9" s="982"/>
      <c r="AC9" s="73">
        <v>0</v>
      </c>
      <c r="AD9" s="196">
        <v>40</v>
      </c>
      <c r="AE9" s="966"/>
      <c r="AF9" s="976" t="str">
        <f>IF(ISNA(MATCH($AD$9,Données!$AE$5:$AE$84,0)),"",INDEX(Données!$AC$5:$AC$82,MATCH($AD$9,Données!$AE$5:$AE$84,0)))</f>
        <v/>
      </c>
      <c r="AG9" s="981"/>
      <c r="AH9" s="981"/>
      <c r="AI9" s="982"/>
      <c r="AJ9" s="49">
        <v>0</v>
      </c>
      <c r="AK9" s="41"/>
      <c r="AL9" s="44"/>
      <c r="AN9" s="44"/>
      <c r="AO9" s="44"/>
      <c r="AP9" s="48"/>
      <c r="AQ9" s="34"/>
      <c r="AR9" s="34"/>
    </row>
    <row r="10" spans="1:44" ht="15.75" thickBot="1">
      <c r="A10" s="30"/>
      <c r="B10" s="40"/>
      <c r="C10" s="83" t="s">
        <v>12</v>
      </c>
      <c r="D10" s="33"/>
      <c r="E10" s="44"/>
      <c r="F10" s="44"/>
      <c r="G10" s="44"/>
      <c r="H10" s="44"/>
      <c r="I10" s="44"/>
      <c r="J10" s="47" t="s">
        <v>51</v>
      </c>
      <c r="K10" s="33"/>
      <c r="L10" s="44"/>
      <c r="M10" s="44"/>
      <c r="N10" s="44"/>
      <c r="O10" s="44"/>
      <c r="P10" s="44"/>
      <c r="Q10" s="44"/>
      <c r="R10" s="44"/>
      <c r="S10" s="44"/>
      <c r="T10" s="48"/>
      <c r="U10" s="44"/>
      <c r="V10" s="44"/>
      <c r="W10" s="30"/>
      <c r="X10" s="40"/>
      <c r="Y10" s="83" t="s">
        <v>12</v>
      </c>
      <c r="Z10" s="33"/>
      <c r="AA10" s="44"/>
      <c r="AB10" s="44"/>
      <c r="AC10" s="44"/>
      <c r="AD10" s="44"/>
      <c r="AE10" s="44"/>
      <c r="AF10" s="47" t="s">
        <v>51</v>
      </c>
      <c r="AG10" s="33"/>
      <c r="AH10" s="44"/>
      <c r="AI10" s="44"/>
      <c r="AJ10" s="44"/>
      <c r="AK10" s="44"/>
      <c r="AL10" s="44"/>
      <c r="AM10" s="44"/>
      <c r="AN10" s="44"/>
      <c r="AO10" s="44"/>
      <c r="AP10" s="48"/>
      <c r="AQ10" s="34"/>
      <c r="AR10" s="34"/>
    </row>
    <row r="11" spans="1:44">
      <c r="A11" s="30"/>
      <c r="B11" s="4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8"/>
      <c r="U11" s="44"/>
      <c r="V11" s="44"/>
      <c r="W11" s="30"/>
      <c r="X11" s="40"/>
      <c r="Y11" s="45"/>
      <c r="Z11" s="45"/>
      <c r="AA11" s="45"/>
      <c r="AB11" s="45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8"/>
      <c r="AQ11" s="34"/>
      <c r="AR11" s="34"/>
    </row>
    <row r="12" spans="1:44">
      <c r="A12" s="30"/>
      <c r="B12" s="4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8"/>
      <c r="U12" s="44"/>
      <c r="V12" s="44"/>
      <c r="W12" s="30"/>
      <c r="X12" s="40"/>
      <c r="Y12" s="45"/>
      <c r="Z12" s="45"/>
      <c r="AA12" s="45"/>
      <c r="AB12" s="45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8"/>
      <c r="AQ12" s="34"/>
      <c r="AR12" s="34"/>
    </row>
    <row r="13" spans="1:44" ht="15.75" thickBot="1">
      <c r="A13" s="30"/>
      <c r="B13" s="46" t="s">
        <v>6</v>
      </c>
      <c r="C13" s="44"/>
      <c r="D13" s="70" t="s">
        <v>77</v>
      </c>
      <c r="E13" s="44"/>
      <c r="F13" s="44"/>
      <c r="G13" s="41" t="s">
        <v>5</v>
      </c>
      <c r="H13" s="41"/>
      <c r="I13" s="44"/>
      <c r="J13" s="44"/>
      <c r="K13" s="44"/>
      <c r="L13" s="44" t="s">
        <v>78</v>
      </c>
      <c r="M13" s="44"/>
      <c r="N13" s="44"/>
      <c r="O13" s="44"/>
      <c r="P13" s="41" t="s">
        <v>6</v>
      </c>
      <c r="Q13" s="44"/>
      <c r="R13" s="70" t="s">
        <v>76</v>
      </c>
      <c r="S13" s="44"/>
      <c r="T13" s="126" t="s">
        <v>5</v>
      </c>
      <c r="U13" s="52"/>
      <c r="V13" s="53"/>
      <c r="W13" s="30"/>
      <c r="X13" s="54" t="s">
        <v>6</v>
      </c>
      <c r="Y13" s="45"/>
      <c r="Z13" s="45" t="s">
        <v>77</v>
      </c>
      <c r="AA13" s="45"/>
      <c r="AB13" s="45"/>
      <c r="AC13" s="41" t="s">
        <v>5</v>
      </c>
      <c r="AD13" s="41"/>
      <c r="AE13" s="44"/>
      <c r="AF13" s="44"/>
      <c r="AG13" s="44"/>
      <c r="AH13" s="44" t="s">
        <v>78</v>
      </c>
      <c r="AI13" s="44"/>
      <c r="AJ13" s="44"/>
      <c r="AK13" s="44"/>
      <c r="AL13" s="41" t="s">
        <v>6</v>
      </c>
      <c r="AM13" s="44"/>
      <c r="AN13" s="44" t="s">
        <v>76</v>
      </c>
      <c r="AO13" s="44"/>
      <c r="AP13" s="42" t="s">
        <v>5</v>
      </c>
      <c r="AQ13" s="53"/>
      <c r="AR13" s="53"/>
    </row>
    <row r="14" spans="1:44" ht="15.75" thickBot="1">
      <c r="A14" s="30"/>
      <c r="B14" s="965"/>
      <c r="C14" s="970" t="str">
        <f>IF($G$8=$G$9,"résultat",IF($G$8&gt;$G$9,$C$9,$C$8))</f>
        <v/>
      </c>
      <c r="D14" s="971"/>
      <c r="E14" s="971"/>
      <c r="F14" s="972"/>
      <c r="G14" s="49">
        <v>1</v>
      </c>
      <c r="H14" s="41"/>
      <c r="I14" s="44"/>
      <c r="J14" s="994" t="str">
        <f>IF(ISTEXT($Q$8),IF(($G$9=$G$8),"résultat",IF(($N$9=$N$8),"résultat",IF(($U$14=2),$C$8,IF(($V$14=2),$C$9,IF(($U$15=2),$J$9,IF(($V$15=2),J8,0)))))))</f>
        <v/>
      </c>
      <c r="K14" s="995"/>
      <c r="L14" s="995"/>
      <c r="M14" s="996"/>
      <c r="N14" s="50"/>
      <c r="O14" s="44"/>
      <c r="P14" s="965"/>
      <c r="Q14" s="967" t="str">
        <f>IF($E$2+$E$3=5,$Q$8,IF($N$8=$N$9,"résultat",IF($N$8&gt;$N$9,$J$8,$J$9)))</f>
        <v/>
      </c>
      <c r="R14" s="968"/>
      <c r="S14" s="969"/>
      <c r="T14" s="49">
        <v>1</v>
      </c>
      <c r="U14" s="56">
        <f>IF(G8&gt;G9,1)+IF(N8&gt;N9,1)</f>
        <v>2</v>
      </c>
      <c r="V14" s="57">
        <f>IF(G9&gt;G8,1)+IF(N9&gt;N8,1)</f>
        <v>0</v>
      </c>
      <c r="W14" s="30"/>
      <c r="X14" s="965"/>
      <c r="Y14" s="1015" t="str">
        <f>IF($AC$8=$AC$9,"résultat",IF($AC$8&gt;$AC$9,$Y$9,$Y$8))</f>
        <v/>
      </c>
      <c r="Z14" s="971"/>
      <c r="AA14" s="971"/>
      <c r="AB14" s="972"/>
      <c r="AC14" s="49">
        <v>1</v>
      </c>
      <c r="AD14" s="41"/>
      <c r="AE14" s="44"/>
      <c r="AF14" s="997" t="str">
        <f>IF(ISTEXT($AM$8),IF(($AC$9=$AC$8),"résultat",IF(($AJ$9=$AJ$8),"résultat",IF(($AQ$14=2),$Y$8,IF(($AR$14=2),$Y$9,IF(($AQ$15=2),$AF$9,IF(($AR$15=2),$AF$8,0)))))))</f>
        <v/>
      </c>
      <c r="AG14" s="995"/>
      <c r="AH14" s="995"/>
      <c r="AI14" s="996"/>
      <c r="AJ14" s="55"/>
      <c r="AK14" s="44"/>
      <c r="AL14" s="965"/>
      <c r="AM14" s="967" t="str">
        <f>IF($AA$2+$AA$3=5,$AM$8,IF($AJ$8&gt;$AJ$9,$AF$8,$AF$9))</f>
        <v/>
      </c>
      <c r="AN14" s="968"/>
      <c r="AO14" s="969"/>
      <c r="AP14" s="94">
        <v>1</v>
      </c>
      <c r="AQ14" s="56">
        <f>IF(AC8&gt;AC9,1)+IF(AJ8&gt;AJ9,1)</f>
        <v>2</v>
      </c>
      <c r="AR14" s="57">
        <f>IF(AC9&gt;AC8,1)+IF(AJ9&gt;AJ8,1)</f>
        <v>0</v>
      </c>
    </row>
    <row r="15" spans="1:44" ht="15.75" thickBot="1">
      <c r="A15" s="30"/>
      <c r="B15" s="966"/>
      <c r="C15" s="962" t="str">
        <f>IF($N$8=$N$9,"résultat",IF($N$8&lt;$N$9,$J$8,$J$9))</f>
        <v>0ffice</v>
      </c>
      <c r="D15" s="963"/>
      <c r="E15" s="963"/>
      <c r="F15" s="964"/>
      <c r="G15" s="58">
        <v>0</v>
      </c>
      <c r="H15" s="41"/>
      <c r="I15" s="44"/>
      <c r="J15" s="59" t="str">
        <f>IF(ISTEXT(J14)," ",0)</f>
        <v xml:space="preserve"> </v>
      </c>
      <c r="K15" s="44"/>
      <c r="L15" s="44"/>
      <c r="M15" s="44"/>
      <c r="N15" s="44"/>
      <c r="O15" s="44"/>
      <c r="P15" s="966"/>
      <c r="Q15" s="96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963"/>
      <c r="S15" s="964"/>
      <c r="T15" s="125">
        <v>0</v>
      </c>
      <c r="U15" s="60">
        <f>IF(G8&gt;G9,1)+IF(N9&gt;N8,1)</f>
        <v>1</v>
      </c>
      <c r="V15" s="61">
        <f>IF(G9&gt;G8,1)+IF(N8&gt;N9,1)</f>
        <v>1</v>
      </c>
      <c r="W15" s="30"/>
      <c r="X15" s="966"/>
      <c r="Y15" s="962" t="str">
        <f>IF($AJ$8=$AJ$9,"résultat",IF($AJ$8&lt;$AJ$9,$AF$8,$AF$9))</f>
        <v/>
      </c>
      <c r="Z15" s="963"/>
      <c r="AA15" s="963"/>
      <c r="AB15" s="964"/>
      <c r="AC15" s="49">
        <v>0</v>
      </c>
      <c r="AD15" s="41"/>
      <c r="AE15" s="44"/>
      <c r="AF15" s="44"/>
      <c r="AG15" s="44"/>
      <c r="AH15" s="44"/>
      <c r="AI15" s="44"/>
      <c r="AJ15" s="44"/>
      <c r="AK15" s="44"/>
      <c r="AL15" s="966"/>
      <c r="AM15" s="96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963"/>
      <c r="AO15" s="964"/>
      <c r="AP15" s="93">
        <v>0</v>
      </c>
      <c r="AQ15" s="60">
        <f>IF(AC8&gt;AC9,1)+IF(AJ9&gt;AJ8,1)</f>
        <v>1</v>
      </c>
      <c r="AR15" s="61">
        <f>IF(AC9&gt;AC8,1)+IF(AJ8&gt;AJ9,1)</f>
        <v>1</v>
      </c>
    </row>
    <row r="16" spans="1:44">
      <c r="A16" s="30"/>
      <c r="B16" s="4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62"/>
      <c r="Q16" s="44"/>
      <c r="R16" s="44"/>
      <c r="S16" s="44"/>
      <c r="T16" s="48"/>
      <c r="U16" s="44"/>
      <c r="V16" s="44"/>
      <c r="W16" s="30"/>
      <c r="X16" s="40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8"/>
      <c r="AQ16" s="34"/>
      <c r="AR16" s="34"/>
    </row>
    <row r="17" spans="1:44">
      <c r="A17" s="30"/>
      <c r="B17" s="4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8"/>
      <c r="U17" s="44"/>
      <c r="V17" s="44"/>
      <c r="W17" s="30"/>
      <c r="X17" s="40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8"/>
      <c r="AQ17" s="34"/>
      <c r="AR17" s="34"/>
    </row>
    <row r="18" spans="1:44">
      <c r="A18" s="30"/>
      <c r="B18" s="40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6"/>
      <c r="T18" s="48"/>
      <c r="U18" s="44"/>
      <c r="V18" s="44"/>
      <c r="W18" s="30"/>
      <c r="X18" s="40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8"/>
      <c r="AQ18" s="34"/>
      <c r="AR18" s="34"/>
    </row>
    <row r="19" spans="1:44" ht="15.75" thickBot="1">
      <c r="A19" s="30"/>
      <c r="B19" s="40"/>
      <c r="C19" s="44"/>
      <c r="D19" s="44"/>
      <c r="E19" s="41" t="s">
        <v>6</v>
      </c>
      <c r="F19" s="44"/>
      <c r="G19" s="44"/>
      <c r="H19" s="44"/>
      <c r="I19" s="44"/>
      <c r="J19" s="41" t="s">
        <v>5</v>
      </c>
      <c r="K19" s="41"/>
      <c r="L19" s="41" t="s">
        <v>6</v>
      </c>
      <c r="M19" s="44"/>
      <c r="N19" s="44"/>
      <c r="O19" s="44"/>
      <c r="P19" s="44"/>
      <c r="Q19" s="41" t="s">
        <v>5</v>
      </c>
      <c r="R19" s="44"/>
      <c r="S19" s="44"/>
      <c r="T19" s="48"/>
      <c r="U19" s="63"/>
      <c r="V19" s="44"/>
      <c r="W19" s="30"/>
      <c r="X19" s="40"/>
      <c r="Y19" s="44"/>
      <c r="Z19" s="44"/>
      <c r="AA19" s="41" t="s">
        <v>6</v>
      </c>
      <c r="AB19" s="44"/>
      <c r="AC19" s="44"/>
      <c r="AD19" s="44"/>
      <c r="AE19" s="44"/>
      <c r="AF19" s="41" t="s">
        <v>5</v>
      </c>
      <c r="AG19" s="41"/>
      <c r="AH19" s="41" t="s">
        <v>6</v>
      </c>
      <c r="AI19" s="44"/>
      <c r="AJ19" s="44"/>
      <c r="AK19" s="44"/>
      <c r="AL19" s="44"/>
      <c r="AM19" s="41" t="s">
        <v>5</v>
      </c>
      <c r="AN19" s="44"/>
      <c r="AO19" s="44"/>
      <c r="AP19" s="48"/>
      <c r="AQ19" s="34"/>
      <c r="AR19" s="34"/>
    </row>
    <row r="20" spans="1:44" ht="15.75" thickBot="1">
      <c r="A20" s="30"/>
      <c r="B20" s="40"/>
      <c r="C20" s="44"/>
      <c r="D20" s="44"/>
      <c r="E20" s="965"/>
      <c r="F20" s="976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977"/>
      <c r="H20" s="977"/>
      <c r="I20" s="978"/>
      <c r="J20" s="49">
        <v>1</v>
      </c>
      <c r="K20" s="41"/>
      <c r="L20" s="965" t="s">
        <v>13</v>
      </c>
      <c r="M20" s="991" t="b">
        <f>IF($E$2+$E$3=5,$J$14)</f>
        <v>0</v>
      </c>
      <c r="N20" s="992"/>
      <c r="O20" s="992"/>
      <c r="P20" s="993"/>
      <c r="Q20" s="49">
        <v>1</v>
      </c>
      <c r="R20" s="44"/>
      <c r="S20" s="44"/>
      <c r="T20" s="48"/>
      <c r="U20" s="44"/>
      <c r="V20" s="44"/>
      <c r="W20" s="30"/>
      <c r="X20" s="40"/>
      <c r="Y20" s="44"/>
      <c r="Z20" s="44"/>
      <c r="AA20" s="965"/>
      <c r="AB20" s="976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977"/>
      <c r="AD20" s="977"/>
      <c r="AE20" s="978"/>
      <c r="AF20" s="49">
        <v>1</v>
      </c>
      <c r="AG20" s="41"/>
      <c r="AH20" s="965" t="s">
        <v>13</v>
      </c>
      <c r="AI20" s="991" t="b">
        <f>IF($AA$2+$AA$3=5,$AF$14)</f>
        <v>0</v>
      </c>
      <c r="AJ20" s="992"/>
      <c r="AK20" s="992"/>
      <c r="AL20" s="993"/>
      <c r="AM20" s="49">
        <v>1</v>
      </c>
      <c r="AN20" s="44"/>
      <c r="AO20" s="44"/>
      <c r="AP20" s="48"/>
      <c r="AQ20" s="34"/>
      <c r="AR20" s="34"/>
    </row>
    <row r="21" spans="1:44" ht="15.75" thickBot="1">
      <c r="A21" s="30"/>
      <c r="B21" s="40"/>
      <c r="C21" s="44"/>
      <c r="D21" s="44"/>
      <c r="E21" s="966"/>
      <c r="F21" s="976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981"/>
      <c r="H21" s="981"/>
      <c r="I21" s="982"/>
      <c r="J21" s="49">
        <v>0</v>
      </c>
      <c r="K21" s="41"/>
      <c r="L21" s="966"/>
      <c r="M21" s="976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981"/>
      <c r="O21" s="981"/>
      <c r="P21" s="982"/>
      <c r="Q21" s="49">
        <v>0</v>
      </c>
      <c r="R21" s="44"/>
      <c r="S21" s="63"/>
      <c r="T21" s="48"/>
      <c r="U21" s="44"/>
      <c r="V21" s="36"/>
      <c r="W21" s="30"/>
      <c r="X21" s="40"/>
      <c r="Y21" s="44"/>
      <c r="Z21" s="44"/>
      <c r="AA21" s="966"/>
      <c r="AB21" s="976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981"/>
      <c r="AD21" s="981"/>
      <c r="AE21" s="982"/>
      <c r="AF21" s="49">
        <v>0</v>
      </c>
      <c r="AG21" s="41"/>
      <c r="AH21" s="966"/>
      <c r="AI21" s="976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981"/>
      <c r="AK21" s="981"/>
      <c r="AL21" s="982"/>
      <c r="AM21" s="49">
        <v>0</v>
      </c>
      <c r="AN21" s="44"/>
      <c r="AO21" s="44"/>
      <c r="AP21" s="48"/>
      <c r="AQ21" s="34"/>
      <c r="AR21" s="34"/>
    </row>
    <row r="22" spans="1:44">
      <c r="A22" s="30"/>
      <c r="B22" s="40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8"/>
      <c r="U22" s="44"/>
      <c r="V22" s="44"/>
      <c r="W22" s="30"/>
      <c r="X22" s="40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8"/>
      <c r="AQ22" s="34"/>
      <c r="AR22" s="34"/>
    </row>
    <row r="23" spans="1:44">
      <c r="A23" s="30"/>
      <c r="B23" s="4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8"/>
      <c r="U23" s="44"/>
      <c r="V23" s="44"/>
      <c r="W23" s="30"/>
      <c r="X23" s="40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8"/>
      <c r="AQ23" s="34"/>
      <c r="AR23" s="34"/>
    </row>
    <row r="24" spans="1:44" ht="15.75" thickBot="1">
      <c r="A24" s="30"/>
      <c r="B24" s="40"/>
      <c r="C24" s="44"/>
      <c r="D24" s="44"/>
      <c r="E24" s="44"/>
      <c r="F24" s="44"/>
      <c r="G24" s="44"/>
      <c r="H24" s="44"/>
      <c r="I24" s="41" t="s">
        <v>6</v>
      </c>
      <c r="J24" s="44"/>
      <c r="K24" s="44"/>
      <c r="L24" s="44"/>
      <c r="M24" s="44"/>
      <c r="N24" s="41" t="s">
        <v>5</v>
      </c>
      <c r="O24" s="41"/>
      <c r="P24" s="64"/>
      <c r="Q24" s="44"/>
      <c r="R24" s="44"/>
      <c r="S24" s="44"/>
      <c r="T24" s="48"/>
      <c r="U24" s="44"/>
      <c r="V24" s="44"/>
      <c r="W24" s="30"/>
      <c r="X24" s="40"/>
      <c r="Y24" s="44"/>
      <c r="Z24" s="44"/>
      <c r="AA24" s="44"/>
      <c r="AB24" s="44"/>
      <c r="AC24" s="44"/>
      <c r="AD24" s="44"/>
      <c r="AE24" s="41" t="s">
        <v>6</v>
      </c>
      <c r="AF24" s="44"/>
      <c r="AG24" s="44"/>
      <c r="AH24" s="44"/>
      <c r="AI24" s="44"/>
      <c r="AJ24" s="41" t="s">
        <v>5</v>
      </c>
      <c r="AK24" s="41"/>
      <c r="AL24" s="64"/>
      <c r="AM24" s="44"/>
      <c r="AN24" s="44"/>
      <c r="AO24" s="44"/>
      <c r="AP24" s="48"/>
      <c r="AQ24" s="34"/>
      <c r="AR24" s="34"/>
    </row>
    <row r="25" spans="1:44" ht="15.75" thickBot="1">
      <c r="A25" s="30"/>
      <c r="B25" s="40"/>
      <c r="C25" s="44"/>
      <c r="D25" s="44"/>
      <c r="E25" s="44"/>
      <c r="F25" s="44"/>
      <c r="G25" s="44"/>
      <c r="H25" s="44"/>
      <c r="I25" s="965"/>
      <c r="J25" s="1001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002"/>
      <c r="L25" s="1002"/>
      <c r="M25" s="1003"/>
      <c r="N25" s="49">
        <v>1</v>
      </c>
      <c r="O25" s="41"/>
      <c r="P25" s="44"/>
      <c r="Q25" s="44"/>
      <c r="R25" s="44"/>
      <c r="S25" s="44"/>
      <c r="T25" s="48"/>
      <c r="U25" s="44"/>
      <c r="V25" s="44"/>
      <c r="W25" s="30"/>
      <c r="X25" s="40"/>
      <c r="Y25" s="44"/>
      <c r="Z25" s="44"/>
      <c r="AA25" s="44"/>
      <c r="AB25" s="44"/>
      <c r="AC25" s="44"/>
      <c r="AD25" s="44"/>
      <c r="AE25" s="965"/>
      <c r="AF25" s="1001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1002"/>
      <c r="AH25" s="1002"/>
      <c r="AI25" s="1003"/>
      <c r="AJ25" s="49">
        <v>0</v>
      </c>
      <c r="AK25" s="41"/>
      <c r="AL25" s="44"/>
      <c r="AM25" s="44"/>
      <c r="AN25" s="44"/>
      <c r="AO25" s="44"/>
      <c r="AP25" s="48"/>
      <c r="AQ25" s="34"/>
      <c r="AR25" s="34"/>
    </row>
    <row r="26" spans="1:44" ht="15.75" thickBot="1">
      <c r="A26" s="30"/>
      <c r="B26" s="40"/>
      <c r="C26" s="44"/>
      <c r="D26" s="44"/>
      <c r="E26" s="44"/>
      <c r="F26" s="44"/>
      <c r="G26" s="44"/>
      <c r="H26" s="44"/>
      <c r="I26" s="966"/>
      <c r="J26" s="998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999"/>
      <c r="L26" s="999"/>
      <c r="M26" s="1000"/>
      <c r="N26" s="49">
        <v>0</v>
      </c>
      <c r="O26" s="41"/>
      <c r="P26" s="44"/>
      <c r="Q26" s="44"/>
      <c r="R26" s="44"/>
      <c r="S26" s="44"/>
      <c r="T26" s="48"/>
      <c r="U26" s="44"/>
      <c r="V26" s="44"/>
      <c r="W26" s="30"/>
      <c r="X26" s="40"/>
      <c r="Y26" s="44"/>
      <c r="Z26" s="44"/>
      <c r="AA26" s="44"/>
      <c r="AB26" s="44"/>
      <c r="AC26" s="44"/>
      <c r="AD26" s="44"/>
      <c r="AE26" s="966"/>
      <c r="AF26" s="998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999"/>
      <c r="AH26" s="999"/>
      <c r="AI26" s="1000"/>
      <c r="AJ26" s="49">
        <v>0</v>
      </c>
      <c r="AK26" s="41"/>
      <c r="AL26" s="44"/>
      <c r="AM26" s="44"/>
      <c r="AN26" s="44"/>
      <c r="AO26" s="44"/>
      <c r="AP26" s="48"/>
      <c r="AQ26" s="34"/>
      <c r="AR26" s="34"/>
    </row>
    <row r="27" spans="1:44" ht="15.75" thickBot="1">
      <c r="A27" s="30"/>
      <c r="B27" s="40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8"/>
      <c r="U27" s="44"/>
      <c r="V27" s="44"/>
      <c r="W27" s="30"/>
      <c r="X27" s="40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8"/>
      <c r="AQ27" s="34"/>
      <c r="AR27" s="34"/>
    </row>
    <row r="28" spans="1:44" ht="15.75" thickBot="1">
      <c r="A28" s="30"/>
      <c r="B28" s="40"/>
      <c r="D28" s="44"/>
      <c r="E28" s="44"/>
      <c r="F28" s="44"/>
      <c r="G28" s="44"/>
      <c r="H28" s="44"/>
      <c r="I28" s="44"/>
      <c r="J28" s="955" t="s">
        <v>75</v>
      </c>
      <c r="K28" s="956"/>
      <c r="L28" s="956"/>
      <c r="M28" s="957"/>
      <c r="N28" s="44"/>
      <c r="O28" s="44"/>
      <c r="P28" s="63"/>
      <c r="Q28" s="44"/>
      <c r="R28" s="44"/>
      <c r="S28" s="44"/>
      <c r="T28" s="48"/>
      <c r="W28" s="30"/>
      <c r="X28" s="40"/>
      <c r="Z28" s="44"/>
      <c r="AA28" s="44"/>
      <c r="AB28" s="44"/>
      <c r="AC28" s="44"/>
      <c r="AD28" s="44"/>
      <c r="AE28" s="44"/>
      <c r="AF28" s="955" t="s">
        <v>75</v>
      </c>
      <c r="AG28" s="956"/>
      <c r="AH28" s="956"/>
      <c r="AI28" s="957"/>
      <c r="AJ28" s="44"/>
      <c r="AK28" s="44"/>
      <c r="AL28" s="63"/>
      <c r="AM28" s="44"/>
      <c r="AN28" s="44"/>
      <c r="AO28" s="44"/>
      <c r="AP28" s="48"/>
    </row>
    <row r="29" spans="1:44">
      <c r="A29" s="30"/>
      <c r="B29" s="40"/>
      <c r="D29" s="928" t="s">
        <v>0</v>
      </c>
      <c r="E29" s="929"/>
      <c r="F29" s="930"/>
      <c r="G29" s="44"/>
      <c r="H29" s="1025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1026"/>
      <c r="J29" s="1026"/>
      <c r="K29" s="1026"/>
      <c r="L29" s="1026"/>
      <c r="M29" s="1026"/>
      <c r="N29" s="1027"/>
      <c r="O29" s="44"/>
      <c r="P29" s="44"/>
      <c r="Q29" s="44"/>
      <c r="R29" s="44"/>
      <c r="S29" s="44"/>
      <c r="T29" s="48"/>
      <c r="W29" s="30"/>
      <c r="X29" s="40"/>
      <c r="Z29" s="928" t="s">
        <v>0</v>
      </c>
      <c r="AA29" s="929"/>
      <c r="AB29" s="930"/>
      <c r="AC29" s="44"/>
      <c r="AD29" s="1025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1026"/>
      <c r="AF29" s="1026"/>
      <c r="AG29" s="1026"/>
      <c r="AH29" s="1026"/>
      <c r="AI29" s="1026"/>
      <c r="AJ29" s="1027"/>
      <c r="AK29" s="44"/>
      <c r="AL29" s="44"/>
      <c r="AN29" s="44"/>
      <c r="AO29" s="44"/>
      <c r="AP29" s="48"/>
    </row>
    <row r="30" spans="1:44">
      <c r="A30" s="30"/>
      <c r="B30" s="40"/>
      <c r="D30" s="925" t="s">
        <v>1</v>
      </c>
      <c r="E30" s="926"/>
      <c r="F30" s="927"/>
      <c r="G30" s="44"/>
      <c r="H30" s="1031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1032"/>
      <c r="J30" s="1032"/>
      <c r="K30" s="1032"/>
      <c r="L30" s="1032"/>
      <c r="M30" s="1032"/>
      <c r="N30" s="1033"/>
      <c r="O30" s="44"/>
      <c r="P30" s="65"/>
      <c r="Q30" s="65"/>
      <c r="R30" s="65"/>
      <c r="S30" s="65"/>
      <c r="T30" s="48"/>
      <c r="W30" s="30"/>
      <c r="X30" s="40"/>
      <c r="Z30" s="925" t="s">
        <v>1</v>
      </c>
      <c r="AA30" s="926"/>
      <c r="AB30" s="927"/>
      <c r="AC30" s="44"/>
      <c r="AD30" s="1031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1032"/>
      <c r="AF30" s="1032"/>
      <c r="AG30" s="1032"/>
      <c r="AH30" s="1032"/>
      <c r="AI30" s="1032"/>
      <c r="AJ30" s="1033"/>
      <c r="AK30" s="44"/>
      <c r="AL30" s="65"/>
      <c r="AM30" s="65"/>
      <c r="AN30" s="65"/>
      <c r="AO30" s="44"/>
      <c r="AP30" s="48"/>
    </row>
    <row r="31" spans="1:44">
      <c r="A31" s="30"/>
      <c r="B31" s="40"/>
      <c r="D31" s="925" t="s">
        <v>2</v>
      </c>
      <c r="E31" s="926"/>
      <c r="F31" s="927"/>
      <c r="G31" s="44"/>
      <c r="H31" s="1022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1023"/>
      <c r="J31" s="1023"/>
      <c r="K31" s="1023"/>
      <c r="L31" s="1023"/>
      <c r="M31" s="1023"/>
      <c r="N31" s="1024"/>
      <c r="O31" s="44"/>
      <c r="P31" s="44"/>
      <c r="Q31" s="44"/>
      <c r="R31" s="44"/>
      <c r="S31" s="44"/>
      <c r="T31" s="48"/>
      <c r="W31" s="30"/>
      <c r="X31" s="40"/>
      <c r="Z31" s="925" t="s">
        <v>2</v>
      </c>
      <c r="AA31" s="926"/>
      <c r="AB31" s="927"/>
      <c r="AC31" s="44"/>
      <c r="AD31" s="1034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1035"/>
      <c r="AF31" s="1035"/>
      <c r="AG31" s="1035"/>
      <c r="AH31" s="1035"/>
      <c r="AI31" s="1035"/>
      <c r="AJ31" s="1036"/>
      <c r="AK31" s="44"/>
      <c r="AL31" s="44"/>
      <c r="AM31" s="44"/>
      <c r="AN31" s="44"/>
      <c r="AO31" s="44"/>
      <c r="AP31" s="48"/>
    </row>
    <row r="32" spans="1:44">
      <c r="A32" s="30"/>
      <c r="B32" s="40"/>
      <c r="D32" s="925" t="s">
        <v>3</v>
      </c>
      <c r="E32" s="926"/>
      <c r="F32" s="927"/>
      <c r="G32" s="44"/>
      <c r="H32" s="1022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1023"/>
      <c r="J32" s="1023"/>
      <c r="K32" s="1023"/>
      <c r="L32" s="1023"/>
      <c r="M32" s="1023"/>
      <c r="N32" s="1024"/>
      <c r="O32" s="44"/>
      <c r="P32" s="44"/>
      <c r="Q32" s="44"/>
      <c r="R32" s="44"/>
      <c r="S32" s="44"/>
      <c r="T32" s="48"/>
      <c r="W32" s="30"/>
      <c r="X32" s="40"/>
      <c r="Z32" s="925" t="s">
        <v>3</v>
      </c>
      <c r="AA32" s="926"/>
      <c r="AB32" s="927"/>
      <c r="AC32" s="44"/>
      <c r="AD32" s="1022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1023"/>
      <c r="AF32" s="1023"/>
      <c r="AG32" s="1023"/>
      <c r="AH32" s="1023"/>
      <c r="AI32" s="1023"/>
      <c r="AJ32" s="1024"/>
      <c r="AK32" s="44"/>
      <c r="AL32" s="44"/>
      <c r="AM32" s="44"/>
      <c r="AN32" s="44"/>
      <c r="AO32" s="44"/>
      <c r="AP32" s="48"/>
    </row>
    <row r="33" spans="1:44" ht="15.75" thickBot="1">
      <c r="A33" s="30"/>
      <c r="B33" s="40"/>
      <c r="D33" s="931" t="s">
        <v>4</v>
      </c>
      <c r="E33" s="932"/>
      <c r="F33" s="933"/>
      <c r="G33" s="44"/>
      <c r="H33" s="1028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1029"/>
      <c r="J33" s="1029"/>
      <c r="K33" s="1029"/>
      <c r="L33" s="1029"/>
      <c r="M33" s="1029"/>
      <c r="N33" s="1030"/>
      <c r="O33" s="44"/>
      <c r="P33" s="44"/>
      <c r="Q33" s="44"/>
      <c r="R33" s="44"/>
      <c r="S33" s="44"/>
      <c r="T33" s="48"/>
      <c r="W33" s="30"/>
      <c r="X33" s="40"/>
      <c r="Z33" s="931" t="s">
        <v>4</v>
      </c>
      <c r="AA33" s="932"/>
      <c r="AB33" s="933"/>
      <c r="AC33" s="44"/>
      <c r="AD33" s="1028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1029"/>
      <c r="AF33" s="1029"/>
      <c r="AG33" s="1029"/>
      <c r="AH33" s="1029"/>
      <c r="AI33" s="1029"/>
      <c r="AJ33" s="1030"/>
      <c r="AK33" s="44"/>
      <c r="AL33" s="44"/>
      <c r="AM33" s="44"/>
      <c r="AN33" s="44"/>
      <c r="AO33" s="44"/>
      <c r="AP33" s="48"/>
    </row>
    <row r="34" spans="1:44">
      <c r="A34" s="30"/>
      <c r="B34" s="40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44"/>
      <c r="O34" s="44"/>
      <c r="P34" s="44"/>
      <c r="Q34" s="44"/>
      <c r="R34" s="44"/>
      <c r="S34" s="44"/>
      <c r="T34" s="48"/>
      <c r="U34" s="44"/>
      <c r="V34" s="44"/>
      <c r="W34" s="30"/>
      <c r="X34" s="40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44"/>
      <c r="AK34" s="44"/>
      <c r="AL34" s="44"/>
      <c r="AM34" s="44"/>
      <c r="AN34" s="44"/>
      <c r="AO34" s="44"/>
      <c r="AP34" s="48"/>
      <c r="AQ34" s="34"/>
      <c r="AR34" s="34"/>
    </row>
    <row r="35" spans="1:44" ht="15.75" thickBot="1">
      <c r="A35" s="30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68"/>
      <c r="P35" s="68"/>
      <c r="Q35" s="68"/>
      <c r="R35" s="68"/>
      <c r="S35" s="68"/>
      <c r="T35" s="69"/>
      <c r="U35" s="30"/>
      <c r="V35" s="30"/>
      <c r="W35" s="30"/>
      <c r="X35" s="66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9"/>
      <c r="AQ35" s="34"/>
      <c r="AR35" s="34"/>
    </row>
    <row r="36" spans="1:44" ht="15.75" thickBot="1"/>
    <row r="37" spans="1:44" ht="15.75" thickBot="1">
      <c r="M37" s="1004" t="s">
        <v>79</v>
      </c>
      <c r="N37" s="1005"/>
      <c r="O37" s="1006"/>
    </row>
    <row r="39" spans="1:4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AF9:AI9"/>
    <mergeCell ref="B8:B9"/>
    <mergeCell ref="C8:F8"/>
    <mergeCell ref="I8:I9"/>
    <mergeCell ref="J8:M8"/>
    <mergeCell ref="Q8:S8"/>
    <mergeCell ref="C9:F9"/>
    <mergeCell ref="J9:M9"/>
    <mergeCell ref="E20:E21"/>
    <mergeCell ref="F20:I20"/>
    <mergeCell ref="L20:L21"/>
    <mergeCell ref="M20:P20"/>
    <mergeCell ref="Y9:AB9"/>
    <mergeCell ref="AA20:AA21"/>
    <mergeCell ref="AB20:AE20"/>
    <mergeCell ref="Z32:AB32"/>
    <mergeCell ref="AD32:AJ32"/>
    <mergeCell ref="D33:F33"/>
    <mergeCell ref="H33:N33"/>
    <mergeCell ref="Z33:AB33"/>
    <mergeCell ref="AD33:AJ33"/>
    <mergeCell ref="AF28:AI28"/>
    <mergeCell ref="D29:F29"/>
    <mergeCell ref="H29:N29"/>
    <mergeCell ref="Z29:AB29"/>
    <mergeCell ref="AD29:AJ29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M37:O37"/>
    <mergeCell ref="I1:L1"/>
    <mergeCell ref="N1:S1"/>
    <mergeCell ref="B1:D1"/>
    <mergeCell ref="E1:G1"/>
    <mergeCell ref="B2:D2"/>
    <mergeCell ref="F2:G2"/>
    <mergeCell ref="I2:K2"/>
    <mergeCell ref="L2:T2"/>
    <mergeCell ref="J28:M28"/>
    <mergeCell ref="D32:F32"/>
    <mergeCell ref="H32:N32"/>
    <mergeCell ref="B14:B15"/>
    <mergeCell ref="C14:F14"/>
    <mergeCell ref="J14:M14"/>
    <mergeCell ref="P14:P15"/>
  </mergeCells>
  <conditionalFormatting sqref="H32">
    <cfRule type="expression" dxfId="408" priority="293">
      <formula>$H$2=5</formula>
    </cfRule>
    <cfRule type="expression" dxfId="407" priority="294">
      <formula>$H$2=4</formula>
    </cfRule>
    <cfRule type="expression" dxfId="406" priority="295">
      <formula>$H$2=0</formula>
    </cfRule>
  </conditionalFormatting>
  <conditionalFormatting sqref="H29:N29">
    <cfRule type="expression" dxfId="405" priority="290">
      <formula>$H$2=0</formula>
    </cfRule>
    <cfRule type="expression" dxfId="404" priority="291" stopIfTrue="1">
      <formula>(OR(H2="1",H2="2",H2="3"))</formula>
    </cfRule>
  </conditionalFormatting>
  <conditionalFormatting sqref="H30:N30">
    <cfRule type="expression" dxfId="403" priority="289">
      <formula>(OR(H2="2",H2="3"))</formula>
    </cfRule>
  </conditionalFormatting>
  <conditionalFormatting sqref="H31:N31">
    <cfRule type="expression" dxfId="402" priority="288">
      <formula>(H2="3")</formula>
    </cfRule>
  </conditionalFormatting>
  <conditionalFormatting sqref="H32:N33 AF9:AI9 AD33:AJ33">
    <cfRule type="cellIs" dxfId="401" priority="287" operator="equal">
      <formula>0</formula>
    </cfRule>
  </conditionalFormatting>
  <conditionalFormatting sqref="H33">
    <cfRule type="expression" dxfId="400" priority="318">
      <formula>$AF$2=5</formula>
    </cfRule>
  </conditionalFormatting>
  <conditionalFormatting sqref="AD30">
    <cfRule type="expression" dxfId="399" priority="304">
      <formula>$AF$2=5</formula>
    </cfRule>
    <cfRule type="expression" dxfId="398" priority="305">
      <formula>$AF$2=4</formula>
    </cfRule>
    <cfRule type="expression" dxfId="397" priority="306">
      <formula>$AF$2=3</formula>
    </cfRule>
    <cfRule type="expression" dxfId="396" priority="307">
      <formula>$AF$2=2</formula>
    </cfRule>
  </conditionalFormatting>
  <conditionalFormatting sqref="AD29:AJ29">
    <cfRule type="expression" priority="9">
      <formula>(OR(FALSE,"OFFICE"))</formula>
    </cfRule>
    <cfRule type="expression" dxfId="395" priority="292">
      <formula>$AF$2=1</formula>
    </cfRule>
  </conditionalFormatting>
  <conditionalFormatting sqref="AD29:AJ29">
    <cfRule type="expression" dxfId="394" priority="276" stopIfTrue="1">
      <formula>(OR(AF2="1",AF2="2",AF2="3"))</formula>
    </cfRule>
  </conditionalFormatting>
  <conditionalFormatting sqref="AD30:AJ30">
    <cfRule type="expression" dxfId="393" priority="274">
      <formula>(OR(AF2="2",AF2="3"))</formula>
    </cfRule>
  </conditionalFormatting>
  <conditionalFormatting sqref="AD29">
    <cfRule type="expression" dxfId="392" priority="357">
      <formula>$AF$2=2</formula>
    </cfRule>
    <cfRule type="expression" dxfId="391" priority="358">
      <formula>$AF$2=5</formula>
    </cfRule>
    <cfRule type="expression" dxfId="390" priority="359">
      <formula>$AF$2=4</formula>
    </cfRule>
    <cfRule type="expression" dxfId="389" priority="360">
      <formula>$AF$2=3</formula>
    </cfRule>
  </conditionalFormatting>
  <conditionalFormatting sqref="H33">
    <cfRule type="expression" dxfId="388" priority="256">
      <formula>$AD$2=5</formula>
    </cfRule>
  </conditionalFormatting>
  <conditionalFormatting sqref="AD29">
    <cfRule type="expression" dxfId="387" priority="247">
      <formula>$AD$2=2</formula>
    </cfRule>
    <cfRule type="expression" dxfId="386" priority="248">
      <formula>$AD$2=5</formula>
    </cfRule>
    <cfRule type="expression" dxfId="385" priority="249">
      <formula>$AD$2=4</formula>
    </cfRule>
    <cfRule type="expression" dxfId="384" priority="250">
      <formula>$AD$2=3</formula>
    </cfRule>
  </conditionalFormatting>
  <conditionalFormatting sqref="AD30">
    <cfRule type="expression" dxfId="383" priority="243">
      <formula>$AD$2=5</formula>
    </cfRule>
    <cfRule type="expression" dxfId="382" priority="244">
      <formula>$AD$2=4</formula>
    </cfRule>
    <cfRule type="expression" dxfId="381" priority="245">
      <formula>$AD$2=3</formula>
    </cfRule>
    <cfRule type="expression" dxfId="380" priority="246">
      <formula>$AD$2=2</formula>
    </cfRule>
  </conditionalFormatting>
  <conditionalFormatting sqref="AD29:AJ29">
    <cfRule type="expression" dxfId="379" priority="232">
      <formula>$AD$2=1</formula>
    </cfRule>
  </conditionalFormatting>
  <conditionalFormatting sqref="H29:N29">
    <cfRule type="expression" dxfId="378" priority="230">
      <formula>$H$2=0</formula>
    </cfRule>
    <cfRule type="expression" dxfId="377" priority="231" stopIfTrue="1">
      <formula>(OR(H2="1",H2="2",H2="3"))</formula>
    </cfRule>
  </conditionalFormatting>
  <conditionalFormatting sqref="H30:N30">
    <cfRule type="expression" dxfId="376" priority="229">
      <formula>(OR(H2="2",H2="3"))</formula>
    </cfRule>
  </conditionalFormatting>
  <conditionalFormatting sqref="H31:N31">
    <cfRule type="cellIs" dxfId="375" priority="227" operator="equal">
      <formula>0</formula>
    </cfRule>
    <cfRule type="expression" dxfId="374" priority="228">
      <formula>(H2="3")</formula>
    </cfRule>
  </conditionalFormatting>
  <conditionalFormatting sqref="AD29:AJ29">
    <cfRule type="expression" dxfId="373" priority="226" stopIfTrue="1">
      <formula>(OR(AD2="1",AD2="2",AD2="3"))</formula>
    </cfRule>
  </conditionalFormatting>
  <conditionalFormatting sqref="AD30:AJ30">
    <cfRule type="expression" dxfId="372" priority="224">
      <formula>(OR(AD2="2",AD2="3"))</formula>
    </cfRule>
  </conditionalFormatting>
  <conditionalFormatting sqref="C9:F9">
    <cfRule type="cellIs" dxfId="371" priority="138" operator="equal">
      <formula>$E$2=0</formula>
    </cfRule>
  </conditionalFormatting>
  <conditionalFormatting sqref="C8:F9 AF8:AI9">
    <cfRule type="expression" dxfId="370" priority="127">
      <formula>(OR($E$2=3,$E$2=4,$E$2=5))</formula>
    </cfRule>
  </conditionalFormatting>
  <conditionalFormatting sqref="AD31">
    <cfRule type="expression" dxfId="369" priority="8">
      <formula>(OR(AD2="3",AD2="2"))</formula>
    </cfRule>
  </conditionalFormatting>
  <conditionalFormatting sqref="AF25:AI26">
    <cfRule type="cellIs" dxfId="368" priority="6" operator="equal">
      <formula>0</formula>
    </cfRule>
  </conditionalFormatting>
  <conditionalFormatting sqref="AI20:AL21">
    <cfRule type="cellIs" dxfId="367" priority="5" operator="equal">
      <formula>0</formula>
    </cfRule>
  </conditionalFormatting>
  <conditionalFormatting sqref="AB20:AE21">
    <cfRule type="cellIs" dxfId="366" priority="4" operator="equal">
      <formula>0</formula>
    </cfRule>
  </conditionalFormatting>
  <conditionalFormatting sqref="M20:P21">
    <cfRule type="cellIs" dxfId="365" priority="3" operator="equal">
      <formula>0</formula>
    </cfRule>
  </conditionalFormatting>
  <conditionalFormatting sqref="J25:M26">
    <cfRule type="cellIs" dxfId="364" priority="2" operator="equal">
      <formula>0</formula>
    </cfRule>
  </conditionalFormatting>
  <conditionalFormatting sqref="F20:I21">
    <cfRule type="cellIs" dxfId="363" priority="1" operator="equal">
      <formula>0</formula>
    </cfRule>
  </conditionalFormatting>
  <pageMargins left="0.7" right="0.7" top="0.75" bottom="0.75" header="0.3" footer="0.3"/>
  <pageSetup paperSize="9" scale="47" orientation="landscape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>
    <tabColor rgb="FF66FF33"/>
    <pageSetUpPr fitToPage="1"/>
  </sheetPr>
  <dimension ref="A1:AR40"/>
  <sheetViews>
    <sheetView zoomScale="80" zoomScaleNormal="80" workbookViewId="0">
      <selection activeCell="R46" sqref="R46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7.7109375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7.42578125" customWidth="1"/>
    <col min="21" max="21" width="7.28515625" hidden="1" customWidth="1"/>
    <col min="22" max="22" width="5.140625" hidden="1" customWidth="1"/>
    <col min="23" max="23" width="4.85546875" customWidth="1"/>
    <col min="24" max="24" width="8.5703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7.85546875" customWidth="1"/>
    <col min="31" max="31" width="6.28515625" customWidth="1"/>
    <col min="32" max="32" width="4.42578125" customWidth="1"/>
    <col min="33" max="33" width="8.28515625" customWidth="1"/>
    <col min="34" max="34" width="6" customWidth="1"/>
    <col min="35" max="35" width="8.7109375" customWidth="1"/>
    <col min="36" max="36" width="6" customWidth="1"/>
    <col min="37" max="37" width="7.7109375" customWidth="1"/>
    <col min="38" max="38" width="5.28515625" customWidth="1"/>
    <col min="39" max="39" width="10.42578125" customWidth="1"/>
    <col min="40" max="40" width="6" customWidth="1"/>
    <col min="42" max="42" width="8.7109375" customWidth="1"/>
    <col min="43" max="43" width="7.140625" hidden="1" customWidth="1"/>
    <col min="44" max="44" width="8.5703125" hidden="1" customWidth="1"/>
  </cols>
  <sheetData>
    <row r="1" spans="1:44" ht="21.75" thickBot="1">
      <c r="A1" s="2"/>
      <c r="B1" s="1007" t="s">
        <v>70</v>
      </c>
      <c r="C1" s="1008"/>
      <c r="D1" s="1008"/>
      <c r="E1" s="1008">
        <f>Données!J1</f>
        <v>0</v>
      </c>
      <c r="F1" s="1008"/>
      <c r="G1" s="1008"/>
      <c r="H1" s="18" t="str">
        <f>Données!$D$3</f>
        <v>F_U18</v>
      </c>
      <c r="I1" s="1008">
        <f>Données!$N$3</f>
        <v>0</v>
      </c>
      <c r="J1" s="1008"/>
      <c r="K1" s="1008"/>
      <c r="L1" s="1008"/>
      <c r="M1" s="19">
        <f>Données!$G$3</f>
        <v>0</v>
      </c>
      <c r="N1" s="1007" t="s">
        <v>20</v>
      </c>
      <c r="O1" s="1008"/>
      <c r="P1" s="1008"/>
      <c r="Q1" s="1008"/>
      <c r="R1" s="1008"/>
      <c r="S1" s="1009"/>
      <c r="T1" s="5">
        <f>+Données!D17</f>
        <v>0</v>
      </c>
      <c r="W1" s="2"/>
      <c r="X1" s="1007" t="s">
        <v>70</v>
      </c>
      <c r="Y1" s="1008"/>
      <c r="Z1" s="1008"/>
      <c r="AA1" s="1008">
        <f>Données!J1</f>
        <v>0</v>
      </c>
      <c r="AB1" s="1008"/>
      <c r="AC1" s="1008"/>
      <c r="AD1" s="18" t="str">
        <f>Données!$D$3</f>
        <v>F_U18</v>
      </c>
      <c r="AE1" s="1008">
        <f>Données!$N$3</f>
        <v>0</v>
      </c>
      <c r="AF1" s="1008"/>
      <c r="AG1" s="1008"/>
      <c r="AH1" s="1008"/>
      <c r="AI1" s="19">
        <f>Données!$G$3</f>
        <v>0</v>
      </c>
      <c r="AJ1" s="1007" t="s">
        <v>20</v>
      </c>
      <c r="AK1" s="1008"/>
      <c r="AL1" s="1008"/>
      <c r="AM1" s="1008"/>
      <c r="AN1" s="1008"/>
      <c r="AO1" s="1009"/>
      <c r="AP1" s="27">
        <f>+Données!D17</f>
        <v>0</v>
      </c>
      <c r="AQ1" s="4"/>
    </row>
    <row r="2" spans="1:44" ht="19.5" customHeight="1" thickBot="1">
      <c r="A2" s="2"/>
      <c r="B2" s="1007" t="s">
        <v>29</v>
      </c>
      <c r="C2" s="1008"/>
      <c r="D2" s="1008"/>
      <c r="E2" s="17">
        <f>Données!O17</f>
        <v>0</v>
      </c>
      <c r="F2" s="1008" t="s">
        <v>16</v>
      </c>
      <c r="G2" s="1008"/>
      <c r="H2" s="7">
        <f>Données!O18</f>
        <v>0</v>
      </c>
      <c r="I2" s="1008" t="s">
        <v>17</v>
      </c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9"/>
      <c r="W2" s="2"/>
      <c r="X2" s="1007" t="s">
        <v>30</v>
      </c>
      <c r="Y2" s="1008"/>
      <c r="Z2" s="1008"/>
      <c r="AA2" s="6">
        <f>Données!P17</f>
        <v>0</v>
      </c>
      <c r="AB2" s="1008" t="s">
        <v>16</v>
      </c>
      <c r="AC2" s="1008"/>
      <c r="AD2" s="7">
        <f>Données!P18</f>
        <v>0</v>
      </c>
      <c r="AE2" s="1008" t="s">
        <v>17</v>
      </c>
      <c r="AF2" s="1008"/>
      <c r="AG2" s="1008"/>
      <c r="AH2" s="1008"/>
      <c r="AI2" s="1008"/>
      <c r="AJ2" s="1008"/>
      <c r="AK2" s="1008"/>
      <c r="AL2" s="1008"/>
      <c r="AM2" s="1008"/>
      <c r="AN2" s="1008"/>
      <c r="AO2" s="1008"/>
      <c r="AP2" s="1009"/>
      <c r="AQ2" s="4"/>
    </row>
    <row r="3" spans="1:44" ht="15.75" customHeight="1" thickBot="1">
      <c r="A3" s="30"/>
      <c r="B3" s="40"/>
      <c r="C3" s="41"/>
      <c r="D3" s="41"/>
      <c r="E3" s="41"/>
      <c r="F3" s="192" t="str">
        <f>CONCATENATE(E2,H2)</f>
        <v>00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  <c r="W3" s="30"/>
      <c r="X3" s="40"/>
      <c r="Y3" s="41"/>
      <c r="Z3" s="41"/>
      <c r="AA3" s="33"/>
      <c r="AB3" s="193" t="str">
        <f>CONCATENATE(AA2,AD2)</f>
        <v>00</v>
      </c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2"/>
      <c r="AQ3" s="34"/>
      <c r="AR3" s="34"/>
    </row>
    <row r="4" spans="1:44" ht="15.75" thickBot="1">
      <c r="A4" s="30"/>
      <c r="B4" s="40"/>
      <c r="C4" s="959" t="s">
        <v>81</v>
      </c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0"/>
      <c r="Q4" s="960"/>
      <c r="R4" s="960"/>
      <c r="S4" s="961"/>
      <c r="T4" s="958"/>
      <c r="U4" s="43"/>
      <c r="V4" s="43"/>
      <c r="W4" s="30"/>
      <c r="X4" s="40"/>
      <c r="Y4" s="959" t="s">
        <v>81</v>
      </c>
      <c r="Z4" s="960"/>
      <c r="AA4" s="960"/>
      <c r="AB4" s="960"/>
      <c r="AC4" s="960"/>
      <c r="AD4" s="960"/>
      <c r="AE4" s="960"/>
      <c r="AF4" s="960"/>
      <c r="AG4" s="960"/>
      <c r="AH4" s="960"/>
      <c r="AI4" s="960"/>
      <c r="AJ4" s="960"/>
      <c r="AK4" s="960"/>
      <c r="AL4" s="960"/>
      <c r="AM4" s="960"/>
      <c r="AN4" s="960"/>
      <c r="AO4" s="961"/>
      <c r="AP4" s="958"/>
      <c r="AQ4" s="34"/>
      <c r="AR4" s="34"/>
    </row>
    <row r="5" spans="1:44">
      <c r="A5" s="30"/>
      <c r="B5" s="40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958"/>
      <c r="U5" s="43"/>
      <c r="V5" s="43"/>
      <c r="W5" s="30"/>
      <c r="X5" s="40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958"/>
      <c r="AQ5" s="34"/>
      <c r="AR5" s="34"/>
    </row>
    <row r="6" spans="1:44" ht="15.75" thickBot="1">
      <c r="A6" s="30"/>
      <c r="B6" s="4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1"/>
      <c r="T6" s="42"/>
      <c r="U6" s="41"/>
      <c r="V6" s="41"/>
      <c r="W6" s="30"/>
      <c r="X6" s="40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5"/>
      <c r="AO6" s="41"/>
      <c r="AP6" s="42"/>
      <c r="AQ6" s="34"/>
      <c r="AR6" s="34"/>
    </row>
    <row r="7" spans="1:44" ht="15.75" thickBot="1">
      <c r="A7" s="30"/>
      <c r="B7" s="46" t="s">
        <v>6</v>
      </c>
      <c r="C7" s="47" t="s">
        <v>11</v>
      </c>
      <c r="D7" s="33"/>
      <c r="E7" s="44"/>
      <c r="F7" s="44"/>
      <c r="G7" s="41" t="s">
        <v>5</v>
      </c>
      <c r="H7" s="41"/>
      <c r="I7" s="41" t="s">
        <v>6</v>
      </c>
      <c r="J7" s="47" t="str">
        <f>IF(E2=2,"","C")</f>
        <v>C</v>
      </c>
      <c r="K7" s="33"/>
      <c r="L7" s="44"/>
      <c r="M7" s="44"/>
      <c r="N7" s="41" t="s">
        <v>5</v>
      </c>
      <c r="O7" s="41"/>
      <c r="P7" s="41"/>
      <c r="Q7" s="47" t="s">
        <v>52</v>
      </c>
      <c r="R7" s="44"/>
      <c r="S7" s="44" t="s">
        <v>78</v>
      </c>
      <c r="T7" s="48"/>
      <c r="U7" s="44"/>
      <c r="V7" s="44"/>
      <c r="W7" s="30"/>
      <c r="X7" s="46" t="s">
        <v>6</v>
      </c>
      <c r="Y7" s="47" t="s">
        <v>11</v>
      </c>
      <c r="Z7" s="33"/>
      <c r="AA7" s="44"/>
      <c r="AB7" s="44"/>
      <c r="AC7" s="41" t="s">
        <v>5</v>
      </c>
      <c r="AD7" s="41"/>
      <c r="AE7" s="41" t="s">
        <v>6</v>
      </c>
      <c r="AF7" s="47" t="str">
        <f>IF(AA2=2,"","C")</f>
        <v>C</v>
      </c>
      <c r="AG7" s="33"/>
      <c r="AH7" s="44"/>
      <c r="AI7" s="44"/>
      <c r="AJ7" s="41" t="s">
        <v>5</v>
      </c>
      <c r="AK7" s="41"/>
      <c r="AL7" s="41"/>
      <c r="AM7" s="47" t="s">
        <v>52</v>
      </c>
      <c r="AN7" s="44"/>
      <c r="AO7" s="44" t="s">
        <v>78</v>
      </c>
      <c r="AP7" s="48"/>
      <c r="AQ7" s="34"/>
      <c r="AR7" s="34"/>
    </row>
    <row r="8" spans="1:44" ht="15.75" thickBot="1">
      <c r="A8" s="195">
        <v>41</v>
      </c>
      <c r="B8" s="965"/>
      <c r="C8" s="970" t="str">
        <f>IF(ISNA(MATCH($A$8,Données!$AE$5:$AE$84,0)),"",INDEX(Données!$AC$5:$AC$82,MATCH($A$8,Données!$AE$5:$AE$84,0)))</f>
        <v/>
      </c>
      <c r="D8" s="979"/>
      <c r="E8" s="979"/>
      <c r="F8" s="980"/>
      <c r="G8" s="49">
        <v>1</v>
      </c>
      <c r="H8" s="196">
        <v>43</v>
      </c>
      <c r="I8" s="965"/>
      <c r="J8" s="1016" t="str">
        <f>IF(ISNA(MATCH($H$8,Données!$AE$5:$AE$84,0)),"",INDEX(Données!$AC$5:$AC$82,MATCH($H$8,Données!$AE$5:$AE$84,0)))</f>
        <v/>
      </c>
      <c r="K8" s="1017"/>
      <c r="L8" s="1017"/>
      <c r="M8" s="1018"/>
      <c r="N8" s="49">
        <v>1</v>
      </c>
      <c r="O8" s="41"/>
      <c r="P8" s="44"/>
      <c r="Q8" s="973" t="str">
        <f>IF(E2+E3=4,0,IF(E2+E3=3,0,IF(ISNA(MATCH($P$8,Données!$AE$5:$AE$85,0)),"",INDEX(Données!$AC$5:$AC$83,MATCH($P$8,Données!$AE$5:$AE$85,0)))))</f>
        <v/>
      </c>
      <c r="R8" s="974"/>
      <c r="S8" s="975"/>
      <c r="T8" s="50"/>
      <c r="U8" s="44"/>
      <c r="V8" s="44"/>
      <c r="W8" s="141">
        <v>45</v>
      </c>
      <c r="X8" s="965"/>
      <c r="Y8" s="970" t="str">
        <f>IF(ISNA(MATCH($W$8,Données!$AE$5:$AE$84,0)),"",INDEX(Données!$AC$5:$AC$82,MATCH($W$8,Données!$AE$5:$AE$84,0)))</f>
        <v/>
      </c>
      <c r="Z8" s="979"/>
      <c r="AA8" s="979"/>
      <c r="AB8" s="980"/>
      <c r="AC8" s="49">
        <v>1</v>
      </c>
      <c r="AD8" s="196">
        <v>47</v>
      </c>
      <c r="AE8" s="965"/>
      <c r="AF8" s="970" t="str">
        <f>IF(ISNA(MATCH($AD$8,Données!$AE$5:$AE$84,0)),"",INDEX(Données!$AC$5:$AC$82,MATCH($AD$8,Données!$AE$5:$AE$84,0)))</f>
        <v/>
      </c>
      <c r="AG8" s="979"/>
      <c r="AH8" s="979"/>
      <c r="AI8" s="980"/>
      <c r="AJ8" s="49">
        <v>1</v>
      </c>
      <c r="AK8" s="41"/>
      <c r="AL8" s="44"/>
      <c r="AM8" s="973" t="str">
        <f>IF($AA$2+$AA$3=4,0,IF($AA$2+$AA$3=3,0,IF(ISNA(MATCH($AL$8,Données!$AE$5:$AE$85,0)),"",INDEX(Données!$AC$5:$AC$83,MATCH($AL$8,Données!$AE$5:$AE$85,0)))))</f>
        <v/>
      </c>
      <c r="AN8" s="974"/>
      <c r="AO8" s="975"/>
      <c r="AP8" s="50"/>
      <c r="AQ8" s="34"/>
      <c r="AR8" s="34"/>
    </row>
    <row r="9" spans="1:44" ht="15.75" thickBot="1">
      <c r="A9" s="195">
        <v>42</v>
      </c>
      <c r="B9" s="966"/>
      <c r="C9" s="976" t="str">
        <f>IF(ISNA(MATCH($A$9,Données!$AE$5:$AE$84,0)),"",INDEX(Données!$AC$5:$AC$82,MATCH($A$9,Données!$AE$5:$AE$84,0)))</f>
        <v/>
      </c>
      <c r="D9" s="981"/>
      <c r="E9" s="981"/>
      <c r="F9" s="982"/>
      <c r="G9" s="73">
        <v>0</v>
      </c>
      <c r="H9" s="196">
        <v>44</v>
      </c>
      <c r="I9" s="966"/>
      <c r="J9" s="976" t="str">
        <f>IF(ISNA(MATCH($H$9,Données!$AE$5:$AE$84,0)),"0ffice",INDEX(Données!$AC$5:$AC$82,MATCH($H$9,Données!$AE$5:$AE$84,0)))</f>
        <v>0ffice</v>
      </c>
      <c r="K9" s="981"/>
      <c r="L9" s="981"/>
      <c r="M9" s="982"/>
      <c r="N9" s="49">
        <v>0</v>
      </c>
      <c r="O9" s="41"/>
      <c r="P9" s="44"/>
      <c r="R9" s="44"/>
      <c r="S9" s="44"/>
      <c r="T9" s="48"/>
      <c r="U9" s="44"/>
      <c r="V9" s="44"/>
      <c r="W9" s="141">
        <v>46</v>
      </c>
      <c r="X9" s="966"/>
      <c r="Y9" s="976" t="str">
        <f>IF(ISNA(MATCH($W$9,Données!$AE$5:$AE$84,0)),"",INDEX(Données!$AC$5:$AC$82,MATCH($W$9,Données!$AE$5:$AE$84,0)))</f>
        <v/>
      </c>
      <c r="Z9" s="981"/>
      <c r="AA9" s="981"/>
      <c r="AB9" s="982"/>
      <c r="AC9" s="73">
        <v>0</v>
      </c>
      <c r="AD9" s="196">
        <v>48</v>
      </c>
      <c r="AE9" s="966"/>
      <c r="AF9" s="976" t="str">
        <f>IF(ISNA(MATCH($AD$9,Données!$AE$5:$AE$84,0)),"",INDEX(Données!$AC$5:$AC$82,MATCH($AD$9,Données!$AE$5:$AE$84,0)))</f>
        <v/>
      </c>
      <c r="AG9" s="981"/>
      <c r="AH9" s="981"/>
      <c r="AI9" s="982"/>
      <c r="AJ9" s="49">
        <v>0</v>
      </c>
      <c r="AK9" s="41"/>
      <c r="AL9" s="44"/>
      <c r="AN9" s="44"/>
      <c r="AO9" s="44"/>
      <c r="AP9" s="48"/>
      <c r="AQ9" s="34"/>
      <c r="AR9" s="34"/>
    </row>
    <row r="10" spans="1:44" ht="15.75" thickBot="1">
      <c r="A10" s="30"/>
      <c r="B10" s="40"/>
      <c r="C10" s="83" t="s">
        <v>12</v>
      </c>
      <c r="D10" s="33"/>
      <c r="E10" s="44"/>
      <c r="F10" s="44"/>
      <c r="G10" s="44"/>
      <c r="H10" s="44"/>
      <c r="I10" s="44"/>
      <c r="J10" s="47" t="s">
        <v>51</v>
      </c>
      <c r="K10" s="33"/>
      <c r="L10" s="44"/>
      <c r="M10" s="44"/>
      <c r="N10" s="44"/>
      <c r="O10" s="44"/>
      <c r="P10" s="44"/>
      <c r="Q10" s="44"/>
      <c r="R10" s="44"/>
      <c r="S10" s="44"/>
      <c r="T10" s="48"/>
      <c r="U10" s="44"/>
      <c r="V10" s="44"/>
      <c r="W10" s="30"/>
      <c r="X10" s="40"/>
      <c r="Y10" s="83" t="s">
        <v>12</v>
      </c>
      <c r="Z10" s="33"/>
      <c r="AA10" s="44"/>
      <c r="AB10" s="44"/>
      <c r="AC10" s="44"/>
      <c r="AD10" s="44"/>
      <c r="AE10" s="44"/>
      <c r="AF10" s="47" t="s">
        <v>51</v>
      </c>
      <c r="AG10" s="33"/>
      <c r="AH10" s="44"/>
      <c r="AI10" s="44"/>
      <c r="AJ10" s="44"/>
      <c r="AK10" s="44"/>
      <c r="AL10" s="44"/>
      <c r="AM10" s="44"/>
      <c r="AN10" s="44"/>
      <c r="AO10" s="44"/>
      <c r="AP10" s="48"/>
      <c r="AQ10" s="34"/>
      <c r="AR10" s="34"/>
    </row>
    <row r="11" spans="1:44">
      <c r="A11" s="30"/>
      <c r="B11" s="4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8"/>
      <c r="U11" s="44"/>
      <c r="V11" s="44"/>
      <c r="W11" s="30"/>
      <c r="X11" s="40"/>
      <c r="Y11" s="45"/>
      <c r="Z11" s="45"/>
      <c r="AA11" s="45"/>
      <c r="AB11" s="45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8"/>
      <c r="AQ11" s="34"/>
      <c r="AR11" s="34"/>
    </row>
    <row r="12" spans="1:44">
      <c r="A12" s="30"/>
      <c r="B12" s="4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8"/>
      <c r="U12" s="44"/>
      <c r="V12" s="44"/>
      <c r="W12" s="30"/>
      <c r="X12" s="40"/>
      <c r="Y12" s="45"/>
      <c r="Z12" s="45"/>
      <c r="AA12" s="45"/>
      <c r="AB12" s="45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8"/>
      <c r="AQ12" s="34"/>
      <c r="AR12" s="34"/>
    </row>
    <row r="13" spans="1:44" ht="15.75" thickBot="1">
      <c r="A13" s="30"/>
      <c r="B13" s="46" t="s">
        <v>6</v>
      </c>
      <c r="C13" s="44"/>
      <c r="D13" s="70" t="s">
        <v>77</v>
      </c>
      <c r="E13" s="44"/>
      <c r="F13" s="44"/>
      <c r="G13" s="41" t="s">
        <v>5</v>
      </c>
      <c r="H13" s="41"/>
      <c r="I13" s="44"/>
      <c r="J13" s="44"/>
      <c r="K13" s="44"/>
      <c r="L13" s="44" t="s">
        <v>78</v>
      </c>
      <c r="M13" s="44"/>
      <c r="N13" s="44"/>
      <c r="O13" s="44"/>
      <c r="P13" s="41" t="s">
        <v>6</v>
      </c>
      <c r="Q13" s="44"/>
      <c r="R13" s="70" t="s">
        <v>76</v>
      </c>
      <c r="S13" s="44"/>
      <c r="T13" s="126" t="s">
        <v>5</v>
      </c>
      <c r="U13" s="52"/>
      <c r="V13" s="53"/>
      <c r="W13" s="30"/>
      <c r="X13" s="54" t="s">
        <v>6</v>
      </c>
      <c r="Y13" s="45"/>
      <c r="Z13" s="45" t="s">
        <v>77</v>
      </c>
      <c r="AA13" s="45"/>
      <c r="AB13" s="45"/>
      <c r="AC13" s="41" t="s">
        <v>5</v>
      </c>
      <c r="AD13" s="41"/>
      <c r="AE13" s="44"/>
      <c r="AF13" s="44"/>
      <c r="AG13" s="44"/>
      <c r="AH13" s="44" t="s">
        <v>78</v>
      </c>
      <c r="AI13" s="44"/>
      <c r="AJ13" s="44"/>
      <c r="AK13" s="44"/>
      <c r="AL13" s="41" t="s">
        <v>6</v>
      </c>
      <c r="AM13" s="44"/>
      <c r="AN13" s="44" t="s">
        <v>76</v>
      </c>
      <c r="AO13" s="44"/>
      <c r="AP13" s="42" t="s">
        <v>5</v>
      </c>
      <c r="AQ13" s="53"/>
      <c r="AR13" s="53"/>
    </row>
    <row r="14" spans="1:44" ht="15.75" thickBot="1">
      <c r="A14" s="30"/>
      <c r="B14" s="965"/>
      <c r="C14" s="970" t="str">
        <f>IF($G$8=$G$9,"résultat",IF($G$8&gt;$G$9,$C$9,$C$8))</f>
        <v/>
      </c>
      <c r="D14" s="971"/>
      <c r="E14" s="971"/>
      <c r="F14" s="972"/>
      <c r="G14" s="49">
        <v>1</v>
      </c>
      <c r="H14" s="41"/>
      <c r="I14" s="44"/>
      <c r="J14" s="994" t="str">
        <f>IF(ISTEXT($Q$8),IF(($G$9=$G$8),"résultat",IF(($N$9=$N$8),"résultat",IF(($U$14=2),$C$8,IF(($V$14=2),$C$9,IF(($U$15=2),$J$9,IF(($V$15=2),J8,0)))))))</f>
        <v/>
      </c>
      <c r="K14" s="995"/>
      <c r="L14" s="995"/>
      <c r="M14" s="996"/>
      <c r="N14" s="50"/>
      <c r="O14" s="44"/>
      <c r="P14" s="965"/>
      <c r="Q14" s="967" t="str">
        <f>IF($E$2+$E$3=5,$Q$8,IF($N$8=$N$9,"résultat",IF($N$8&gt;$N$9,$J$8,$J$9)))</f>
        <v/>
      </c>
      <c r="R14" s="968"/>
      <c r="S14" s="969"/>
      <c r="T14" s="49">
        <v>1</v>
      </c>
      <c r="U14" s="56">
        <f>IF(G8&gt;G9,1)+IF(N8&gt;N9,1)</f>
        <v>2</v>
      </c>
      <c r="V14" s="57">
        <f>IF(G9&gt;G8,1)+IF(N9&gt;N8,1)</f>
        <v>0</v>
      </c>
      <c r="W14" s="30"/>
      <c r="X14" s="965"/>
      <c r="Y14" s="1015" t="str">
        <f>IF($AC$8=$AC$9,"résultat",IF($AC$8&gt;$AC$9,$Y$9,$Y$8))</f>
        <v/>
      </c>
      <c r="Z14" s="971"/>
      <c r="AA14" s="971"/>
      <c r="AB14" s="972"/>
      <c r="AC14" s="49">
        <v>1</v>
      </c>
      <c r="AD14" s="41"/>
      <c r="AE14" s="44"/>
      <c r="AF14" s="997" t="str">
        <f>IF(ISTEXT($AM$8),IF(($AC$9=$AC$8),"résultat",IF(($AJ$9=$AJ$8),"résultat",IF(($AQ$14=2),$Y$8,IF(($AR$14=2),$Y$9,IF(($AQ$15=2),$AF$9,IF(($AR$15=2),$AF$8,0)))))))</f>
        <v/>
      </c>
      <c r="AG14" s="995"/>
      <c r="AH14" s="995"/>
      <c r="AI14" s="996"/>
      <c r="AJ14" s="55"/>
      <c r="AK14" s="44"/>
      <c r="AL14" s="965"/>
      <c r="AM14" s="967" t="str">
        <f>IF($AA$2+$AA$3=5,$AM$8,IF($AJ$8&gt;$AJ$9,$AF$8,$AF$9))</f>
        <v/>
      </c>
      <c r="AN14" s="968"/>
      <c r="AO14" s="969"/>
      <c r="AP14" s="49">
        <v>1</v>
      </c>
      <c r="AQ14" s="56">
        <f>IF(AC8&gt;AC9,1)+IF(AJ8&gt;AJ9,1)</f>
        <v>2</v>
      </c>
      <c r="AR14" s="57">
        <f>IF(AC9&gt;AC8,1)+IF(AJ9&gt;AJ8,1)</f>
        <v>0</v>
      </c>
    </row>
    <row r="15" spans="1:44" ht="15.75" thickBot="1">
      <c r="A15" s="30"/>
      <c r="B15" s="966"/>
      <c r="C15" s="962" t="str">
        <f>IF($N$8=$N$9,"résultat",IF($N$8&lt;$N$9,$J$8,$J$9))</f>
        <v>0ffice</v>
      </c>
      <c r="D15" s="963"/>
      <c r="E15" s="963"/>
      <c r="F15" s="964"/>
      <c r="G15" s="58">
        <v>0</v>
      </c>
      <c r="H15" s="41"/>
      <c r="I15" s="44"/>
      <c r="J15" s="59" t="str">
        <f>IF(ISTEXT(J14)," ",0)</f>
        <v xml:space="preserve"> </v>
      </c>
      <c r="K15" s="44"/>
      <c r="L15" s="44"/>
      <c r="M15" s="44"/>
      <c r="N15" s="44"/>
      <c r="O15" s="44"/>
      <c r="P15" s="966"/>
      <c r="Q15" s="96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963"/>
      <c r="S15" s="964"/>
      <c r="T15" s="125">
        <v>0</v>
      </c>
      <c r="U15" s="60">
        <f>IF(G8&gt;G9,1)+IF(N9&gt;N8,1)</f>
        <v>1</v>
      </c>
      <c r="V15" s="61">
        <f>IF(G9&gt;G8,1)+IF(N8&gt;N9,1)</f>
        <v>1</v>
      </c>
      <c r="W15" s="30"/>
      <c r="X15" s="966"/>
      <c r="Y15" s="962" t="str">
        <f>IF($AJ$8=$AJ$9,"résultat",IF($AJ$8&lt;$AJ$9,$AF$8,$AF$9))</f>
        <v/>
      </c>
      <c r="Z15" s="963"/>
      <c r="AA15" s="963"/>
      <c r="AB15" s="964"/>
      <c r="AC15" s="49">
        <v>0</v>
      </c>
      <c r="AD15" s="41"/>
      <c r="AE15" s="44"/>
      <c r="AF15" s="44"/>
      <c r="AG15" s="44"/>
      <c r="AH15" s="44"/>
      <c r="AI15" s="44"/>
      <c r="AJ15" s="44"/>
      <c r="AK15" s="44"/>
      <c r="AL15" s="966"/>
      <c r="AM15" s="96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963"/>
      <c r="AO15" s="964"/>
      <c r="AP15" s="72">
        <v>0</v>
      </c>
      <c r="AQ15" s="60">
        <f>IF(AC8&gt;AC9,1)+IF(AJ9&gt;AJ8,1)</f>
        <v>1</v>
      </c>
      <c r="AR15" s="61">
        <f>IF(AC9&gt;AC8,1)+IF(AJ8&gt;AJ9,1)</f>
        <v>1</v>
      </c>
    </row>
    <row r="16" spans="1:44">
      <c r="A16" s="30"/>
      <c r="B16" s="4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62"/>
      <c r="Q16" s="44"/>
      <c r="R16" s="44"/>
      <c r="S16" s="44"/>
      <c r="T16" s="48"/>
      <c r="U16" s="44"/>
      <c r="V16" s="44"/>
      <c r="W16" s="30"/>
      <c r="X16" s="40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8"/>
      <c r="AQ16" s="34"/>
      <c r="AR16" s="34"/>
    </row>
    <row r="17" spans="1:44">
      <c r="A17" s="30"/>
      <c r="B17" s="4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8"/>
      <c r="U17" s="44"/>
      <c r="V17" s="44"/>
      <c r="W17" s="30"/>
      <c r="X17" s="40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8"/>
      <c r="AQ17" s="34"/>
      <c r="AR17" s="34"/>
    </row>
    <row r="18" spans="1:44">
      <c r="A18" s="30"/>
      <c r="B18" s="40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6"/>
      <c r="T18" s="48"/>
      <c r="U18" s="44"/>
      <c r="V18" s="44"/>
      <c r="W18" s="30"/>
      <c r="X18" s="40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8"/>
      <c r="AQ18" s="34"/>
      <c r="AR18" s="34"/>
    </row>
    <row r="19" spans="1:44" ht="15.75" thickBot="1">
      <c r="A19" s="30"/>
      <c r="B19" s="40"/>
      <c r="C19" s="44"/>
      <c r="D19" s="44"/>
      <c r="E19" s="41" t="s">
        <v>6</v>
      </c>
      <c r="F19" s="44"/>
      <c r="G19" s="44"/>
      <c r="H19" s="44"/>
      <c r="I19" s="44"/>
      <c r="J19" s="41" t="s">
        <v>5</v>
      </c>
      <c r="K19" s="41"/>
      <c r="L19" s="41" t="s">
        <v>6</v>
      </c>
      <c r="M19" s="44"/>
      <c r="N19" s="44"/>
      <c r="O19" s="44"/>
      <c r="P19" s="44"/>
      <c r="Q19" s="41" t="s">
        <v>5</v>
      </c>
      <c r="R19" s="44"/>
      <c r="S19" s="44"/>
      <c r="T19" s="48"/>
      <c r="U19" s="63"/>
      <c r="V19" s="44"/>
      <c r="W19" s="30"/>
      <c r="X19" s="40"/>
      <c r="Y19" s="44"/>
      <c r="Z19" s="44"/>
      <c r="AA19" s="41" t="s">
        <v>6</v>
      </c>
      <c r="AB19" s="44"/>
      <c r="AC19" s="44"/>
      <c r="AD19" s="44"/>
      <c r="AE19" s="44"/>
      <c r="AF19" s="41" t="s">
        <v>5</v>
      </c>
      <c r="AG19" s="41"/>
      <c r="AH19" s="41" t="s">
        <v>6</v>
      </c>
      <c r="AI19" s="44"/>
      <c r="AJ19" s="44"/>
      <c r="AK19" s="44"/>
      <c r="AL19" s="44"/>
      <c r="AM19" s="41" t="s">
        <v>5</v>
      </c>
      <c r="AN19" s="44"/>
      <c r="AO19" s="44"/>
      <c r="AP19" s="48"/>
      <c r="AQ19" s="34"/>
      <c r="AR19" s="34"/>
    </row>
    <row r="20" spans="1:44" ht="15.75" thickBot="1">
      <c r="A20" s="30"/>
      <c r="B20" s="40"/>
      <c r="C20" s="44"/>
      <c r="D20" s="44"/>
      <c r="E20" s="965"/>
      <c r="F20" s="976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977"/>
      <c r="H20" s="977"/>
      <c r="I20" s="978"/>
      <c r="J20" s="49">
        <v>1</v>
      </c>
      <c r="K20" s="41"/>
      <c r="L20" s="965" t="s">
        <v>13</v>
      </c>
      <c r="M20" s="991" t="b">
        <f>IF($E$2+$E$3=5,$J$14)</f>
        <v>0</v>
      </c>
      <c r="N20" s="992"/>
      <c r="O20" s="992"/>
      <c r="P20" s="993"/>
      <c r="Q20" s="49">
        <v>1</v>
      </c>
      <c r="R20" s="44"/>
      <c r="S20" s="44"/>
      <c r="T20" s="48"/>
      <c r="U20" s="44"/>
      <c r="V20" s="44"/>
      <c r="W20" s="30"/>
      <c r="X20" s="40"/>
      <c r="Y20" s="44"/>
      <c r="Z20" s="44"/>
      <c r="AA20" s="965"/>
      <c r="AB20" s="976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977"/>
      <c r="AD20" s="977"/>
      <c r="AE20" s="978"/>
      <c r="AF20" s="49">
        <v>1</v>
      </c>
      <c r="AG20" s="41"/>
      <c r="AH20" s="965" t="s">
        <v>13</v>
      </c>
      <c r="AI20" s="991" t="b">
        <f>IF($AA$2+$AA$3=5,$AF$14)</f>
        <v>0</v>
      </c>
      <c r="AJ20" s="992"/>
      <c r="AK20" s="992"/>
      <c r="AL20" s="993"/>
      <c r="AM20" s="49">
        <v>1</v>
      </c>
      <c r="AN20" s="44"/>
      <c r="AO20" s="44"/>
      <c r="AP20" s="48"/>
      <c r="AQ20" s="34"/>
      <c r="AR20" s="34"/>
    </row>
    <row r="21" spans="1:44" ht="15.75" thickBot="1">
      <c r="A21" s="30"/>
      <c r="B21" s="40"/>
      <c r="C21" s="44"/>
      <c r="D21" s="44"/>
      <c r="E21" s="966"/>
      <c r="F21" s="976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981"/>
      <c r="H21" s="981"/>
      <c r="I21" s="982"/>
      <c r="J21" s="49">
        <v>0</v>
      </c>
      <c r="K21" s="41"/>
      <c r="L21" s="966"/>
      <c r="M21" s="976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981"/>
      <c r="O21" s="981"/>
      <c r="P21" s="982"/>
      <c r="Q21" s="49">
        <v>0</v>
      </c>
      <c r="R21" s="44"/>
      <c r="S21" s="63"/>
      <c r="T21" s="48"/>
      <c r="U21" s="44"/>
      <c r="V21" s="36"/>
      <c r="W21" s="30"/>
      <c r="X21" s="40"/>
      <c r="Y21" s="44"/>
      <c r="Z21" s="44"/>
      <c r="AA21" s="966"/>
      <c r="AB21" s="976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981"/>
      <c r="AD21" s="981"/>
      <c r="AE21" s="982"/>
      <c r="AF21" s="49">
        <v>0</v>
      </c>
      <c r="AG21" s="41"/>
      <c r="AH21" s="966"/>
      <c r="AI21" s="976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981"/>
      <c r="AK21" s="981"/>
      <c r="AL21" s="982"/>
      <c r="AM21" s="49">
        <v>0</v>
      </c>
      <c r="AN21" s="44"/>
      <c r="AO21" s="44"/>
      <c r="AP21" s="48"/>
      <c r="AQ21" s="34"/>
      <c r="AR21" s="34"/>
    </row>
    <row r="22" spans="1:44">
      <c r="A22" s="30"/>
      <c r="B22" s="40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8"/>
      <c r="U22" s="44"/>
      <c r="V22" s="44"/>
      <c r="W22" s="30"/>
      <c r="X22" s="40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8"/>
      <c r="AQ22" s="34"/>
      <c r="AR22" s="34"/>
    </row>
    <row r="23" spans="1:44">
      <c r="A23" s="30"/>
      <c r="B23" s="4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8"/>
      <c r="U23" s="44"/>
      <c r="V23" s="44"/>
      <c r="W23" s="30"/>
      <c r="X23" s="40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8"/>
      <c r="AQ23" s="34"/>
      <c r="AR23" s="34"/>
    </row>
    <row r="24" spans="1:44" ht="15.75" thickBot="1">
      <c r="A24" s="30"/>
      <c r="B24" s="40"/>
      <c r="C24" s="44"/>
      <c r="D24" s="44"/>
      <c r="E24" s="44"/>
      <c r="F24" s="44"/>
      <c r="G24" s="44"/>
      <c r="H24" s="44"/>
      <c r="I24" s="41" t="s">
        <v>6</v>
      </c>
      <c r="J24" s="44"/>
      <c r="K24" s="44"/>
      <c r="L24" s="44"/>
      <c r="M24" s="44"/>
      <c r="N24" s="41" t="s">
        <v>5</v>
      </c>
      <c r="O24" s="41"/>
      <c r="P24" s="64"/>
      <c r="Q24" s="44"/>
      <c r="R24" s="44"/>
      <c r="S24" s="44"/>
      <c r="T24" s="48"/>
      <c r="U24" s="44"/>
      <c r="V24" s="44"/>
      <c r="W24" s="30"/>
      <c r="X24" s="40"/>
      <c r="Y24" s="44"/>
      <c r="Z24" s="44"/>
      <c r="AA24" s="44"/>
      <c r="AB24" s="44"/>
      <c r="AC24" s="44"/>
      <c r="AD24" s="44"/>
      <c r="AE24" s="41" t="s">
        <v>6</v>
      </c>
      <c r="AF24" s="44"/>
      <c r="AG24" s="44"/>
      <c r="AH24" s="44"/>
      <c r="AI24" s="44"/>
      <c r="AJ24" s="41" t="s">
        <v>5</v>
      </c>
      <c r="AK24" s="41"/>
      <c r="AL24" s="64"/>
      <c r="AM24" s="44"/>
      <c r="AN24" s="44"/>
      <c r="AO24" s="44"/>
      <c r="AP24" s="48"/>
      <c r="AQ24" s="34"/>
      <c r="AR24" s="34"/>
    </row>
    <row r="25" spans="1:44" ht="15.75" thickBot="1">
      <c r="A25" s="30"/>
      <c r="B25" s="40"/>
      <c r="C25" s="44"/>
      <c r="D25" s="44"/>
      <c r="E25" s="44"/>
      <c r="F25" s="44"/>
      <c r="G25" s="44"/>
      <c r="H25" s="44"/>
      <c r="I25" s="965"/>
      <c r="J25" s="1001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002"/>
      <c r="L25" s="1002"/>
      <c r="M25" s="1003"/>
      <c r="N25" s="49">
        <v>1</v>
      </c>
      <c r="O25" s="41"/>
      <c r="P25" s="44"/>
      <c r="Q25" s="44"/>
      <c r="R25" s="44"/>
      <c r="S25" s="44"/>
      <c r="T25" s="48"/>
      <c r="U25" s="44"/>
      <c r="V25" s="44"/>
      <c r="W25" s="30"/>
      <c r="X25" s="40"/>
      <c r="Y25" s="44"/>
      <c r="Z25" s="44"/>
      <c r="AA25" s="44"/>
      <c r="AB25" s="44"/>
      <c r="AC25" s="44"/>
      <c r="AD25" s="44"/>
      <c r="AE25" s="965"/>
      <c r="AF25" s="1001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1002"/>
      <c r="AH25" s="1002"/>
      <c r="AI25" s="1003"/>
      <c r="AJ25" s="49">
        <v>1</v>
      </c>
      <c r="AK25" s="41"/>
      <c r="AL25" s="44"/>
      <c r="AM25" s="44"/>
      <c r="AN25" s="44"/>
      <c r="AO25" s="44"/>
      <c r="AP25" s="48"/>
      <c r="AQ25" s="34"/>
      <c r="AR25" s="34"/>
    </row>
    <row r="26" spans="1:44" ht="15.75" thickBot="1">
      <c r="A26" s="30"/>
      <c r="B26" s="40"/>
      <c r="C26" s="44"/>
      <c r="D26" s="44"/>
      <c r="E26" s="44"/>
      <c r="F26" s="44"/>
      <c r="G26" s="44"/>
      <c r="H26" s="44"/>
      <c r="I26" s="966"/>
      <c r="J26" s="998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999"/>
      <c r="L26" s="999"/>
      <c r="M26" s="1000"/>
      <c r="N26" s="49">
        <v>0</v>
      </c>
      <c r="O26" s="41"/>
      <c r="P26" s="44"/>
      <c r="Q26" s="44"/>
      <c r="R26" s="44"/>
      <c r="S26" s="44"/>
      <c r="T26" s="48"/>
      <c r="U26" s="44"/>
      <c r="V26" s="44"/>
      <c r="W26" s="30"/>
      <c r="X26" s="40"/>
      <c r="Y26" s="44"/>
      <c r="Z26" s="44"/>
      <c r="AA26" s="44"/>
      <c r="AB26" s="44"/>
      <c r="AC26" s="44"/>
      <c r="AD26" s="44"/>
      <c r="AE26" s="966"/>
      <c r="AF26" s="998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999"/>
      <c r="AH26" s="999"/>
      <c r="AI26" s="1000"/>
      <c r="AJ26" s="49">
        <v>0</v>
      </c>
      <c r="AK26" s="41"/>
      <c r="AL26" s="44"/>
      <c r="AM26" s="44"/>
      <c r="AN26" s="44"/>
      <c r="AO26" s="44"/>
      <c r="AP26" s="48"/>
      <c r="AQ26" s="34"/>
      <c r="AR26" s="34"/>
    </row>
    <row r="27" spans="1:44" ht="15.75" thickBot="1">
      <c r="A27" s="30"/>
      <c r="B27" s="40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8"/>
      <c r="U27" s="44"/>
      <c r="V27" s="44"/>
      <c r="W27" s="30"/>
      <c r="X27" s="40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8"/>
      <c r="AQ27" s="34"/>
      <c r="AR27" s="34"/>
    </row>
    <row r="28" spans="1:44" ht="15.75" thickBot="1">
      <c r="A28" s="30"/>
      <c r="B28" s="40"/>
      <c r="D28" s="44"/>
      <c r="E28" s="44"/>
      <c r="F28" s="44"/>
      <c r="G28" s="44"/>
      <c r="H28" s="44"/>
      <c r="I28" s="44"/>
      <c r="J28" s="955" t="s">
        <v>75</v>
      </c>
      <c r="K28" s="956"/>
      <c r="L28" s="956"/>
      <c r="M28" s="957"/>
      <c r="N28" s="44"/>
      <c r="O28" s="44"/>
      <c r="P28" s="63"/>
      <c r="Q28" s="44"/>
      <c r="R28" s="44"/>
      <c r="S28" s="44"/>
      <c r="T28" s="48"/>
      <c r="W28" s="30"/>
      <c r="X28" s="40"/>
      <c r="Z28" s="44"/>
      <c r="AA28" s="44"/>
      <c r="AB28" s="44"/>
      <c r="AC28" s="44"/>
      <c r="AD28" s="44"/>
      <c r="AE28" s="44"/>
      <c r="AF28" s="955" t="s">
        <v>75</v>
      </c>
      <c r="AG28" s="956"/>
      <c r="AH28" s="956"/>
      <c r="AI28" s="957"/>
      <c r="AJ28" s="44"/>
      <c r="AK28" s="44"/>
      <c r="AL28" s="63"/>
      <c r="AM28" s="44"/>
      <c r="AN28" s="44"/>
      <c r="AO28" s="44"/>
      <c r="AP28" s="48"/>
    </row>
    <row r="29" spans="1:44">
      <c r="A29" s="30"/>
      <c r="B29" s="40"/>
      <c r="D29" s="928" t="s">
        <v>0</v>
      </c>
      <c r="E29" s="929"/>
      <c r="F29" s="930"/>
      <c r="G29" s="44"/>
      <c r="H29" s="1025" t="str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OFFICE</v>
      </c>
      <c r="I29" s="1026"/>
      <c r="J29" s="1026"/>
      <c r="K29" s="1026"/>
      <c r="L29" s="1026"/>
      <c r="M29" s="1026"/>
      <c r="N29" s="1027"/>
      <c r="O29" s="44"/>
      <c r="P29" s="44"/>
      <c r="Q29" s="44"/>
      <c r="R29" s="44"/>
      <c r="S29" s="44"/>
      <c r="T29" s="48"/>
      <c r="W29" s="30"/>
      <c r="X29" s="40"/>
      <c r="Z29" s="928" t="s">
        <v>0</v>
      </c>
      <c r="AA29" s="929"/>
      <c r="AB29" s="930"/>
      <c r="AC29" s="44"/>
      <c r="AD29" s="1025" t="str">
        <f>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</f>
        <v>OFFICE</v>
      </c>
      <c r="AE29" s="1026"/>
      <c r="AF29" s="1026"/>
      <c r="AG29" s="1026"/>
      <c r="AH29" s="1026"/>
      <c r="AI29" s="1026"/>
      <c r="AJ29" s="1027"/>
      <c r="AK29" s="44"/>
      <c r="AL29" s="44"/>
      <c r="AN29" s="44"/>
      <c r="AO29" s="44"/>
      <c r="AP29" s="48"/>
    </row>
    <row r="30" spans="1:44">
      <c r="A30" s="30"/>
      <c r="B30" s="40"/>
      <c r="D30" s="925" t="s">
        <v>1</v>
      </c>
      <c r="E30" s="926"/>
      <c r="F30" s="927"/>
      <c r="G30" s="44"/>
      <c r="H30" s="1031" t="str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OFFICE</v>
      </c>
      <c r="I30" s="1032"/>
      <c r="J30" s="1032"/>
      <c r="K30" s="1032"/>
      <c r="L30" s="1032"/>
      <c r="M30" s="1032"/>
      <c r="N30" s="1033"/>
      <c r="O30" s="44"/>
      <c r="P30" s="65"/>
      <c r="Q30" s="65"/>
      <c r="R30" s="65"/>
      <c r="S30" s="65"/>
      <c r="T30" s="48"/>
      <c r="W30" s="30"/>
      <c r="X30" s="40"/>
      <c r="Z30" s="925" t="s">
        <v>1</v>
      </c>
      <c r="AA30" s="926"/>
      <c r="AB30" s="927"/>
      <c r="AC30" s="44"/>
      <c r="AD30" s="1031" t="str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OFFICE</v>
      </c>
      <c r="AE30" s="1032"/>
      <c r="AF30" s="1032"/>
      <c r="AG30" s="1032"/>
      <c r="AH30" s="1032"/>
      <c r="AI30" s="1032"/>
      <c r="AJ30" s="1033"/>
      <c r="AK30" s="44"/>
      <c r="AL30" s="65"/>
      <c r="AN30" s="65"/>
      <c r="AO30" s="44"/>
      <c r="AP30" s="48"/>
    </row>
    <row r="31" spans="1:44">
      <c r="A31" s="30"/>
      <c r="B31" s="40"/>
      <c r="D31" s="925" t="s">
        <v>2</v>
      </c>
      <c r="E31" s="926"/>
      <c r="F31" s="927"/>
      <c r="G31" s="44"/>
      <c r="H31" s="1022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1023"/>
      <c r="J31" s="1023"/>
      <c r="K31" s="1023"/>
      <c r="L31" s="1023"/>
      <c r="M31" s="1023"/>
      <c r="N31" s="1024"/>
      <c r="O31" s="44"/>
      <c r="P31" s="44"/>
      <c r="Q31" s="44"/>
      <c r="R31" s="44"/>
      <c r="S31" s="44"/>
      <c r="T31" s="48"/>
      <c r="W31" s="30"/>
      <c r="X31" s="40"/>
      <c r="Z31" s="925" t="s">
        <v>2</v>
      </c>
      <c r="AA31" s="926"/>
      <c r="AB31" s="927"/>
      <c r="AC31" s="44"/>
      <c r="AD31" s="1034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1035"/>
      <c r="AF31" s="1035"/>
      <c r="AG31" s="1035"/>
      <c r="AH31" s="1035"/>
      <c r="AI31" s="1035"/>
      <c r="AJ31" s="1036"/>
      <c r="AK31" s="44"/>
      <c r="AL31" s="44"/>
      <c r="AN31" s="44"/>
      <c r="AO31" s="44"/>
      <c r="AP31" s="48"/>
    </row>
    <row r="32" spans="1:44">
      <c r="A32" s="30"/>
      <c r="B32" s="40"/>
      <c r="D32" s="925" t="s">
        <v>3</v>
      </c>
      <c r="E32" s="926"/>
      <c r="F32" s="927"/>
      <c r="G32" s="44"/>
      <c r="H32" s="1022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1023"/>
      <c r="J32" s="1023"/>
      <c r="K32" s="1023"/>
      <c r="L32" s="1023"/>
      <c r="M32" s="1023"/>
      <c r="N32" s="1024"/>
      <c r="O32" s="44"/>
      <c r="P32" s="44"/>
      <c r="Q32" s="44"/>
      <c r="R32" s="44"/>
      <c r="S32" s="44"/>
      <c r="T32" s="48"/>
      <c r="W32" s="30"/>
      <c r="X32" s="40"/>
      <c r="Z32" s="925" t="s">
        <v>3</v>
      </c>
      <c r="AA32" s="926"/>
      <c r="AB32" s="927"/>
      <c r="AC32" s="44"/>
      <c r="AD32" s="1022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1023"/>
      <c r="AF32" s="1023"/>
      <c r="AG32" s="1023"/>
      <c r="AH32" s="1023"/>
      <c r="AI32" s="1023"/>
      <c r="AJ32" s="1024"/>
      <c r="AK32" s="44"/>
      <c r="AL32" s="44"/>
      <c r="AM32" s="44"/>
      <c r="AN32" s="44"/>
      <c r="AO32" s="44"/>
      <c r="AP32" s="48"/>
    </row>
    <row r="33" spans="1:44" ht="15.75" thickBot="1">
      <c r="A33" s="30"/>
      <c r="B33" s="40"/>
      <c r="D33" s="931" t="s">
        <v>4</v>
      </c>
      <c r="E33" s="932"/>
      <c r="F33" s="933"/>
      <c r="G33" s="44"/>
      <c r="H33" s="1028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1029"/>
      <c r="J33" s="1029"/>
      <c r="K33" s="1029"/>
      <c r="L33" s="1029"/>
      <c r="M33" s="1029"/>
      <c r="N33" s="1030"/>
      <c r="O33" s="44"/>
      <c r="P33" s="44"/>
      <c r="Q33" s="44"/>
      <c r="R33" s="44"/>
      <c r="S33" s="44"/>
      <c r="T33" s="48"/>
      <c r="W33" s="30"/>
      <c r="X33" s="40"/>
      <c r="Z33" s="931" t="s">
        <v>4</v>
      </c>
      <c r="AA33" s="932"/>
      <c r="AB33" s="933"/>
      <c r="AC33" s="44"/>
      <c r="AD33" s="1028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1029"/>
      <c r="AF33" s="1029"/>
      <c r="AG33" s="1029"/>
      <c r="AH33" s="1029"/>
      <c r="AI33" s="1029"/>
      <c r="AJ33" s="1030"/>
      <c r="AK33" s="44"/>
      <c r="AL33" s="44"/>
      <c r="AM33" s="44"/>
      <c r="AN33" s="44"/>
      <c r="AO33" s="44"/>
      <c r="AP33" s="48"/>
    </row>
    <row r="34" spans="1:44">
      <c r="A34" s="30"/>
      <c r="B34" s="40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44"/>
      <c r="O34" s="44"/>
      <c r="P34" s="44"/>
      <c r="Q34" s="44"/>
      <c r="R34" s="44"/>
      <c r="S34" s="44"/>
      <c r="T34" s="48"/>
      <c r="U34" s="44"/>
      <c r="V34" s="44"/>
      <c r="W34" s="30"/>
      <c r="X34" s="40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44"/>
      <c r="AK34" s="44"/>
      <c r="AL34" s="44"/>
      <c r="AM34" s="44"/>
      <c r="AN34" s="44"/>
      <c r="AO34" s="44"/>
      <c r="AP34" s="48"/>
      <c r="AQ34" s="34"/>
      <c r="AR34" s="34"/>
    </row>
    <row r="35" spans="1:44" ht="15.75" thickBot="1">
      <c r="A35" s="30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68"/>
      <c r="P35" s="68"/>
      <c r="Q35" s="68"/>
      <c r="R35" s="68"/>
      <c r="S35" s="68"/>
      <c r="T35" s="69"/>
      <c r="U35" s="30"/>
      <c r="V35" s="30"/>
      <c r="W35" s="30"/>
      <c r="X35" s="66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9"/>
      <c r="AQ35" s="34"/>
      <c r="AR35" s="34"/>
    </row>
    <row r="36" spans="1:44" ht="15.75" thickBot="1"/>
    <row r="37" spans="1:44" ht="15.75" thickBot="1">
      <c r="M37" s="1004" t="s">
        <v>79</v>
      </c>
      <c r="N37" s="1005"/>
      <c r="O37" s="1006"/>
    </row>
    <row r="40" spans="1:4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AF9:AI9"/>
    <mergeCell ref="B8:B9"/>
    <mergeCell ref="C8:F8"/>
    <mergeCell ref="I8:I9"/>
    <mergeCell ref="J8:M8"/>
    <mergeCell ref="Q8:S8"/>
    <mergeCell ref="C9:F9"/>
    <mergeCell ref="J9:M9"/>
    <mergeCell ref="E20:E21"/>
    <mergeCell ref="F20:I20"/>
    <mergeCell ref="L20:L21"/>
    <mergeCell ref="M20:P20"/>
    <mergeCell ref="Y9:AB9"/>
    <mergeCell ref="AA20:AA21"/>
    <mergeCell ref="AB20:AE20"/>
    <mergeCell ref="Z32:AB32"/>
    <mergeCell ref="AD32:AJ32"/>
    <mergeCell ref="D33:F33"/>
    <mergeCell ref="H33:N33"/>
    <mergeCell ref="Z33:AB33"/>
    <mergeCell ref="AD33:AJ33"/>
    <mergeCell ref="AF28:AI28"/>
    <mergeCell ref="D29:F29"/>
    <mergeCell ref="H29:N29"/>
    <mergeCell ref="Z29:AB29"/>
    <mergeCell ref="AD29:AJ29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M37:O37"/>
    <mergeCell ref="I1:L1"/>
    <mergeCell ref="N1:S1"/>
    <mergeCell ref="B1:D1"/>
    <mergeCell ref="E1:G1"/>
    <mergeCell ref="B2:D2"/>
    <mergeCell ref="F2:G2"/>
    <mergeCell ref="I2:K2"/>
    <mergeCell ref="L2:T2"/>
    <mergeCell ref="J28:M28"/>
    <mergeCell ref="D32:F32"/>
    <mergeCell ref="H32:N32"/>
    <mergeCell ref="B14:B15"/>
    <mergeCell ref="C14:F14"/>
    <mergeCell ref="J14:M14"/>
    <mergeCell ref="P14:P15"/>
  </mergeCells>
  <conditionalFormatting sqref="H32">
    <cfRule type="expression" dxfId="362" priority="253">
      <formula>$H$2=5</formula>
    </cfRule>
    <cfRule type="expression" dxfId="361" priority="254">
      <formula>$H$2=4</formula>
    </cfRule>
    <cfRule type="expression" dxfId="360" priority="255">
      <formula>$H$2=0</formula>
    </cfRule>
  </conditionalFormatting>
  <conditionalFormatting sqref="H29:N29">
    <cfRule type="expression" dxfId="359" priority="250">
      <formula>$H$2=0</formula>
    </cfRule>
    <cfRule type="expression" dxfId="358" priority="251" stopIfTrue="1">
      <formula>(OR(H2="1",H2="2",H2="3"))</formula>
    </cfRule>
  </conditionalFormatting>
  <conditionalFormatting sqref="H30:N30">
    <cfRule type="expression" dxfId="357" priority="249">
      <formula>(OR(H2="2",H2="3"))</formula>
    </cfRule>
  </conditionalFormatting>
  <conditionalFormatting sqref="H31:N31">
    <cfRule type="expression" dxfId="356" priority="248">
      <formula>(H2="3")</formula>
    </cfRule>
  </conditionalFormatting>
  <conditionalFormatting sqref="H32:N33 AD31:AJ33 Q14:S15 Y8:AB9">
    <cfRule type="cellIs" dxfId="355" priority="247" operator="equal">
      <formula>0</formula>
    </cfRule>
  </conditionalFormatting>
  <conditionalFormatting sqref="AD32">
    <cfRule type="expression" dxfId="354" priority="239">
      <formula>$AA$2=0</formula>
    </cfRule>
  </conditionalFormatting>
  <conditionalFormatting sqref="AD33 AD31:AJ31">
    <cfRule type="expression" dxfId="353" priority="277">
      <formula>$AA$2=0</formula>
    </cfRule>
  </conditionalFormatting>
  <conditionalFormatting sqref="AD30">
    <cfRule type="expression" dxfId="352" priority="263">
      <formula>$AA$2=0</formula>
    </cfRule>
    <cfRule type="expression" dxfId="351" priority="264">
      <formula>$AF$2=5</formula>
    </cfRule>
    <cfRule type="expression" dxfId="350" priority="265">
      <formula>$AF$2=4</formula>
    </cfRule>
    <cfRule type="expression" dxfId="349" priority="266">
      <formula>$AF$2=3</formula>
    </cfRule>
    <cfRule type="expression" dxfId="348" priority="267">
      <formula>$AF$2=2</formula>
    </cfRule>
  </conditionalFormatting>
  <conditionalFormatting sqref="AD29:AJ29">
    <cfRule type="expression" dxfId="347" priority="235">
      <formula>$AA$2=0</formula>
    </cfRule>
    <cfRule type="expression" dxfId="346" priority="236">
      <formula>(OR(AD2="1",AD2="2",AD2="3"))</formula>
    </cfRule>
  </conditionalFormatting>
  <conditionalFormatting sqref="AD30:AJ30">
    <cfRule type="expression" dxfId="345" priority="234">
      <formula>(OR(AD2="2",AD2="3"))</formula>
    </cfRule>
  </conditionalFormatting>
  <conditionalFormatting sqref="AD31:AJ31">
    <cfRule type="expression" dxfId="344" priority="233">
      <formula>(AD2="3")</formula>
    </cfRule>
  </conditionalFormatting>
  <conditionalFormatting sqref="H33 AD33">
    <cfRule type="expression" dxfId="343" priority="216">
      <formula>$AD$2=5</formula>
    </cfRule>
  </conditionalFormatting>
  <conditionalFormatting sqref="AD33">
    <cfRule type="expression" dxfId="342" priority="215">
      <formula>$AD$2=0</formula>
    </cfRule>
  </conditionalFormatting>
  <conditionalFormatting sqref="AD29">
    <cfRule type="expression" dxfId="341" priority="207">
      <formula>$AD$2=2</formula>
    </cfRule>
    <cfRule type="expression" dxfId="340" priority="208">
      <formula>$AD$2=5</formula>
    </cfRule>
    <cfRule type="expression" dxfId="339" priority="209">
      <formula>$AD$2=4</formula>
    </cfRule>
    <cfRule type="expression" dxfId="338" priority="210">
      <formula>$AD$2=3</formula>
    </cfRule>
    <cfRule type="expression" dxfId="337" priority="211">
      <formula>$H$2=0</formula>
    </cfRule>
  </conditionalFormatting>
  <conditionalFormatting sqref="AD30">
    <cfRule type="expression" dxfId="336" priority="202">
      <formula>$AD$2=0</formula>
    </cfRule>
    <cfRule type="expression" dxfId="335" priority="203">
      <formula>$AD$2=5</formula>
    </cfRule>
    <cfRule type="expression" dxfId="334" priority="204">
      <formula>$AD$2=4</formula>
    </cfRule>
    <cfRule type="expression" dxfId="333" priority="205">
      <formula>$AD$2=3</formula>
    </cfRule>
    <cfRule type="expression" dxfId="332" priority="206">
      <formula>$AD$2=2</formula>
    </cfRule>
  </conditionalFormatting>
  <conditionalFormatting sqref="AD31">
    <cfRule type="expression" dxfId="331" priority="198">
      <formula>$AD$2=0</formula>
    </cfRule>
    <cfRule type="expression" dxfId="330" priority="199">
      <formula>$AD$2=5</formula>
    </cfRule>
    <cfRule type="expression" dxfId="329" priority="200">
      <formula>$AD$2=4</formula>
    </cfRule>
    <cfRule type="expression" dxfId="328" priority="201">
      <formula>$AD$2=3</formula>
    </cfRule>
  </conditionalFormatting>
  <conditionalFormatting sqref="AD32:AJ32">
    <cfRule type="cellIs" dxfId="327" priority="194" operator="equal">
      <formula>0</formula>
    </cfRule>
    <cfRule type="expression" dxfId="326" priority="195">
      <formula>$AD$2=5</formula>
    </cfRule>
    <cfRule type="expression" dxfId="325" priority="196">
      <formula>$AD$2=0</formula>
    </cfRule>
    <cfRule type="expression" dxfId="324" priority="197">
      <formula>$AD$2=4</formula>
    </cfRule>
  </conditionalFormatting>
  <conditionalFormatting sqref="H32 AD32">
    <cfRule type="expression" dxfId="323" priority="193">
      <formula>$H$2=0</formula>
    </cfRule>
  </conditionalFormatting>
  <conditionalFormatting sqref="AD29:AJ29">
    <cfRule type="expression" dxfId="322" priority="192">
      <formula>$AD$2=1</formula>
    </cfRule>
  </conditionalFormatting>
  <conditionalFormatting sqref="H29:N29">
    <cfRule type="expression" dxfId="321" priority="190">
      <formula>$H$2=0</formula>
    </cfRule>
    <cfRule type="expression" dxfId="320" priority="191" stopIfTrue="1">
      <formula>(OR(H2="1",H2="2",H2="3"))</formula>
    </cfRule>
  </conditionalFormatting>
  <conditionalFormatting sqref="H30:N30">
    <cfRule type="expression" dxfId="319" priority="189">
      <formula>(OR(H2="2",H2="3"))</formula>
    </cfRule>
  </conditionalFormatting>
  <conditionalFormatting sqref="H31:N31">
    <cfRule type="cellIs" dxfId="318" priority="187" operator="equal">
      <formula>0</formula>
    </cfRule>
    <cfRule type="expression" dxfId="317" priority="188">
      <formula>(H2="3")</formula>
    </cfRule>
  </conditionalFormatting>
  <conditionalFormatting sqref="AD29:AJ29">
    <cfRule type="expression" dxfId="316" priority="185">
      <formula>$H$2=0</formula>
    </cfRule>
    <cfRule type="expression" dxfId="315" priority="186" stopIfTrue="1">
      <formula>(OR(AD2="1",AD2="2",AD2="3"))</formula>
    </cfRule>
  </conditionalFormatting>
  <conditionalFormatting sqref="AD30:AJ30">
    <cfRule type="expression" dxfId="314" priority="184">
      <formula>(OR(AD2="2",AD2="3"))</formula>
    </cfRule>
  </conditionalFormatting>
  <conditionalFormatting sqref="AD31">
    <cfRule type="expression" dxfId="313" priority="183">
      <formula>(AD2="3")</formula>
    </cfRule>
  </conditionalFormatting>
  <conditionalFormatting sqref="C8:F9 AF8:AI9">
    <cfRule type="expression" dxfId="312" priority="103">
      <formula>(OR($E$2=3,$E$2=4,$E$2=5))</formula>
    </cfRule>
  </conditionalFormatting>
  <conditionalFormatting sqref="AB20:AE21">
    <cfRule type="cellIs" dxfId="311" priority="6" operator="equal">
      <formula>0</formula>
    </cfRule>
  </conditionalFormatting>
  <conditionalFormatting sqref="AI20:AL21">
    <cfRule type="cellIs" dxfId="310" priority="5" operator="equal">
      <formula>0</formula>
    </cfRule>
  </conditionalFormatting>
  <conditionalFormatting sqref="AF25:AI26">
    <cfRule type="cellIs" dxfId="309" priority="4" operator="equal">
      <formula>0</formula>
    </cfRule>
  </conditionalFormatting>
  <conditionalFormatting sqref="M20:P21">
    <cfRule type="cellIs" dxfId="308" priority="3" operator="equal">
      <formula>0</formula>
    </cfRule>
  </conditionalFormatting>
  <conditionalFormatting sqref="F20:I21">
    <cfRule type="cellIs" dxfId="307" priority="2" operator="equal">
      <formula>0</formula>
    </cfRule>
  </conditionalFormatting>
  <conditionalFormatting sqref="J25:M26">
    <cfRule type="cellIs" dxfId="306" priority="1" operator="equal">
      <formula>0</formula>
    </cfRule>
  </conditionalFormatting>
  <pageMargins left="0.7" right="0.7" top="0.75" bottom="0.75" header="0.3" footer="0.3"/>
  <pageSetup paperSize="9" scale="48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9">
    <tabColor rgb="FF0070C0"/>
    <pageSetUpPr fitToPage="1"/>
  </sheetPr>
  <dimension ref="A1:AR37"/>
  <sheetViews>
    <sheetView topLeftCell="A10" zoomScale="80" zoomScaleNormal="80" workbookViewId="0">
      <selection activeCell="H47" sqref="H47:S55"/>
    </sheetView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7.7109375" customWidth="1"/>
    <col min="5" max="5" width="4.42578125" customWidth="1"/>
    <col min="6" max="6" width="7.85546875" customWidth="1"/>
    <col min="7" max="7" width="6" customWidth="1"/>
    <col min="8" max="8" width="7.8554687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8.85546875" customWidth="1"/>
    <col min="14" max="14" width="6.28515625" customWidth="1"/>
    <col min="15" max="15" width="4.42578125" customWidth="1"/>
    <col min="16" max="16" width="6.42578125" customWidth="1"/>
    <col min="17" max="17" width="7.7109375" customWidth="1"/>
    <col min="18" max="18" width="7.42578125" customWidth="1"/>
    <col min="19" max="19" width="9.7109375" customWidth="1"/>
    <col min="20" max="20" width="7.7109375" customWidth="1"/>
    <col min="21" max="21" width="5.42578125" hidden="1" customWidth="1"/>
    <col min="22" max="22" width="5.140625" hidden="1" customWidth="1"/>
    <col min="23" max="23" width="3.7109375" customWidth="1"/>
    <col min="24" max="24" width="7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8.5703125" customWidth="1"/>
    <col min="31" max="31" width="6.28515625" customWidth="1"/>
    <col min="32" max="32" width="4.42578125" customWidth="1"/>
    <col min="33" max="33" width="9" customWidth="1"/>
    <col min="34" max="34" width="6" customWidth="1"/>
    <col min="35" max="35" width="9.28515625" customWidth="1"/>
    <col min="36" max="36" width="6" customWidth="1"/>
    <col min="37" max="37" width="7.7109375" customWidth="1"/>
    <col min="38" max="38" width="5.28515625" customWidth="1"/>
    <col min="39" max="39" width="8.7109375" customWidth="1"/>
    <col min="40" max="40" width="6" customWidth="1"/>
    <col min="42" max="42" width="8" customWidth="1"/>
    <col min="43" max="43" width="7.140625" hidden="1" customWidth="1"/>
    <col min="44" max="44" width="6.28515625" hidden="1" customWidth="1"/>
  </cols>
  <sheetData>
    <row r="1" spans="1:44" ht="21.75" thickBot="1">
      <c r="A1" s="2"/>
      <c r="B1" s="1007" t="s">
        <v>70</v>
      </c>
      <c r="C1" s="1008"/>
      <c r="D1" s="1008"/>
      <c r="E1" s="1008">
        <f>Données!J1</f>
        <v>0</v>
      </c>
      <c r="F1" s="1008"/>
      <c r="G1" s="1008"/>
      <c r="H1" s="18" t="str">
        <f>Données!$D$3</f>
        <v>F_U18</v>
      </c>
      <c r="I1" s="1008">
        <f>Données!$N$3</f>
        <v>0</v>
      </c>
      <c r="J1" s="1008"/>
      <c r="K1" s="1008"/>
      <c r="L1" s="1008"/>
      <c r="M1" s="19">
        <f>Données!$G$3</f>
        <v>0</v>
      </c>
      <c r="N1" s="1007" t="s">
        <v>20</v>
      </c>
      <c r="O1" s="1008"/>
      <c r="P1" s="1008"/>
      <c r="Q1" s="1008"/>
      <c r="R1" s="1008"/>
      <c r="S1" s="1009"/>
      <c r="T1" s="5">
        <f>+Données!D17</f>
        <v>0</v>
      </c>
      <c r="W1" s="2"/>
      <c r="X1" s="1007" t="s">
        <v>70</v>
      </c>
      <c r="Y1" s="1008"/>
      <c r="Z1" s="1008"/>
      <c r="AA1" s="1008">
        <f>Données!J1</f>
        <v>0</v>
      </c>
      <c r="AB1" s="1008"/>
      <c r="AC1" s="1008"/>
      <c r="AD1" s="9" t="str">
        <f>Données!$D$3</f>
        <v>F_U18</v>
      </c>
      <c r="AE1" s="1008">
        <f>Données!$N$3</f>
        <v>0</v>
      </c>
      <c r="AF1" s="1008"/>
      <c r="AG1" s="1008"/>
      <c r="AH1" s="1008"/>
      <c r="AI1" s="10">
        <f>Données!$G$3</f>
        <v>0</v>
      </c>
      <c r="AJ1" s="1007" t="s">
        <v>20</v>
      </c>
      <c r="AK1" s="1008"/>
      <c r="AL1" s="1008"/>
      <c r="AM1" s="1008"/>
      <c r="AN1" s="1008"/>
      <c r="AO1" s="1009"/>
      <c r="AP1" s="27">
        <f>+Données!D17</f>
        <v>0</v>
      </c>
      <c r="AQ1" s="8"/>
    </row>
    <row r="2" spans="1:44" ht="18.75" customHeight="1" thickBot="1">
      <c r="A2" s="2"/>
      <c r="B2" s="1007" t="s">
        <v>31</v>
      </c>
      <c r="C2" s="1008"/>
      <c r="D2" s="1008"/>
      <c r="E2" s="17">
        <f>Données!Q17</f>
        <v>0</v>
      </c>
      <c r="F2" s="1008" t="s">
        <v>16</v>
      </c>
      <c r="G2" s="1008"/>
      <c r="H2" s="7">
        <f>Données!Q18</f>
        <v>0</v>
      </c>
      <c r="I2" s="1008" t="s">
        <v>17</v>
      </c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9"/>
      <c r="W2" s="2"/>
      <c r="X2" s="1007" t="s">
        <v>32</v>
      </c>
      <c r="Y2" s="1008"/>
      <c r="Z2" s="1008"/>
      <c r="AA2" s="6">
        <f>Données!$R$17</f>
        <v>0</v>
      </c>
      <c r="AB2" s="1008" t="s">
        <v>16</v>
      </c>
      <c r="AC2" s="1008"/>
      <c r="AD2" s="12">
        <f>Données!$R$18</f>
        <v>0</v>
      </c>
      <c r="AE2" s="1008" t="s">
        <v>17</v>
      </c>
      <c r="AF2" s="1008"/>
      <c r="AG2" s="1008"/>
      <c r="AH2" s="1008"/>
      <c r="AI2" s="1008"/>
      <c r="AJ2" s="1008"/>
      <c r="AK2" s="1008"/>
      <c r="AL2" s="1008"/>
      <c r="AM2" s="1008"/>
      <c r="AN2" s="1008"/>
      <c r="AO2" s="1008"/>
      <c r="AP2" s="1009"/>
      <c r="AQ2" s="8"/>
    </row>
    <row r="3" spans="1:44" ht="15" customHeight="1" thickBot="1">
      <c r="A3" s="30"/>
      <c r="B3" s="40"/>
      <c r="C3" s="41"/>
      <c r="D3" s="41"/>
      <c r="E3" s="41"/>
      <c r="F3" s="192" t="str">
        <f>CONCATENATE(E2,H2)</f>
        <v>00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2"/>
      <c r="U3" s="41"/>
      <c r="V3" s="41"/>
      <c r="W3" s="30"/>
      <c r="X3" s="40"/>
      <c r="Y3" s="41"/>
      <c r="Z3" s="41"/>
      <c r="AA3" s="33"/>
      <c r="AB3" s="193" t="str">
        <f>CONCATENATE(AA2,AD2)</f>
        <v>00</v>
      </c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2"/>
      <c r="AQ3" s="34"/>
      <c r="AR3" s="34"/>
    </row>
    <row r="4" spans="1:44" ht="15.75" thickBot="1">
      <c r="A4" s="30"/>
      <c r="B4" s="40"/>
      <c r="C4" s="959" t="s">
        <v>81</v>
      </c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0"/>
      <c r="Q4" s="960"/>
      <c r="R4" s="960"/>
      <c r="S4" s="961"/>
      <c r="T4" s="958"/>
      <c r="U4" s="43"/>
      <c r="V4" s="43"/>
      <c r="W4" s="30"/>
      <c r="X4" s="40"/>
      <c r="Y4" s="959" t="s">
        <v>81</v>
      </c>
      <c r="Z4" s="960"/>
      <c r="AA4" s="960"/>
      <c r="AB4" s="960"/>
      <c r="AC4" s="960"/>
      <c r="AD4" s="960"/>
      <c r="AE4" s="960"/>
      <c r="AF4" s="960"/>
      <c r="AG4" s="960"/>
      <c r="AH4" s="960"/>
      <c r="AI4" s="960"/>
      <c r="AJ4" s="960"/>
      <c r="AK4" s="960"/>
      <c r="AL4" s="960"/>
      <c r="AM4" s="960"/>
      <c r="AN4" s="960"/>
      <c r="AO4" s="961"/>
      <c r="AP4" s="958"/>
      <c r="AQ4" s="34"/>
      <c r="AR4" s="34"/>
    </row>
    <row r="5" spans="1:44">
      <c r="A5" s="30"/>
      <c r="B5" s="40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958"/>
      <c r="U5" s="43"/>
      <c r="V5" s="43"/>
      <c r="W5" s="30"/>
      <c r="X5" s="40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958"/>
      <c r="AQ5" s="34"/>
      <c r="AR5" s="34"/>
    </row>
    <row r="6" spans="1:44" ht="15.75" thickBot="1">
      <c r="A6" s="30"/>
      <c r="B6" s="40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5"/>
      <c r="S6" s="41"/>
      <c r="T6" s="42"/>
      <c r="U6" s="41"/>
      <c r="V6" s="41"/>
      <c r="W6" s="30"/>
      <c r="X6" s="40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5"/>
      <c r="AO6" s="41"/>
      <c r="AP6" s="42"/>
      <c r="AQ6" s="34"/>
      <c r="AR6" s="34"/>
    </row>
    <row r="7" spans="1:44" ht="15.75" thickBot="1">
      <c r="A7" s="30"/>
      <c r="B7" s="46" t="s">
        <v>6</v>
      </c>
      <c r="C7" s="47" t="s">
        <v>11</v>
      </c>
      <c r="D7" s="33"/>
      <c r="E7" s="44"/>
      <c r="F7" s="44"/>
      <c r="G7" s="41" t="s">
        <v>5</v>
      </c>
      <c r="H7" s="41"/>
      <c r="I7" s="41" t="s">
        <v>6</v>
      </c>
      <c r="J7" s="47" t="str">
        <f>IF(E2=2,"","C")</f>
        <v>C</v>
      </c>
      <c r="K7" s="33"/>
      <c r="L7" s="44"/>
      <c r="M7" s="44"/>
      <c r="N7" s="41" t="s">
        <v>5</v>
      </c>
      <c r="O7" s="41"/>
      <c r="P7" s="41"/>
      <c r="Q7" s="47" t="s">
        <v>52</v>
      </c>
      <c r="R7" s="44"/>
      <c r="S7" s="44" t="s">
        <v>78</v>
      </c>
      <c r="T7" s="48"/>
      <c r="U7" s="44"/>
      <c r="V7" s="44"/>
      <c r="W7" s="30"/>
      <c r="X7" s="46" t="s">
        <v>6</v>
      </c>
      <c r="Y7" s="47" t="s">
        <v>11</v>
      </c>
      <c r="Z7" s="33"/>
      <c r="AA7" s="44"/>
      <c r="AB7" s="44"/>
      <c r="AC7" s="41" t="s">
        <v>5</v>
      </c>
      <c r="AD7" s="41"/>
      <c r="AE7" s="41" t="s">
        <v>6</v>
      </c>
      <c r="AF7" s="47" t="str">
        <f>IF(AA2=2,"","C")</f>
        <v>C</v>
      </c>
      <c r="AG7" s="33"/>
      <c r="AH7" s="44"/>
      <c r="AI7" s="44"/>
      <c r="AJ7" s="41" t="s">
        <v>5</v>
      </c>
      <c r="AK7" s="41"/>
      <c r="AL7" s="41"/>
      <c r="AM7" s="47" t="s">
        <v>52</v>
      </c>
      <c r="AN7" s="44"/>
      <c r="AO7" s="44" t="s">
        <v>78</v>
      </c>
      <c r="AP7" s="48"/>
      <c r="AQ7" s="34"/>
      <c r="AR7" s="34"/>
    </row>
    <row r="8" spans="1:44" ht="15.75" thickBot="1">
      <c r="A8" s="195">
        <v>49</v>
      </c>
      <c r="B8" s="965"/>
      <c r="C8" s="970" t="str">
        <f>IF(ISNA(MATCH($A$8,Données!$AE$5:$AE$84,0)),"",INDEX(Données!$AC$5:$AC$82,MATCH($A$8,Données!$AE$5:$AE$84,0)))</f>
        <v/>
      </c>
      <c r="D8" s="979"/>
      <c r="E8" s="979"/>
      <c r="F8" s="980"/>
      <c r="G8" s="49">
        <v>1</v>
      </c>
      <c r="H8" s="196">
        <v>51</v>
      </c>
      <c r="I8" s="965"/>
      <c r="J8" s="1016" t="str">
        <f>IF(ISNA(MATCH($H$8,Données!$AE$5:$AE$84,0)),"",INDEX(Données!$AC$5:$AC$82,MATCH($H$8,Données!$AE$5:$AE$84,0)))</f>
        <v/>
      </c>
      <c r="K8" s="1017"/>
      <c r="L8" s="1017"/>
      <c r="M8" s="1018"/>
      <c r="N8" s="49">
        <v>1</v>
      </c>
      <c r="O8" s="41"/>
      <c r="P8" s="44"/>
      <c r="Q8" s="973" t="str">
        <f>IF(E2+E3=4,0,IF(E2+E3=3,0,IF(ISNA(MATCH($P$8,Données!$AE$5:$AE$85,0)),"",INDEX(Données!$AC$5:$AC$83,MATCH($P$8,Données!$AE$5:$AE$85,0)))))</f>
        <v/>
      </c>
      <c r="R8" s="974"/>
      <c r="S8" s="975"/>
      <c r="T8" s="50"/>
      <c r="U8" s="44"/>
      <c r="V8" s="44"/>
      <c r="W8" s="141">
        <v>53</v>
      </c>
      <c r="X8" s="965"/>
      <c r="Y8" s="970" t="str">
        <f>IF(ISNA(MATCH($W$8,Données!$AE$5:$AE$84,0)),"",INDEX(Données!$AC$5:$AC$82,MATCH($W$8,Données!$AE$5:$AE$84,0)))</f>
        <v/>
      </c>
      <c r="Z8" s="979"/>
      <c r="AA8" s="979"/>
      <c r="AB8" s="980"/>
      <c r="AC8" s="49">
        <v>1</v>
      </c>
      <c r="AD8" s="196">
        <v>55</v>
      </c>
      <c r="AE8" s="965"/>
      <c r="AF8" s="970" t="str">
        <f>IF(ISNA(MATCH($AD$8,Données!$AE$5:$AE$84,0)),"",INDEX(Données!$AC$5:$AC$82,MATCH($AD$8,Données!$AE$5:$AE$84,0)))</f>
        <v/>
      </c>
      <c r="AG8" s="979"/>
      <c r="AH8" s="979"/>
      <c r="AI8" s="980"/>
      <c r="AJ8" s="49">
        <v>1</v>
      </c>
      <c r="AK8" s="41"/>
      <c r="AL8" s="44"/>
      <c r="AM8" s="973" t="str">
        <f>IF($AA$2+$AA$3=4,0,IF($AA$2+$AA$3=3,0,IF(ISNA(MATCH($AL$8,Données!$AE$5:$AE$85,0)),"",INDEX(Données!$AC$5:$AC$83,MATCH($AL$8,Données!$AE$5:$AE$85,0)))))</f>
        <v/>
      </c>
      <c r="AN8" s="974"/>
      <c r="AO8" s="975"/>
      <c r="AP8" s="50"/>
      <c r="AQ8" s="34"/>
      <c r="AR8" s="34"/>
    </row>
    <row r="9" spans="1:44" ht="15.75" thickBot="1">
      <c r="A9" s="195">
        <v>50</v>
      </c>
      <c r="B9" s="966"/>
      <c r="C9" s="976" t="str">
        <f>IF(ISNA(MATCH($A$9,Données!$AE$5:$AE$84,0)),"",INDEX(Données!$AC$5:$AC$82,MATCH($A$9,Données!$AE$5:$AE$84,0)))</f>
        <v/>
      </c>
      <c r="D9" s="981"/>
      <c r="E9" s="981"/>
      <c r="F9" s="982"/>
      <c r="G9" s="73">
        <v>0</v>
      </c>
      <c r="H9" s="196">
        <v>52</v>
      </c>
      <c r="I9" s="966"/>
      <c r="J9" s="985" t="str">
        <f>IF(ISNA(MATCH($H$9,Données!$AE$5:$AE$84,0)),"0ffice",INDEX(Données!$AC$5:$AC$82,MATCH($H$9,Données!$AE$5:$AE$84,0)))</f>
        <v>0ffice</v>
      </c>
      <c r="K9" s="986"/>
      <c r="L9" s="986"/>
      <c r="M9" s="987"/>
      <c r="N9" s="49">
        <v>0</v>
      </c>
      <c r="O9" s="41"/>
      <c r="P9" s="44"/>
      <c r="R9" s="44"/>
      <c r="S9" s="44"/>
      <c r="T9" s="48"/>
      <c r="U9" s="44"/>
      <c r="V9" s="44"/>
      <c r="W9" s="141">
        <v>54</v>
      </c>
      <c r="X9" s="966"/>
      <c r="Y9" s="976" t="str">
        <f>IF(ISNA(MATCH($W$9,Données!$AE$5:$AE$84,0)),"",INDEX(Données!$AC$5:$AC$82,MATCH($W$9,Données!$AE$5:$AE$84,0)))</f>
        <v/>
      </c>
      <c r="Z9" s="981"/>
      <c r="AA9" s="981"/>
      <c r="AB9" s="982"/>
      <c r="AC9" s="73">
        <v>0</v>
      </c>
      <c r="AD9" s="196">
        <v>56</v>
      </c>
      <c r="AE9" s="966"/>
      <c r="AF9" s="985" t="str">
        <f>IF(ISNA(MATCH($AD$9,Données!$AE$5:$AE$84,0)),"",INDEX(Données!$AC$5:$AC$82,MATCH($AD$9,Données!$AE$5:$AE$84,0)))</f>
        <v/>
      </c>
      <c r="AG9" s="986"/>
      <c r="AH9" s="986"/>
      <c r="AI9" s="987"/>
      <c r="AJ9" s="49">
        <v>0</v>
      </c>
      <c r="AK9" s="41"/>
      <c r="AL9" s="44"/>
      <c r="AN9" s="44"/>
      <c r="AO9" s="44"/>
      <c r="AP9" s="48"/>
      <c r="AQ9" s="34"/>
      <c r="AR9" s="34"/>
    </row>
    <row r="10" spans="1:44" ht="15.75" thickBot="1">
      <c r="A10" s="30"/>
      <c r="B10" s="40"/>
      <c r="C10" s="83" t="s">
        <v>12</v>
      </c>
      <c r="D10" s="33"/>
      <c r="E10" s="44"/>
      <c r="F10" s="44"/>
      <c r="G10" s="44"/>
      <c r="H10" s="44"/>
      <c r="I10" s="44"/>
      <c r="J10" s="47" t="s">
        <v>51</v>
      </c>
      <c r="K10" s="33"/>
      <c r="L10" s="44"/>
      <c r="M10" s="44"/>
      <c r="N10" s="44"/>
      <c r="O10" s="44"/>
      <c r="P10" s="44"/>
      <c r="Q10" s="44"/>
      <c r="R10" s="44"/>
      <c r="S10" s="44"/>
      <c r="T10" s="48"/>
      <c r="U10" s="44"/>
      <c r="V10" s="44"/>
      <c r="W10" s="30"/>
      <c r="X10" s="40"/>
      <c r="Y10" s="83" t="s">
        <v>12</v>
      </c>
      <c r="Z10" s="33"/>
      <c r="AA10" s="44"/>
      <c r="AB10" s="44"/>
      <c r="AC10" s="44"/>
      <c r="AD10" s="44"/>
      <c r="AE10" s="44"/>
      <c r="AF10" s="47" t="s">
        <v>51</v>
      </c>
      <c r="AG10" s="33"/>
      <c r="AH10" s="44"/>
      <c r="AI10" s="44"/>
      <c r="AJ10" s="44"/>
      <c r="AK10" s="44"/>
      <c r="AL10" s="44"/>
      <c r="AM10" s="44"/>
      <c r="AN10" s="44"/>
      <c r="AO10" s="44"/>
      <c r="AP10" s="48"/>
      <c r="AQ10" s="34"/>
      <c r="AR10" s="34"/>
    </row>
    <row r="11" spans="1:44">
      <c r="A11" s="30"/>
      <c r="B11" s="40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8"/>
      <c r="U11" s="44"/>
      <c r="V11" s="44"/>
      <c r="W11" s="30"/>
      <c r="X11" s="40"/>
      <c r="Y11" s="45"/>
      <c r="Z11" s="45"/>
      <c r="AA11" s="45"/>
      <c r="AB11" s="45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8"/>
      <c r="AQ11" s="34"/>
      <c r="AR11" s="34"/>
    </row>
    <row r="12" spans="1:44">
      <c r="A12" s="30"/>
      <c r="B12" s="40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8"/>
      <c r="U12" s="44"/>
      <c r="V12" s="44"/>
      <c r="W12" s="30"/>
      <c r="X12" s="40"/>
      <c r="Y12" s="45"/>
      <c r="Z12" s="45"/>
      <c r="AA12" s="45"/>
      <c r="AB12" s="45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8"/>
      <c r="AQ12" s="34"/>
      <c r="AR12" s="34"/>
    </row>
    <row r="13" spans="1:44" ht="15.75" thickBot="1">
      <c r="A13" s="30"/>
      <c r="B13" s="46" t="s">
        <v>6</v>
      </c>
      <c r="C13" s="44"/>
      <c r="D13" s="70" t="s">
        <v>77</v>
      </c>
      <c r="E13" s="44"/>
      <c r="F13" s="44"/>
      <c r="G13" s="41" t="s">
        <v>5</v>
      </c>
      <c r="H13" s="41"/>
      <c r="I13" s="44"/>
      <c r="J13" s="44"/>
      <c r="K13" s="44"/>
      <c r="L13" s="44" t="s">
        <v>78</v>
      </c>
      <c r="M13" s="44"/>
      <c r="N13" s="44"/>
      <c r="O13" s="44"/>
      <c r="P13" s="41" t="s">
        <v>6</v>
      </c>
      <c r="Q13" s="44"/>
      <c r="R13" s="70" t="s">
        <v>76</v>
      </c>
      <c r="S13" s="44"/>
      <c r="T13" s="126" t="s">
        <v>5</v>
      </c>
      <c r="U13" s="52"/>
      <c r="V13" s="53"/>
      <c r="W13" s="30"/>
      <c r="X13" s="54" t="s">
        <v>6</v>
      </c>
      <c r="Y13" s="45"/>
      <c r="Z13" s="45" t="s">
        <v>77</v>
      </c>
      <c r="AA13" s="45"/>
      <c r="AB13" s="45"/>
      <c r="AC13" s="41" t="s">
        <v>5</v>
      </c>
      <c r="AD13" s="41"/>
      <c r="AE13" s="44"/>
      <c r="AF13" s="44"/>
      <c r="AG13" s="44"/>
      <c r="AH13" s="44" t="s">
        <v>78</v>
      </c>
      <c r="AI13" s="44"/>
      <c r="AJ13" s="44"/>
      <c r="AK13" s="44"/>
      <c r="AL13" s="41" t="s">
        <v>6</v>
      </c>
      <c r="AM13" s="44"/>
      <c r="AN13" s="44" t="s">
        <v>76</v>
      </c>
      <c r="AO13" s="44"/>
      <c r="AP13" s="42" t="s">
        <v>5</v>
      </c>
      <c r="AQ13" s="53"/>
      <c r="AR13" s="53"/>
    </row>
    <row r="14" spans="1:44" ht="15.75" thickBot="1">
      <c r="A14" s="30"/>
      <c r="B14" s="965"/>
      <c r="C14" s="970" t="str">
        <f>IF($G$8=$G$9,"résultat",IF($G$8&gt;$G$9,$C$9,$C$8))</f>
        <v/>
      </c>
      <c r="D14" s="971"/>
      <c r="E14" s="971"/>
      <c r="F14" s="972"/>
      <c r="G14" s="49">
        <v>1</v>
      </c>
      <c r="H14" s="41"/>
      <c r="I14" s="44"/>
      <c r="J14" s="994" t="str">
        <f>IF(ISTEXT($Q$8),IF(($G$9=$G$8),"résultat",IF(($N$9=$N$8),"résultat",IF(($U$14=2),$C$8,IF(($V$14=2),$C$9,IF(($U$15=2),$J$9,IF(($V$15=2),J8,0)))))))</f>
        <v/>
      </c>
      <c r="K14" s="995"/>
      <c r="L14" s="995"/>
      <c r="M14" s="996"/>
      <c r="N14" s="50"/>
      <c r="O14" s="44"/>
      <c r="P14" s="965"/>
      <c r="Q14" s="967" t="str">
        <f>IF($E$2+$E$3=5,$Q$8,IF($N$8=$N$9,"résultat",IF($N$8&gt;$N$9,$J$8,$J$9)))</f>
        <v/>
      </c>
      <c r="R14" s="968"/>
      <c r="S14" s="969"/>
      <c r="T14" s="49">
        <v>1</v>
      </c>
      <c r="U14" s="56">
        <f>IF(G8&gt;G9,1)+IF(N8&gt;N9,1)</f>
        <v>2</v>
      </c>
      <c r="V14" s="57">
        <f>IF(G9&gt;G8,1)+IF(N9&gt;N8,1)</f>
        <v>0</v>
      </c>
      <c r="W14" s="30"/>
      <c r="X14" s="965"/>
      <c r="Y14" s="1015" t="str">
        <f>IF($AC$8=$AC$9,"résultat",IF($AC$8&gt;$AC$9,$Y$9,$Y$8))</f>
        <v/>
      </c>
      <c r="Z14" s="971"/>
      <c r="AA14" s="971"/>
      <c r="AB14" s="972"/>
      <c r="AC14" s="49">
        <v>1</v>
      </c>
      <c r="AD14" s="41"/>
      <c r="AE14" s="44"/>
      <c r="AF14" s="997" t="str">
        <f>IF(ISTEXT($AM$8),IF(($AC$9=$AC$8),"résultat",IF(($AJ$9=$AJ$8),"résultat",IF(($AQ$14=2),$Y$8,IF(($AR$14=2),$Y$9,IF(($AQ$15=2),$AF$9,IF(($AR$15=2),$AF$8,0)))))))</f>
        <v/>
      </c>
      <c r="AG14" s="995"/>
      <c r="AH14" s="995"/>
      <c r="AI14" s="996"/>
      <c r="AJ14" s="55"/>
      <c r="AK14" s="44"/>
      <c r="AL14" s="965"/>
      <c r="AM14" s="967" t="str">
        <f>IF($AA$2+$AA$3=5,$AM$8,IF($AJ$8&gt;$AJ$9,$AF$8,$AF$9))</f>
        <v/>
      </c>
      <c r="AN14" s="968"/>
      <c r="AO14" s="969"/>
      <c r="AP14" s="49">
        <v>1</v>
      </c>
      <c r="AQ14" s="56">
        <f>IF(AC8&gt;AC9,1)+IF(AJ8&gt;AJ9,1)</f>
        <v>2</v>
      </c>
      <c r="AR14" s="57">
        <f>IF(AC9&gt;AC8,1)+IF(AJ9&gt;AJ8,1)</f>
        <v>0</v>
      </c>
    </row>
    <row r="15" spans="1:44" ht="15.75" thickBot="1">
      <c r="A15" s="30"/>
      <c r="B15" s="966"/>
      <c r="C15" s="962" t="str">
        <f>IF($N$8=$N$9,"résultat",IF($N$8&lt;$N$9,$J$8,$J$9))</f>
        <v>0ffice</v>
      </c>
      <c r="D15" s="963"/>
      <c r="E15" s="963"/>
      <c r="F15" s="964"/>
      <c r="G15" s="58">
        <v>0</v>
      </c>
      <c r="H15" s="41"/>
      <c r="I15" s="44"/>
      <c r="J15" s="59" t="str">
        <f>IF(ISTEXT(J14)," ",0)</f>
        <v xml:space="preserve"> </v>
      </c>
      <c r="K15" s="44"/>
      <c r="L15" s="44"/>
      <c r="M15" s="44"/>
      <c r="N15" s="44"/>
      <c r="O15" s="44"/>
      <c r="P15" s="966"/>
      <c r="Q15" s="962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963"/>
      <c r="S15" s="964"/>
      <c r="T15" s="73">
        <v>0</v>
      </c>
      <c r="U15" s="60">
        <f>IF(G8&gt;G9,1)+IF(N9&gt;N8,1)</f>
        <v>1</v>
      </c>
      <c r="V15" s="61">
        <f>IF(G9&gt;G8,1)+IF(N8&gt;N9,1)</f>
        <v>1</v>
      </c>
      <c r="W15" s="30"/>
      <c r="X15" s="966"/>
      <c r="Y15" s="962" t="str">
        <f>IF($AJ$8=$AJ$9,"résultat",IF($AJ$8&lt;$AJ$9,$AF$8,$AF$9))</f>
        <v/>
      </c>
      <c r="Z15" s="963"/>
      <c r="AA15" s="963"/>
      <c r="AB15" s="964"/>
      <c r="AC15" s="49">
        <v>0</v>
      </c>
      <c r="AD15" s="41"/>
      <c r="AE15" s="44"/>
      <c r="AF15" s="44"/>
      <c r="AG15" s="44"/>
      <c r="AH15" s="44"/>
      <c r="AI15" s="44"/>
      <c r="AJ15" s="44"/>
      <c r="AK15" s="44"/>
      <c r="AL15" s="966"/>
      <c r="AM15" s="962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963"/>
      <c r="AO15" s="964"/>
      <c r="AP15" s="72">
        <v>0</v>
      </c>
      <c r="AQ15" s="60">
        <f>IF(AC8&gt;AC9,1)+IF(AJ9&gt;AJ8,1)</f>
        <v>1</v>
      </c>
      <c r="AR15" s="61">
        <f>IF(AC9&gt;AC8,1)+IF(AJ8&gt;AJ9,1)</f>
        <v>1</v>
      </c>
    </row>
    <row r="16" spans="1:44">
      <c r="A16" s="30"/>
      <c r="B16" s="40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62"/>
      <c r="Q16" s="44"/>
      <c r="R16" s="44"/>
      <c r="S16" s="44"/>
      <c r="T16" s="48"/>
      <c r="U16" s="44"/>
      <c r="V16" s="44"/>
      <c r="W16" s="30"/>
      <c r="X16" s="40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8"/>
      <c r="AQ16" s="34"/>
      <c r="AR16" s="34"/>
    </row>
    <row r="17" spans="1:44">
      <c r="A17" s="30"/>
      <c r="B17" s="40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8"/>
      <c r="U17" s="44"/>
      <c r="V17" s="44"/>
      <c r="W17" s="30"/>
      <c r="X17" s="40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8"/>
      <c r="AQ17" s="34"/>
      <c r="AR17" s="34"/>
    </row>
    <row r="18" spans="1:44">
      <c r="A18" s="30"/>
      <c r="B18" s="40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6"/>
      <c r="T18" s="48"/>
      <c r="U18" s="44"/>
      <c r="V18" s="44"/>
      <c r="W18" s="30"/>
      <c r="X18" s="40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8"/>
      <c r="AQ18" s="34"/>
      <c r="AR18" s="34"/>
    </row>
    <row r="19" spans="1:44" ht="15.75" thickBot="1">
      <c r="A19" s="30"/>
      <c r="B19" s="40"/>
      <c r="C19" s="44"/>
      <c r="D19" s="44"/>
      <c r="E19" s="41" t="s">
        <v>6</v>
      </c>
      <c r="F19" s="44"/>
      <c r="G19" s="44"/>
      <c r="H19" s="44"/>
      <c r="I19" s="44"/>
      <c r="J19" s="41" t="s">
        <v>5</v>
      </c>
      <c r="K19" s="41"/>
      <c r="L19" s="41" t="s">
        <v>6</v>
      </c>
      <c r="M19" s="44"/>
      <c r="N19" s="44"/>
      <c r="O19" s="44"/>
      <c r="P19" s="44"/>
      <c r="Q19" s="41" t="s">
        <v>5</v>
      </c>
      <c r="R19" s="44"/>
      <c r="S19" s="44"/>
      <c r="T19" s="48"/>
      <c r="U19" s="63"/>
      <c r="V19" s="44"/>
      <c r="W19" s="30"/>
      <c r="X19" s="40"/>
      <c r="Y19" s="44"/>
      <c r="Z19" s="44"/>
      <c r="AA19" s="41" t="s">
        <v>6</v>
      </c>
      <c r="AB19" s="44"/>
      <c r="AC19" s="44"/>
      <c r="AD19" s="44"/>
      <c r="AE19" s="44"/>
      <c r="AF19" s="41" t="s">
        <v>5</v>
      </c>
      <c r="AG19" s="41"/>
      <c r="AH19" s="41" t="s">
        <v>6</v>
      </c>
      <c r="AI19" s="44"/>
      <c r="AJ19" s="44"/>
      <c r="AK19" s="44"/>
      <c r="AL19" s="44"/>
      <c r="AM19" s="41" t="s">
        <v>5</v>
      </c>
      <c r="AN19" s="44"/>
      <c r="AO19" s="44"/>
      <c r="AP19" s="48"/>
      <c r="AQ19" s="34"/>
      <c r="AR19" s="34"/>
    </row>
    <row r="20" spans="1:44" ht="15.75" thickBot="1">
      <c r="A20" s="30"/>
      <c r="B20" s="40"/>
      <c r="C20" s="44"/>
      <c r="D20" s="44"/>
      <c r="E20" s="965"/>
      <c r="F20" s="976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977"/>
      <c r="H20" s="977"/>
      <c r="I20" s="978"/>
      <c r="J20" s="49">
        <v>1</v>
      </c>
      <c r="K20" s="41"/>
      <c r="L20" s="965" t="s">
        <v>13</v>
      </c>
      <c r="M20" s="991" t="b">
        <f>IF($E$2+$E$3=5,$J$14)</f>
        <v>0</v>
      </c>
      <c r="N20" s="992"/>
      <c r="O20" s="992"/>
      <c r="P20" s="993"/>
      <c r="Q20" s="49">
        <v>1</v>
      </c>
      <c r="R20" s="44"/>
      <c r="S20" s="44"/>
      <c r="T20" s="48"/>
      <c r="U20" s="44"/>
      <c r="V20" s="44"/>
      <c r="W20" s="30"/>
      <c r="X20" s="40"/>
      <c r="Y20" s="44"/>
      <c r="Z20" s="44"/>
      <c r="AA20" s="965"/>
      <c r="AB20" s="976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977"/>
      <c r="AD20" s="977"/>
      <c r="AE20" s="978"/>
      <c r="AF20" s="49">
        <v>1</v>
      </c>
      <c r="AG20" s="41"/>
      <c r="AH20" s="965" t="s">
        <v>13</v>
      </c>
      <c r="AI20" s="991" t="b">
        <f>IF($AA$2+$AA$3=5,$AF$14)</f>
        <v>0</v>
      </c>
      <c r="AJ20" s="992"/>
      <c r="AK20" s="992"/>
      <c r="AL20" s="993"/>
      <c r="AM20" s="49">
        <v>1</v>
      </c>
      <c r="AN20" s="44"/>
      <c r="AO20" s="44"/>
      <c r="AP20" s="48"/>
      <c r="AQ20" s="34"/>
      <c r="AR20" s="34"/>
    </row>
    <row r="21" spans="1:44" ht="15.75" thickBot="1">
      <c r="A21" s="30"/>
      <c r="B21" s="40"/>
      <c r="C21" s="44"/>
      <c r="D21" s="44"/>
      <c r="E21" s="966"/>
      <c r="F21" s="976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981"/>
      <c r="H21" s="981"/>
      <c r="I21" s="982"/>
      <c r="J21" s="49">
        <v>0</v>
      </c>
      <c r="K21" s="41"/>
      <c r="L21" s="966"/>
      <c r="M21" s="976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981"/>
      <c r="O21" s="981"/>
      <c r="P21" s="982"/>
      <c r="Q21" s="49">
        <v>0</v>
      </c>
      <c r="R21" s="44"/>
      <c r="S21" s="63"/>
      <c r="T21" s="48"/>
      <c r="U21" s="44"/>
      <c r="V21" s="36"/>
      <c r="W21" s="30"/>
      <c r="X21" s="40"/>
      <c r="Y21" s="44"/>
      <c r="Z21" s="44"/>
      <c r="AA21" s="966"/>
      <c r="AB21" s="976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981"/>
      <c r="AD21" s="981"/>
      <c r="AE21" s="982"/>
      <c r="AF21" s="49">
        <v>0</v>
      </c>
      <c r="AG21" s="41"/>
      <c r="AH21" s="966"/>
      <c r="AI21" s="976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981"/>
      <c r="AK21" s="981"/>
      <c r="AL21" s="982"/>
      <c r="AM21" s="49">
        <v>0</v>
      </c>
      <c r="AN21" s="44"/>
      <c r="AO21" s="44"/>
      <c r="AP21" s="48"/>
      <c r="AQ21" s="34"/>
      <c r="AR21" s="34"/>
    </row>
    <row r="22" spans="1:44">
      <c r="A22" s="30"/>
      <c r="B22" s="40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8"/>
      <c r="U22" s="44"/>
      <c r="V22" s="44"/>
      <c r="W22" s="30"/>
      <c r="X22" s="40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8"/>
      <c r="AQ22" s="34"/>
      <c r="AR22" s="34"/>
    </row>
    <row r="23" spans="1:44">
      <c r="A23" s="30"/>
      <c r="B23" s="40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8"/>
      <c r="U23" s="44"/>
      <c r="V23" s="44"/>
      <c r="W23" s="30"/>
      <c r="X23" s="40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8"/>
      <c r="AQ23" s="34"/>
      <c r="AR23" s="34"/>
    </row>
    <row r="24" spans="1:44" ht="15.75" thickBot="1">
      <c r="A24" s="30"/>
      <c r="B24" s="40"/>
      <c r="C24" s="44"/>
      <c r="D24" s="44"/>
      <c r="E24" s="44"/>
      <c r="F24" s="44"/>
      <c r="G24" s="44"/>
      <c r="H24" s="44"/>
      <c r="I24" s="41" t="s">
        <v>6</v>
      </c>
      <c r="J24" s="44"/>
      <c r="K24" s="44"/>
      <c r="L24" s="44"/>
      <c r="M24" s="44"/>
      <c r="N24" s="41" t="s">
        <v>5</v>
      </c>
      <c r="O24" s="41"/>
      <c r="P24" s="64"/>
      <c r="Q24" s="44"/>
      <c r="R24" s="44"/>
      <c r="S24" s="44"/>
      <c r="T24" s="48"/>
      <c r="U24" s="44"/>
      <c r="V24" s="44"/>
      <c r="W24" s="30"/>
      <c r="X24" s="40"/>
      <c r="Y24" s="44"/>
      <c r="Z24" s="44"/>
      <c r="AA24" s="44"/>
      <c r="AB24" s="44"/>
      <c r="AC24" s="44"/>
      <c r="AD24" s="44"/>
      <c r="AE24" s="41" t="s">
        <v>6</v>
      </c>
      <c r="AF24" s="44"/>
      <c r="AG24" s="44"/>
      <c r="AH24" s="44"/>
      <c r="AI24" s="44"/>
      <c r="AJ24" s="41" t="s">
        <v>5</v>
      </c>
      <c r="AK24" s="41"/>
      <c r="AL24" s="64"/>
      <c r="AM24" s="44"/>
      <c r="AN24" s="44"/>
      <c r="AO24" s="44"/>
      <c r="AP24" s="48"/>
      <c r="AQ24" s="34"/>
      <c r="AR24" s="34"/>
    </row>
    <row r="25" spans="1:44" ht="15.75" thickBot="1">
      <c r="A25" s="30"/>
      <c r="B25" s="40"/>
      <c r="C25" s="44"/>
      <c r="D25" s="44"/>
      <c r="E25" s="44"/>
      <c r="F25" s="44"/>
      <c r="G25" s="44"/>
      <c r="H25" s="44"/>
      <c r="I25" s="965"/>
      <c r="J25" s="1001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002"/>
      <c r="L25" s="1002"/>
      <c r="M25" s="1003"/>
      <c r="N25" s="49">
        <v>1</v>
      </c>
      <c r="O25" s="41"/>
      <c r="P25" s="44"/>
      <c r="Q25" s="44"/>
      <c r="R25" s="44"/>
      <c r="S25" s="44"/>
      <c r="T25" s="48"/>
      <c r="U25" s="44"/>
      <c r="V25" s="44"/>
      <c r="W25" s="30"/>
      <c r="X25" s="40"/>
      <c r="Y25" s="44"/>
      <c r="Z25" s="44"/>
      <c r="AA25" s="44"/>
      <c r="AB25" s="44"/>
      <c r="AC25" s="44"/>
      <c r="AD25" s="44"/>
      <c r="AE25" s="965"/>
      <c r="AF25" s="1001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1002"/>
      <c r="AH25" s="1002"/>
      <c r="AI25" s="1003"/>
      <c r="AJ25" s="49">
        <v>1</v>
      </c>
      <c r="AK25" s="41"/>
      <c r="AL25" s="44"/>
      <c r="AM25" s="44"/>
      <c r="AN25" s="44"/>
      <c r="AO25" s="44"/>
      <c r="AP25" s="48"/>
      <c r="AQ25" s="34"/>
      <c r="AR25" s="34"/>
    </row>
    <row r="26" spans="1:44" ht="15.75" thickBot="1">
      <c r="A26" s="30"/>
      <c r="B26" s="40"/>
      <c r="C26" s="44"/>
      <c r="D26" s="44"/>
      <c r="E26" s="44"/>
      <c r="F26" s="44"/>
      <c r="G26" s="44"/>
      <c r="H26" s="44"/>
      <c r="I26" s="966"/>
      <c r="J26" s="998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999"/>
      <c r="L26" s="999"/>
      <c r="M26" s="1000"/>
      <c r="N26" s="49">
        <v>0</v>
      </c>
      <c r="O26" s="41"/>
      <c r="P26" s="44"/>
      <c r="Q26" s="44"/>
      <c r="R26" s="44"/>
      <c r="S26" s="44"/>
      <c r="T26" s="48"/>
      <c r="U26" s="44"/>
      <c r="V26" s="44"/>
      <c r="W26" s="30"/>
      <c r="X26" s="40"/>
      <c r="Y26" s="44"/>
      <c r="Z26" s="44"/>
      <c r="AA26" s="44"/>
      <c r="AB26" s="44"/>
      <c r="AC26" s="44"/>
      <c r="AD26" s="44"/>
      <c r="AE26" s="966"/>
      <c r="AF26" s="998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999"/>
      <c r="AH26" s="999"/>
      <c r="AI26" s="1000"/>
      <c r="AJ26" s="49">
        <v>0</v>
      </c>
      <c r="AK26" s="41"/>
      <c r="AL26" s="44"/>
      <c r="AM26" s="44"/>
      <c r="AN26" s="44"/>
      <c r="AO26" s="44"/>
      <c r="AP26" s="48"/>
      <c r="AQ26" s="34"/>
      <c r="AR26" s="34"/>
    </row>
    <row r="27" spans="1:44" ht="15.75" thickBot="1">
      <c r="A27" s="30"/>
      <c r="B27" s="40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8"/>
      <c r="U27" s="44"/>
      <c r="V27" s="44"/>
      <c r="W27" s="30"/>
      <c r="X27" s="40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8"/>
      <c r="AQ27" s="34"/>
      <c r="AR27" s="34"/>
    </row>
    <row r="28" spans="1:44" ht="15.75" thickBot="1">
      <c r="A28" s="30"/>
      <c r="B28" s="40"/>
      <c r="D28" s="44"/>
      <c r="E28" s="44"/>
      <c r="F28" s="44"/>
      <c r="G28" s="44"/>
      <c r="H28" s="44"/>
      <c r="I28" s="44"/>
      <c r="J28" s="955" t="s">
        <v>75</v>
      </c>
      <c r="K28" s="956"/>
      <c r="L28" s="956"/>
      <c r="M28" s="957"/>
      <c r="N28" s="44"/>
      <c r="O28" s="44"/>
      <c r="P28" s="63"/>
      <c r="Q28" s="44"/>
      <c r="R28" s="44"/>
      <c r="S28" s="44"/>
      <c r="T28" s="48"/>
      <c r="W28" s="30"/>
      <c r="X28" s="40"/>
      <c r="Z28" s="44"/>
      <c r="AA28" s="44"/>
      <c r="AB28" s="44"/>
      <c r="AC28" s="44"/>
      <c r="AD28" s="44"/>
      <c r="AE28" s="44"/>
      <c r="AF28" s="955" t="s">
        <v>75</v>
      </c>
      <c r="AG28" s="956"/>
      <c r="AH28" s="956"/>
      <c r="AI28" s="957"/>
      <c r="AJ28" s="44"/>
      <c r="AK28" s="44"/>
      <c r="AL28" s="63"/>
      <c r="AM28" s="44"/>
      <c r="AN28" s="44"/>
      <c r="AO28" s="44"/>
      <c r="AP28" s="48"/>
    </row>
    <row r="29" spans="1:44">
      <c r="A29" s="30"/>
      <c r="B29" s="40"/>
      <c r="D29" s="928" t="s">
        <v>0</v>
      </c>
      <c r="E29" s="929"/>
      <c r="F29" s="930"/>
      <c r="G29" s="44"/>
      <c r="H29" s="1025" t="str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OFFICE</v>
      </c>
      <c r="I29" s="1026"/>
      <c r="J29" s="1026"/>
      <c r="K29" s="1026"/>
      <c r="L29" s="1026"/>
      <c r="M29" s="1026"/>
      <c r="N29" s="1027"/>
      <c r="O29" s="44"/>
      <c r="P29" s="44"/>
      <c r="Q29" s="44"/>
      <c r="R29" s="44"/>
      <c r="S29" s="44"/>
      <c r="T29" s="48"/>
      <c r="W29" s="30"/>
      <c r="X29" s="40"/>
      <c r="Z29" s="928" t="s">
        <v>0</v>
      </c>
      <c r="AA29" s="929"/>
      <c r="AB29" s="930"/>
      <c r="AC29" s="44"/>
      <c r="AD29" s="1025" t="str">
        <f>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</f>
        <v>OFFICE</v>
      </c>
      <c r="AE29" s="1026"/>
      <c r="AF29" s="1026"/>
      <c r="AG29" s="1026"/>
      <c r="AH29" s="1026"/>
      <c r="AI29" s="1026"/>
      <c r="AJ29" s="1027"/>
      <c r="AK29" s="44"/>
      <c r="AL29" s="44"/>
      <c r="AN29" s="44"/>
      <c r="AO29" s="44"/>
      <c r="AP29" s="48"/>
    </row>
    <row r="30" spans="1:44">
      <c r="A30" s="30"/>
      <c r="B30" s="40"/>
      <c r="D30" s="925" t="s">
        <v>1</v>
      </c>
      <c r="E30" s="926"/>
      <c r="F30" s="927"/>
      <c r="G30" s="44"/>
      <c r="H30" s="1031" t="str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OFFICE</v>
      </c>
      <c r="I30" s="1032"/>
      <c r="J30" s="1032"/>
      <c r="K30" s="1032"/>
      <c r="L30" s="1032"/>
      <c r="M30" s="1032"/>
      <c r="N30" s="1033"/>
      <c r="O30" s="44"/>
      <c r="P30" s="65"/>
      <c r="Q30" s="65"/>
      <c r="R30" s="65"/>
      <c r="S30" s="65"/>
      <c r="T30" s="48"/>
      <c r="W30" s="30"/>
      <c r="X30" s="40"/>
      <c r="Z30" s="925" t="s">
        <v>1</v>
      </c>
      <c r="AA30" s="926"/>
      <c r="AB30" s="927"/>
      <c r="AC30" s="44"/>
      <c r="AD30" s="1031" t="str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OFFICE</v>
      </c>
      <c r="AE30" s="1032"/>
      <c r="AF30" s="1032"/>
      <c r="AG30" s="1032"/>
      <c r="AH30" s="1032"/>
      <c r="AI30" s="1032"/>
      <c r="AJ30" s="1033"/>
      <c r="AK30" s="44"/>
      <c r="AL30" s="65"/>
      <c r="AM30" s="65"/>
      <c r="AN30" s="65"/>
      <c r="AO30" s="44"/>
      <c r="AP30" s="48"/>
    </row>
    <row r="31" spans="1:44">
      <c r="A31" s="30"/>
      <c r="B31" s="40"/>
      <c r="D31" s="925" t="s">
        <v>2</v>
      </c>
      <c r="E31" s="926"/>
      <c r="F31" s="927"/>
      <c r="G31" s="44"/>
      <c r="H31" s="1022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1023"/>
      <c r="J31" s="1023"/>
      <c r="K31" s="1023"/>
      <c r="L31" s="1023"/>
      <c r="M31" s="1023"/>
      <c r="N31" s="1024"/>
      <c r="O31" s="44"/>
      <c r="P31" s="44"/>
      <c r="Q31" s="44"/>
      <c r="R31" s="44"/>
      <c r="S31" s="44"/>
      <c r="T31" s="48"/>
      <c r="W31" s="30"/>
      <c r="X31" s="40"/>
      <c r="Z31" s="925" t="s">
        <v>2</v>
      </c>
      <c r="AA31" s="926"/>
      <c r="AB31" s="927"/>
      <c r="AC31" s="44"/>
      <c r="AD31" s="1034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1035"/>
      <c r="AF31" s="1035"/>
      <c r="AG31" s="1035"/>
      <c r="AH31" s="1035"/>
      <c r="AI31" s="1035"/>
      <c r="AJ31" s="1036"/>
      <c r="AK31" s="44"/>
      <c r="AL31" s="44"/>
      <c r="AM31" s="44"/>
      <c r="AN31" s="44"/>
      <c r="AO31" s="44"/>
      <c r="AP31" s="48"/>
    </row>
    <row r="32" spans="1:44">
      <c r="A32" s="30"/>
      <c r="B32" s="40"/>
      <c r="D32" s="925" t="s">
        <v>3</v>
      </c>
      <c r="E32" s="926"/>
      <c r="F32" s="927"/>
      <c r="G32" s="44"/>
      <c r="H32" s="1022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1023"/>
      <c r="J32" s="1023"/>
      <c r="K32" s="1023"/>
      <c r="L32" s="1023"/>
      <c r="M32" s="1023"/>
      <c r="N32" s="1024"/>
      <c r="O32" s="44"/>
      <c r="P32" s="44"/>
      <c r="Q32" s="44"/>
      <c r="R32" s="44"/>
      <c r="S32" s="44"/>
      <c r="T32" s="48"/>
      <c r="W32" s="30"/>
      <c r="X32" s="40"/>
      <c r="Z32" s="925" t="s">
        <v>3</v>
      </c>
      <c r="AA32" s="926"/>
      <c r="AB32" s="927"/>
      <c r="AC32" s="44"/>
      <c r="AD32" s="1022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1023"/>
      <c r="AF32" s="1023"/>
      <c r="AG32" s="1023"/>
      <c r="AH32" s="1023"/>
      <c r="AI32" s="1023"/>
      <c r="AJ32" s="1024"/>
      <c r="AK32" s="44"/>
      <c r="AL32" s="44"/>
      <c r="AM32" s="44"/>
      <c r="AN32" s="44"/>
      <c r="AO32" s="44"/>
      <c r="AP32" s="48"/>
    </row>
    <row r="33" spans="1:44" ht="15.75" thickBot="1">
      <c r="A33" s="30"/>
      <c r="B33" s="40"/>
      <c r="D33" s="931" t="s">
        <v>4</v>
      </c>
      <c r="E33" s="932"/>
      <c r="F33" s="933"/>
      <c r="G33" s="44"/>
      <c r="H33" s="1028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1029"/>
      <c r="J33" s="1029"/>
      <c r="K33" s="1029"/>
      <c r="L33" s="1029"/>
      <c r="M33" s="1029"/>
      <c r="N33" s="1030"/>
      <c r="O33" s="44"/>
      <c r="P33" s="44"/>
      <c r="Q33" s="44"/>
      <c r="R33" s="44"/>
      <c r="S33" s="44"/>
      <c r="T33" s="48"/>
      <c r="W33" s="30"/>
      <c r="X33" s="40"/>
      <c r="Z33" s="931" t="s">
        <v>4</v>
      </c>
      <c r="AA33" s="932"/>
      <c r="AB33" s="933"/>
      <c r="AC33" s="44"/>
      <c r="AD33" s="1028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1029"/>
      <c r="AF33" s="1029"/>
      <c r="AG33" s="1029"/>
      <c r="AH33" s="1029"/>
      <c r="AI33" s="1029"/>
      <c r="AJ33" s="1030"/>
      <c r="AK33" s="44"/>
      <c r="AL33" s="44"/>
      <c r="AM33" s="44"/>
      <c r="AN33" s="44"/>
      <c r="AO33" s="44"/>
      <c r="AP33" s="48"/>
    </row>
    <row r="34" spans="1:44">
      <c r="A34" s="30"/>
      <c r="B34" s="40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44"/>
      <c r="O34" s="44"/>
      <c r="P34" s="44"/>
      <c r="Q34" s="44"/>
      <c r="R34" s="44"/>
      <c r="S34" s="44"/>
      <c r="T34" s="48"/>
      <c r="U34" s="44"/>
      <c r="V34" s="44"/>
      <c r="W34" s="30"/>
      <c r="X34" s="40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44"/>
      <c r="AK34" s="44"/>
      <c r="AL34" s="44"/>
      <c r="AM34" s="44"/>
      <c r="AN34" s="44"/>
      <c r="AO34" s="44"/>
      <c r="AP34" s="48"/>
      <c r="AQ34" s="34"/>
      <c r="AR34" s="34"/>
    </row>
    <row r="35" spans="1:44" ht="15.75" thickBot="1">
      <c r="A35" s="30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68"/>
      <c r="P35" s="68"/>
      <c r="Q35" s="68"/>
      <c r="R35" s="68"/>
      <c r="S35" s="68"/>
      <c r="T35" s="69"/>
      <c r="U35" s="30"/>
      <c r="V35" s="30"/>
      <c r="W35" s="30"/>
      <c r="X35" s="66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9"/>
      <c r="AQ35" s="34"/>
      <c r="AR35" s="34"/>
    </row>
    <row r="36" spans="1:44" ht="15.75" thickBot="1"/>
    <row r="37" spans="1:44" ht="15.75" thickBot="1">
      <c r="M37" s="1004" t="s">
        <v>79</v>
      </c>
      <c r="N37" s="1005"/>
      <c r="O37" s="1006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F21:I21"/>
    <mergeCell ref="M21:P21"/>
    <mergeCell ref="AB21:AE21"/>
    <mergeCell ref="AI21:AL21"/>
    <mergeCell ref="I25:I26"/>
    <mergeCell ref="J25:M25"/>
    <mergeCell ref="AE25:AE26"/>
    <mergeCell ref="AF25:AI25"/>
    <mergeCell ref="J26:M26"/>
    <mergeCell ref="AF26:AI26"/>
    <mergeCell ref="Y8:AB8"/>
    <mergeCell ref="AE8:AE9"/>
    <mergeCell ref="AF8:AI8"/>
    <mergeCell ref="AM8:AO8"/>
    <mergeCell ref="AA20:AA21"/>
    <mergeCell ref="AB20:AE20"/>
    <mergeCell ref="AH20:AH21"/>
    <mergeCell ref="AI20:AL20"/>
    <mergeCell ref="B8:B9"/>
    <mergeCell ref="C8:F8"/>
    <mergeCell ref="I8:I9"/>
    <mergeCell ref="J8:M8"/>
    <mergeCell ref="Q8:S8"/>
    <mergeCell ref="C9:F9"/>
    <mergeCell ref="J9:M9"/>
    <mergeCell ref="D33:F33"/>
    <mergeCell ref="H33:N33"/>
    <mergeCell ref="Z33:AB33"/>
    <mergeCell ref="AD33:AJ33"/>
    <mergeCell ref="B14:B15"/>
    <mergeCell ref="C14:F14"/>
    <mergeCell ref="J14:M14"/>
    <mergeCell ref="P14:P15"/>
    <mergeCell ref="E20:E21"/>
    <mergeCell ref="F20:I20"/>
    <mergeCell ref="L20:L21"/>
    <mergeCell ref="M20:P20"/>
    <mergeCell ref="C15:F15"/>
    <mergeCell ref="Q15:S15"/>
    <mergeCell ref="Y15:AB15"/>
    <mergeCell ref="Q14:S14"/>
    <mergeCell ref="D29:F29"/>
    <mergeCell ref="H29:N29"/>
    <mergeCell ref="Z29:AB29"/>
    <mergeCell ref="AD29:AJ29"/>
    <mergeCell ref="D32:F32"/>
    <mergeCell ref="H32:N32"/>
    <mergeCell ref="Z32:AB32"/>
    <mergeCell ref="AD32:AJ32"/>
    <mergeCell ref="H30:N30"/>
    <mergeCell ref="Z30:AB30"/>
    <mergeCell ref="AD30:AJ30"/>
    <mergeCell ref="D31:F31"/>
    <mergeCell ref="H31:N31"/>
    <mergeCell ref="Z31:AB31"/>
    <mergeCell ref="AD31:AJ31"/>
    <mergeCell ref="D30:F30"/>
    <mergeCell ref="AB2:AC2"/>
    <mergeCell ref="AE2:AG2"/>
    <mergeCell ref="AH2:AP2"/>
    <mergeCell ref="AP4:AP5"/>
    <mergeCell ref="J28:M28"/>
    <mergeCell ref="AF28:AI28"/>
    <mergeCell ref="Y9:AB9"/>
    <mergeCell ref="AF9:AI9"/>
    <mergeCell ref="C4:S4"/>
    <mergeCell ref="AM14:AO14"/>
    <mergeCell ref="AM15:AO15"/>
    <mergeCell ref="X14:X15"/>
    <mergeCell ref="Y14:AB14"/>
    <mergeCell ref="AF14:AI14"/>
    <mergeCell ref="AL14:AL15"/>
    <mergeCell ref="X8:X9"/>
    <mergeCell ref="M37:O37"/>
    <mergeCell ref="I1:L1"/>
    <mergeCell ref="N1:S1"/>
    <mergeCell ref="AE1:AH1"/>
    <mergeCell ref="B1:D1"/>
    <mergeCell ref="E1:G1"/>
    <mergeCell ref="B2:D2"/>
    <mergeCell ref="F2:G2"/>
    <mergeCell ref="I2:K2"/>
    <mergeCell ref="L2:T2"/>
    <mergeCell ref="X2:Z2"/>
    <mergeCell ref="T4:T5"/>
    <mergeCell ref="Y4:AO4"/>
    <mergeCell ref="X1:Z1"/>
    <mergeCell ref="AA1:AC1"/>
    <mergeCell ref="AJ1:AO1"/>
  </mergeCells>
  <conditionalFormatting sqref="H32">
    <cfRule type="expression" dxfId="305" priority="285">
      <formula>$H$2=5</formula>
    </cfRule>
    <cfRule type="expression" dxfId="304" priority="286">
      <formula>$H$2=4</formula>
    </cfRule>
    <cfRule type="expression" dxfId="303" priority="287">
      <formula>$H$2=0</formula>
    </cfRule>
  </conditionalFormatting>
  <conditionalFormatting sqref="H29:N29">
    <cfRule type="expression" dxfId="302" priority="282">
      <formula>$H$2=0</formula>
    </cfRule>
    <cfRule type="expression" dxfId="301" priority="283" stopIfTrue="1">
      <formula>(OR(H2="1",H2="2",H2="3"))</formula>
    </cfRule>
  </conditionalFormatting>
  <conditionalFormatting sqref="H30:N30">
    <cfRule type="expression" dxfId="300" priority="281">
      <formula>(OR(H2="2",H2="3"))</formula>
    </cfRule>
  </conditionalFormatting>
  <conditionalFormatting sqref="H31:N31">
    <cfRule type="expression" dxfId="299" priority="280">
      <formula>(H2="3")</formula>
    </cfRule>
  </conditionalFormatting>
  <conditionalFormatting sqref="H32:N33 AD31:AJ33 AF25:AI25 C14:F15">
    <cfRule type="cellIs" dxfId="298" priority="279" operator="equal">
      <formula>0</formula>
    </cfRule>
  </conditionalFormatting>
  <conditionalFormatting sqref="AD32">
    <cfRule type="expression" dxfId="297" priority="269">
      <formula>$H$2=5</formula>
    </cfRule>
    <cfRule type="expression" dxfId="296" priority="270">
      <formula>$H$2=4</formula>
    </cfRule>
  </conditionalFormatting>
  <conditionalFormatting sqref="H33 AD33">
    <cfRule type="expression" dxfId="295" priority="310">
      <formula>$AF$2=5</formula>
    </cfRule>
  </conditionalFormatting>
  <conditionalFormatting sqref="AD30">
    <cfRule type="expression" dxfId="294" priority="296">
      <formula>$AF$2=5</formula>
    </cfRule>
    <cfRule type="expression" dxfId="293" priority="297">
      <formula>$AF$2=4</formula>
    </cfRule>
    <cfRule type="expression" dxfId="292" priority="298">
      <formula>$AF$2=3</formula>
    </cfRule>
    <cfRule type="expression" dxfId="291" priority="299">
      <formula>$AF$2=2</formula>
    </cfRule>
  </conditionalFormatting>
  <conditionalFormatting sqref="AD31:AJ31">
    <cfRule type="expression" dxfId="290" priority="292">
      <formula>$AF$2=5</formula>
    </cfRule>
    <cfRule type="expression" dxfId="289" priority="293">
      <formula>$AF$2=4</formula>
    </cfRule>
    <cfRule type="expression" dxfId="288" priority="294">
      <formula>$AF$2=3</formula>
    </cfRule>
  </conditionalFormatting>
  <conditionalFormatting sqref="AD32:AJ32">
    <cfRule type="expression" dxfId="287" priority="288">
      <formula>$AF$2=5</formula>
    </cfRule>
    <cfRule type="expression" dxfId="286" priority="290">
      <formula>$AF$2=4</formula>
    </cfRule>
  </conditionalFormatting>
  <conditionalFormatting sqref="AD29:AJ29">
    <cfRule type="expression" dxfId="285" priority="284">
      <formula>$AF$2=1</formula>
    </cfRule>
  </conditionalFormatting>
  <conditionalFormatting sqref="AD29:AJ29">
    <cfRule type="expression" dxfId="284" priority="268" stopIfTrue="1">
      <formula>(OR(AF2="1",AF2="2",AF2="3"))</formula>
    </cfRule>
  </conditionalFormatting>
  <conditionalFormatting sqref="AD30:AJ30">
    <cfRule type="expression" dxfId="283" priority="266">
      <formula>(OR(AF2="2",AF2="3"))</formula>
    </cfRule>
  </conditionalFormatting>
  <conditionalFormatting sqref="AD31:AJ31">
    <cfRule type="expression" dxfId="282" priority="265">
      <formula>(AF2="3")</formula>
    </cfRule>
  </conditionalFormatting>
  <conditionalFormatting sqref="AD29">
    <cfRule type="expression" dxfId="281" priority="349">
      <formula>$AF$2=2</formula>
    </cfRule>
    <cfRule type="expression" dxfId="280" priority="350">
      <formula>$AF$2=5</formula>
    </cfRule>
    <cfRule type="expression" dxfId="279" priority="351">
      <formula>$AF$2=4</formula>
    </cfRule>
    <cfRule type="expression" dxfId="278" priority="352">
      <formula>$AF$2=3</formula>
    </cfRule>
  </conditionalFormatting>
  <conditionalFormatting sqref="H33 AD33">
    <cfRule type="expression" dxfId="277" priority="248">
      <formula>$AD$2=5</formula>
    </cfRule>
  </conditionalFormatting>
  <conditionalFormatting sqref="AD29">
    <cfRule type="expression" dxfId="276" priority="239">
      <formula>$AD$2=2</formula>
    </cfRule>
    <cfRule type="expression" dxfId="275" priority="240">
      <formula>$AD$2=5</formula>
    </cfRule>
    <cfRule type="expression" dxfId="274" priority="241">
      <formula>$AD$2=4</formula>
    </cfRule>
    <cfRule type="expression" dxfId="273" priority="242">
      <formula>$AD$2=3</formula>
    </cfRule>
  </conditionalFormatting>
  <conditionalFormatting sqref="AD30">
    <cfRule type="expression" dxfId="272" priority="235">
      <formula>$AD$2=5</formula>
    </cfRule>
    <cfRule type="expression" dxfId="271" priority="236">
      <formula>$AD$2=4</formula>
    </cfRule>
    <cfRule type="expression" dxfId="270" priority="237">
      <formula>$AD$2=3</formula>
    </cfRule>
    <cfRule type="expression" dxfId="269" priority="238">
      <formula>$AD$2=2</formula>
    </cfRule>
  </conditionalFormatting>
  <conditionalFormatting sqref="AD31">
    <cfRule type="expression" dxfId="268" priority="231">
      <formula>$AD$2=5</formula>
    </cfRule>
    <cfRule type="expression" dxfId="267" priority="232">
      <formula>$AD$2=4</formula>
    </cfRule>
    <cfRule type="expression" dxfId="266" priority="233">
      <formula>$AD$2=3</formula>
    </cfRule>
  </conditionalFormatting>
  <conditionalFormatting sqref="AD32:AJ32">
    <cfRule type="cellIs" dxfId="265" priority="226" operator="equal">
      <formula>0</formula>
    </cfRule>
    <cfRule type="expression" dxfId="264" priority="227">
      <formula>$AD$2=5</formula>
    </cfRule>
    <cfRule type="expression" dxfId="263" priority="229">
      <formula>$AD$2=4</formula>
    </cfRule>
  </conditionalFormatting>
  <conditionalFormatting sqref="AD29:AJ29">
    <cfRule type="expression" dxfId="262" priority="224">
      <formula>$AD$2=1</formula>
    </cfRule>
  </conditionalFormatting>
  <conditionalFormatting sqref="H29:N29">
    <cfRule type="expression" dxfId="261" priority="222">
      <formula>$H$2=0</formula>
    </cfRule>
    <cfRule type="expression" dxfId="260" priority="223" stopIfTrue="1">
      <formula>(OR(H2="1",H2="2",H2="3"))</formula>
    </cfRule>
  </conditionalFormatting>
  <conditionalFormatting sqref="H30:N30">
    <cfRule type="expression" dxfId="259" priority="221">
      <formula>(OR(H2="2",H2="3"))</formula>
    </cfRule>
  </conditionalFormatting>
  <conditionalFormatting sqref="H31:N31">
    <cfRule type="cellIs" dxfId="258" priority="219" operator="equal">
      <formula>0</formula>
    </cfRule>
    <cfRule type="expression" dxfId="257" priority="220">
      <formula>(H2="3")</formula>
    </cfRule>
  </conditionalFormatting>
  <conditionalFormatting sqref="AD29:AJ29">
    <cfRule type="expression" dxfId="256" priority="218" stopIfTrue="1">
      <formula>(OR(AD2="1",AD2="2",AD2="3"))</formula>
    </cfRule>
  </conditionalFormatting>
  <conditionalFormatting sqref="AD30:AJ30">
    <cfRule type="expression" dxfId="255" priority="216">
      <formula>(OR(AD2="2",AD2="3"))</formula>
    </cfRule>
  </conditionalFormatting>
  <conditionalFormatting sqref="AD31">
    <cfRule type="expression" dxfId="254" priority="215">
      <formula>(AD2="3")</formula>
    </cfRule>
  </conditionalFormatting>
  <conditionalFormatting sqref="C8:F9 AF8:AF9 AG8:AI8">
    <cfRule type="expression" dxfId="253" priority="102">
      <formula>(OR($E$2=3,$E$2=4,$E$2=5))</formula>
    </cfRule>
  </conditionalFormatting>
  <conditionalFormatting sqref="AI21:AL21">
    <cfRule type="cellIs" dxfId="252" priority="6" operator="equal">
      <formula>0</formula>
    </cfRule>
  </conditionalFormatting>
  <conditionalFormatting sqref="AB20:AE21">
    <cfRule type="cellIs" dxfId="251" priority="5" operator="equal">
      <formula>0</formula>
    </cfRule>
  </conditionalFormatting>
  <conditionalFormatting sqref="AF26:AI26">
    <cfRule type="cellIs" dxfId="250" priority="4" operator="equal">
      <formula>0</formula>
    </cfRule>
  </conditionalFormatting>
  <conditionalFormatting sqref="J25:M26">
    <cfRule type="cellIs" dxfId="249" priority="3" operator="equal">
      <formula>0</formula>
    </cfRule>
  </conditionalFormatting>
  <conditionalFormatting sqref="M21:P21">
    <cfRule type="cellIs" dxfId="248" priority="2" operator="equal">
      <formula>0</formula>
    </cfRule>
  </conditionalFormatting>
  <conditionalFormatting sqref="F20:I21">
    <cfRule type="cellIs" dxfId="24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7</vt:i4>
      </vt:variant>
    </vt:vector>
  </HeadingPairs>
  <TitlesOfParts>
    <vt:vector size="21" baseType="lpstr">
      <vt:lpstr>Données</vt:lpstr>
      <vt:lpstr>Tableau général</vt:lpstr>
      <vt:lpstr>Poule 1 et 2</vt:lpstr>
      <vt:lpstr>Poule 3 et 4</vt:lpstr>
      <vt:lpstr>Poule 5 et 6</vt:lpstr>
      <vt:lpstr>Poule 7 et 8</vt:lpstr>
      <vt:lpstr>Poule 9 et 10</vt:lpstr>
      <vt:lpstr>Poule 11 et 12</vt:lpstr>
      <vt:lpstr>Poule 13 et 14</vt:lpstr>
      <vt:lpstr>Poule 15 et 16</vt:lpstr>
      <vt:lpstr>Poule 17 et 18</vt:lpstr>
      <vt:lpstr>Poule 19 et 20</vt:lpstr>
      <vt:lpstr>parties élimin. 1.32ème</vt:lpstr>
      <vt:lpstr>Changements</vt:lpstr>
      <vt:lpstr>Catégorie</vt:lpstr>
      <vt:lpstr>Féminine</vt:lpstr>
      <vt:lpstr>Jeunes</vt:lpstr>
      <vt:lpstr>Masculin</vt:lpstr>
      <vt:lpstr>Série</vt:lpstr>
      <vt:lpstr>'Poule 1 et 2'!Zone_d_impression</vt:lpstr>
      <vt:lpstr>'Tableau général'!Zone_d_impression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Alain</cp:lastModifiedBy>
  <cp:lastPrinted>2021-01-10T12:40:18Z</cp:lastPrinted>
  <dcterms:created xsi:type="dcterms:W3CDTF">2013-08-06T09:32:55Z</dcterms:created>
  <dcterms:modified xsi:type="dcterms:W3CDTF">2021-01-25T17:03:31Z</dcterms:modified>
</cp:coreProperties>
</file>