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0" yWindow="60" windowWidth="13050" windowHeight="11640" tabRatio="782" activeTab="1"/>
  </bookViews>
  <sheets>
    <sheet name="Données" sheetId="10" r:id="rId1"/>
    <sheet name="Tableau général" sheetId="16" r:id="rId2"/>
    <sheet name="Poule 1 et 2" sheetId="1" state="hidden" r:id="rId3"/>
    <sheet name="Poule 3 et 4" sheetId="2" state="hidden" r:id="rId4"/>
    <sheet name="Poule 5 et 6" sheetId="3" state="hidden" r:id="rId5"/>
    <sheet name="Poule 7 et 8" sheetId="4" state="hidden" r:id="rId6"/>
    <sheet name="Poule 9 et 10" sheetId="5" state="hidden" r:id="rId7"/>
    <sheet name="Poule 11 et 12" sheetId="6" state="hidden" r:id="rId8"/>
    <sheet name="Poule 13 et 14" sheetId="7" state="hidden" r:id="rId9"/>
    <sheet name="Poule 15 et 16" sheetId="8" state="hidden" r:id="rId10"/>
    <sheet name="parties élimin. 1.16ème" sheetId="14" state="hidden" r:id="rId11"/>
    <sheet name="Feuil1" sheetId="15" state="hidden" r:id="rId12"/>
    <sheet name="Feuil2" sheetId="11" state="hidden" r:id="rId13"/>
    <sheet name="Feuil3" sheetId="17" r:id="rId14"/>
  </sheets>
  <externalReferences>
    <externalReference r:id="rId15"/>
  </externalReferences>
  <definedNames>
    <definedName name="Catégorie">Données!$D$2:$D$4</definedName>
    <definedName name="Féminine">Données!$F$2:$F$7</definedName>
    <definedName name="Jeunes">Données!$G$2:$G$9</definedName>
    <definedName name="Masculin">Données!$E$2:$E$6</definedName>
    <definedName name="Série">Données!$H$2:$H$5</definedName>
    <definedName name="_xlnm.Print_Area" localSheetId="12">Feuil2!$A$1:$L$31</definedName>
    <definedName name="_xlnm.Print_Area" localSheetId="2">'Poule 1 et 2'!$A$1:$AR$41</definedName>
  </definedNames>
  <calcPr calcId="125725"/>
</workbook>
</file>

<file path=xl/calcChain.xml><?xml version="1.0" encoding="utf-8"?>
<calcChain xmlns="http://schemas.openxmlformats.org/spreadsheetml/2006/main">
  <c r="DF53" i="16"/>
  <c r="DF52"/>
  <c r="CZ53"/>
  <c r="CZ52"/>
  <c r="DF46" s="1"/>
  <c r="CZ46"/>
  <c r="CZ45"/>
  <c r="DF45"/>
  <c r="DF36"/>
  <c r="DF35"/>
  <c r="BF11" l="1"/>
  <c r="CA47" s="1"/>
  <c r="BF12"/>
  <c r="BO28" s="1"/>
  <c r="BF7"/>
  <c r="CA37" s="1"/>
  <c r="BF8"/>
  <c r="BO18" s="1"/>
  <c r="BF9"/>
  <c r="CA42" s="1"/>
  <c r="BF10"/>
  <c r="BO23" s="1"/>
  <c r="AJ102" l="1"/>
  <c r="AJ101"/>
  <c r="AJ100"/>
  <c r="AJ98"/>
  <c r="AJ97"/>
  <c r="AJ96"/>
  <c r="AJ110"/>
  <c r="AJ109"/>
  <c r="AJ108"/>
  <c r="AJ106"/>
  <c r="AJ105"/>
  <c r="AJ104"/>
  <c r="AJ94"/>
  <c r="AJ93"/>
  <c r="AJ92"/>
  <c r="AA22" l="1"/>
  <c r="Z22"/>
  <c r="AJ103" s="1"/>
  <c r="Y22"/>
  <c r="AB22"/>
  <c r="AJ111" s="1"/>
  <c r="AO111" s="1"/>
  <c r="AU111" s="1"/>
  <c r="X22"/>
  <c r="AJ95" s="1"/>
  <c r="O23"/>
  <c r="P23"/>
  <c r="AB23"/>
  <c r="AA23"/>
  <c r="Z23"/>
  <c r="X23"/>
  <c r="V23"/>
  <c r="U23"/>
  <c r="T23"/>
  <c r="S23"/>
  <c r="R23"/>
  <c r="Q23"/>
  <c r="N23"/>
  <c r="V22"/>
  <c r="U22"/>
  <c r="T22"/>
  <c r="S22"/>
  <c r="R22"/>
  <c r="Q22"/>
  <c r="P22"/>
  <c r="O22"/>
  <c r="N22"/>
  <c r="M22"/>
  <c r="W23"/>
  <c r="M23"/>
  <c r="Y23"/>
  <c r="W22"/>
  <c r="AJ91" s="1"/>
  <c r="AO47"/>
  <c r="AU47" s="1"/>
  <c r="AO46"/>
  <c r="AU45" s="1"/>
  <c r="BF45" s="1"/>
  <c r="CA57" s="1"/>
  <c r="AO45"/>
  <c r="AU46" s="1"/>
  <c r="BF46" s="1"/>
  <c r="BO68" s="1"/>
  <c r="AO44"/>
  <c r="AU44" s="1"/>
  <c r="BF44" s="1"/>
  <c r="BO52" s="1"/>
  <c r="AO43"/>
  <c r="AU43" s="1"/>
  <c r="AO42"/>
  <c r="AU41" s="1"/>
  <c r="BF41" s="1"/>
  <c r="CA62" s="1"/>
  <c r="AO41"/>
  <c r="AU42" s="1"/>
  <c r="BF42" s="1"/>
  <c r="BO63" s="1"/>
  <c r="AO40"/>
  <c r="AU40" s="1"/>
  <c r="BF40" s="1"/>
  <c r="BO47" s="1"/>
  <c r="AO39"/>
  <c r="AU39" s="1"/>
  <c r="AO38"/>
  <c r="AU37" s="1"/>
  <c r="BF37" s="1"/>
  <c r="CA67" s="1"/>
  <c r="AO37"/>
  <c r="AU38" s="1"/>
  <c r="BF38" s="1"/>
  <c r="BO58" s="1"/>
  <c r="AO36"/>
  <c r="AU36" s="1"/>
  <c r="BF36" s="1"/>
  <c r="BO42" s="1"/>
  <c r="AO35"/>
  <c r="AU35" s="1"/>
  <c r="AO34"/>
  <c r="AU33" s="1"/>
  <c r="BF33" s="1"/>
  <c r="CA72" s="1"/>
  <c r="AO33"/>
  <c r="AU34" s="1"/>
  <c r="BF34" s="1"/>
  <c r="BO53" s="1"/>
  <c r="AO32"/>
  <c r="AU32" s="1"/>
  <c r="BF32" s="1"/>
  <c r="BO37" s="1"/>
  <c r="AO31"/>
  <c r="AU31" s="1"/>
  <c r="AO30"/>
  <c r="AU29" s="1"/>
  <c r="BF29" s="1"/>
  <c r="CA77" s="1"/>
  <c r="AO29"/>
  <c r="AU30" s="1"/>
  <c r="BF30" s="1"/>
  <c r="BO48" s="1"/>
  <c r="AO28"/>
  <c r="AU28" s="1"/>
  <c r="BF28" s="1"/>
  <c r="BO32" s="1"/>
  <c r="AO27"/>
  <c r="AU27" s="1"/>
  <c r="AO26"/>
  <c r="AU25" s="1"/>
  <c r="BF25" s="1"/>
  <c r="CA82" s="1"/>
  <c r="AO25"/>
  <c r="AU26" s="1"/>
  <c r="BF26" s="1"/>
  <c r="BO43" s="1"/>
  <c r="AO24"/>
  <c r="AU24" s="1"/>
  <c r="BF24" s="1"/>
  <c r="BO27" s="1"/>
  <c r="AO23"/>
  <c r="AU23" s="1"/>
  <c r="AO21"/>
  <c r="AU22" s="1"/>
  <c r="BF22" s="1"/>
  <c r="BO38" s="1"/>
  <c r="AO19"/>
  <c r="AU19" s="1"/>
  <c r="AO18"/>
  <c r="AU17" s="1"/>
  <c r="BF17" s="1"/>
  <c r="CA92" s="1"/>
  <c r="AO17"/>
  <c r="AU18" s="1"/>
  <c r="BF18" s="1"/>
  <c r="BO33" s="1"/>
  <c r="AO16"/>
  <c r="AU16" s="1"/>
  <c r="BF16" s="1"/>
  <c r="BO17" s="1"/>
  <c r="AG115"/>
  <c r="AO110" l="1"/>
  <c r="AU109" s="1"/>
  <c r="AO109"/>
  <c r="AU110" s="1"/>
  <c r="AO108"/>
  <c r="AU108" s="1"/>
  <c r="AO106"/>
  <c r="AU105" s="1"/>
  <c r="AO105"/>
  <c r="AU106" s="1"/>
  <c r="AO104"/>
  <c r="AU104" s="1"/>
  <c r="AO102"/>
  <c r="AU101" s="1"/>
  <c r="AO101"/>
  <c r="AU102" s="1"/>
  <c r="AO100"/>
  <c r="AU100" s="1"/>
  <c r="AO98"/>
  <c r="AU97" s="1"/>
  <c r="AO97"/>
  <c r="AU98" s="1"/>
  <c r="AO96"/>
  <c r="AU96" s="1"/>
  <c r="AO94"/>
  <c r="AU93" s="1"/>
  <c r="AO93"/>
  <c r="AU94" s="1"/>
  <c r="AO92"/>
  <c r="AU92" s="1"/>
  <c r="AO90"/>
  <c r="AU89" s="1"/>
  <c r="AO89"/>
  <c r="AU90" s="1"/>
  <c r="AO88"/>
  <c r="AU88" s="1"/>
  <c r="AO86"/>
  <c r="AU85" s="1"/>
  <c r="AO85"/>
  <c r="AU86" s="1"/>
  <c r="AO84"/>
  <c r="AU84" s="1"/>
  <c r="AO82"/>
  <c r="AU81" s="1"/>
  <c r="AO81"/>
  <c r="AU82" s="1"/>
  <c r="AO80"/>
  <c r="AU80" s="1"/>
  <c r="AO78"/>
  <c r="AU77" s="1"/>
  <c r="AO77"/>
  <c r="AU78" s="1"/>
  <c r="AO76"/>
  <c r="AU76" s="1"/>
  <c r="AO74"/>
  <c r="AU73" s="1"/>
  <c r="AO73"/>
  <c r="AU74" s="1"/>
  <c r="AO72"/>
  <c r="AU72" s="1"/>
  <c r="AO70"/>
  <c r="AU69" s="1"/>
  <c r="AO69"/>
  <c r="AU70" s="1"/>
  <c r="AO68"/>
  <c r="AU68" s="1"/>
  <c r="AO66"/>
  <c r="AU65" s="1"/>
  <c r="AO65"/>
  <c r="AU66" s="1"/>
  <c r="AO64"/>
  <c r="AU64" s="1"/>
  <c r="AO62"/>
  <c r="AU61" s="1"/>
  <c r="AO61"/>
  <c r="AU62" s="1"/>
  <c r="AO60"/>
  <c r="AU60" s="1"/>
  <c r="AO58"/>
  <c r="AU57" s="1"/>
  <c r="AO57"/>
  <c r="AU58" s="1"/>
  <c r="AO56"/>
  <c r="AU56" s="1"/>
  <c r="AO54"/>
  <c r="AU53" s="1"/>
  <c r="BF53" s="1"/>
  <c r="CA48" s="1"/>
  <c r="AO53"/>
  <c r="AU54" s="1"/>
  <c r="BF54" s="1"/>
  <c r="CA53" s="1"/>
  <c r="AO52"/>
  <c r="AU52" s="1"/>
  <c r="BF52" s="1"/>
  <c r="BO62" s="1"/>
  <c r="AO50"/>
  <c r="AU49" s="1"/>
  <c r="BF49" s="1"/>
  <c r="CA52" s="1"/>
  <c r="AO49"/>
  <c r="AU50" s="1"/>
  <c r="BF50" s="1"/>
  <c r="BO73" s="1"/>
  <c r="AO48"/>
  <c r="AU48" s="1"/>
  <c r="BF48" s="1"/>
  <c r="BO57" s="1"/>
  <c r="AM99"/>
  <c r="AJ107"/>
  <c r="AO107" s="1"/>
  <c r="AU107" s="1"/>
  <c r="AO103"/>
  <c r="AU103" s="1"/>
  <c r="AJ99"/>
  <c r="AO99" s="1"/>
  <c r="AU99" s="1"/>
  <c r="AO95"/>
  <c r="AU95" s="1"/>
  <c r="AO91"/>
  <c r="AU91" s="1"/>
  <c r="AO87"/>
  <c r="AU87" s="1"/>
  <c r="AO83"/>
  <c r="AU83" s="1"/>
  <c r="AO79"/>
  <c r="AU79" s="1"/>
  <c r="L22"/>
  <c r="AO75"/>
  <c r="AU75" s="1"/>
  <c r="AO71"/>
  <c r="AU71" s="1"/>
  <c r="AO67"/>
  <c r="AU67" s="1"/>
  <c r="K22"/>
  <c r="J22"/>
  <c r="I22"/>
  <c r="AO63"/>
  <c r="AU63" s="1"/>
  <c r="H22"/>
  <c r="AO59"/>
  <c r="AU59" s="1"/>
  <c r="G22"/>
  <c r="AO55"/>
  <c r="AU55" s="1"/>
  <c r="F22"/>
  <c r="E22"/>
  <c r="AO51"/>
  <c r="AU51" s="1"/>
  <c r="L23"/>
  <c r="K23"/>
  <c r="J23"/>
  <c r="I23"/>
  <c r="H23"/>
  <c r="G23"/>
  <c r="F23"/>
  <c r="E23"/>
  <c r="AM83"/>
  <c r="AM79"/>
  <c r="AM76"/>
  <c r="AM75"/>
  <c r="D23" l="1"/>
  <c r="AK93"/>
  <c r="AK101"/>
  <c r="BF101" s="1"/>
  <c r="AK109"/>
  <c r="AK97"/>
  <c r="AK105"/>
  <c r="D22"/>
  <c r="P15" s="1"/>
  <c r="AO22"/>
  <c r="AU21" s="1"/>
  <c r="BF21" s="1"/>
  <c r="CA87" s="1"/>
  <c r="AO20"/>
  <c r="AU20" s="1"/>
  <c r="BF20" s="1"/>
  <c r="BO22" s="1"/>
  <c r="G16"/>
  <c r="G15"/>
  <c r="BF105" l="1"/>
  <c r="CA68" s="1"/>
  <c r="BF109"/>
  <c r="CA58" s="1"/>
  <c r="BF93"/>
  <c r="CA32" s="1"/>
  <c r="BF97"/>
  <c r="CA88" s="1"/>
  <c r="BA109"/>
  <c r="BF110" s="1"/>
  <c r="CA63" s="1"/>
  <c r="BA101"/>
  <c r="BF102" s="1"/>
  <c r="BA102"/>
  <c r="BA105"/>
  <c r="BF106" s="1"/>
  <c r="BA106"/>
  <c r="BA110"/>
  <c r="BA97"/>
  <c r="BF98" s="1"/>
  <c r="CA93" s="1"/>
  <c r="BA98"/>
  <c r="BA93"/>
  <c r="BA94"/>
  <c r="BE97"/>
  <c r="BE101"/>
  <c r="BE105"/>
  <c r="BE109"/>
  <c r="BE93"/>
  <c r="AK81"/>
  <c r="BF82" s="1"/>
  <c r="AK77"/>
  <c r="BF78" s="1"/>
  <c r="AK73"/>
  <c r="BF74" s="1"/>
  <c r="CA78" s="1"/>
  <c r="CA9"/>
  <c r="BZ10"/>
  <c r="BZ9"/>
  <c r="D3"/>
  <c r="C3"/>
  <c r="CA83" l="1"/>
  <c r="BF94"/>
  <c r="BO78" s="1"/>
  <c r="BA77"/>
  <c r="BF77" s="1"/>
  <c r="CA18" s="1"/>
  <c r="BF76"/>
  <c r="BO92" s="1"/>
  <c r="BA78"/>
  <c r="BF72"/>
  <c r="BO87" s="1"/>
  <c r="BA73"/>
  <c r="BF73" s="1"/>
  <c r="CA23" s="1"/>
  <c r="BA74"/>
  <c r="BF80"/>
  <c r="CA17" s="1"/>
  <c r="BA81"/>
  <c r="BF81" s="1"/>
  <c r="BO93" s="1"/>
  <c r="BA82"/>
  <c r="BE81"/>
  <c r="AK49"/>
  <c r="BE49" s="1"/>
  <c r="AK57"/>
  <c r="BF58" s="1"/>
  <c r="AK65"/>
  <c r="BF66" s="1"/>
  <c r="AK89"/>
  <c r="AK17"/>
  <c r="BE17" s="1"/>
  <c r="AK53"/>
  <c r="BE53" s="1"/>
  <c r="AK61"/>
  <c r="BF62" s="1"/>
  <c r="AK69"/>
  <c r="BF70" s="1"/>
  <c r="CA73" s="1"/>
  <c r="AK85"/>
  <c r="BF86" s="1"/>
  <c r="AK45"/>
  <c r="BE45" s="1"/>
  <c r="AK21"/>
  <c r="BE21" s="1"/>
  <c r="AK25"/>
  <c r="BE25" s="1"/>
  <c r="AK33"/>
  <c r="BE33" s="1"/>
  <c r="AK41"/>
  <c r="BE41" s="1"/>
  <c r="AK29"/>
  <c r="BE29" s="1"/>
  <c r="AK37"/>
  <c r="BE37" s="1"/>
  <c r="DA5"/>
  <c r="BF89" l="1"/>
  <c r="BA85"/>
  <c r="BF85" s="1"/>
  <c r="BO88" s="1"/>
  <c r="BF84"/>
  <c r="CA22" s="1"/>
  <c r="BA86"/>
  <c r="BE61"/>
  <c r="BA61"/>
  <c r="BF61" s="1"/>
  <c r="CA38" s="1"/>
  <c r="BF60"/>
  <c r="BO72" s="1"/>
  <c r="BA62"/>
  <c r="BF64"/>
  <c r="BO77" s="1"/>
  <c r="BA65"/>
  <c r="BF65" s="1"/>
  <c r="CA33" s="1"/>
  <c r="BA66"/>
  <c r="BA69"/>
  <c r="BF69" s="1"/>
  <c r="CA28" s="1"/>
  <c r="BF68"/>
  <c r="BO82" s="1"/>
  <c r="BA70"/>
  <c r="CA27"/>
  <c r="BE57"/>
  <c r="BA57"/>
  <c r="BF56"/>
  <c r="BO67" s="1"/>
  <c r="BA58"/>
  <c r="BF57"/>
  <c r="CA43" s="1"/>
  <c r="BA89"/>
  <c r="BA90"/>
  <c r="BE89"/>
  <c r="BE85"/>
  <c r="DI6"/>
  <c r="EK7"/>
  <c r="Y8" i="7"/>
  <c r="BF90" i="16" l="1"/>
  <c r="BO83" s="1"/>
  <c r="AE8" i="8"/>
  <c r="X8"/>
  <c r="I8"/>
  <c r="B8"/>
  <c r="AE8" i="7"/>
  <c r="X8"/>
  <c r="I8"/>
  <c r="B8"/>
  <c r="AE8" i="6"/>
  <c r="X8"/>
  <c r="I8"/>
  <c r="B8"/>
  <c r="AE8" i="5"/>
  <c r="X8"/>
  <c r="I8"/>
  <c r="B8"/>
  <c r="AE8" i="4"/>
  <c r="X8"/>
  <c r="I8"/>
  <c r="B8"/>
  <c r="AE8" i="3"/>
  <c r="X8"/>
  <c r="I8"/>
  <c r="B8"/>
  <c r="AE8" i="2"/>
  <c r="X8"/>
  <c r="I8"/>
  <c r="B8"/>
  <c r="AE8" i="1"/>
  <c r="X8"/>
  <c r="I8"/>
  <c r="B8"/>
  <c r="J9" i="6" l="1"/>
  <c r="J9" i="7"/>
  <c r="J9" i="8"/>
  <c r="AF9" i="5"/>
  <c r="AF9" i="4"/>
  <c r="AF9" i="6"/>
  <c r="AF9" i="7"/>
  <c r="AF9" i="8"/>
  <c r="AF9" i="2"/>
  <c r="AF9" i="1" l="1"/>
  <c r="H2" i="14" l="1"/>
  <c r="F2"/>
  <c r="Y8" i="6" l="1"/>
  <c r="AF8"/>
  <c r="AR15" i="8" l="1"/>
  <c r="AQ15"/>
  <c r="AR14"/>
  <c r="AQ14"/>
  <c r="BE77" i="16" l="1"/>
  <c r="AG3" i="14"/>
  <c r="AH1" l="1"/>
  <c r="Z1"/>
  <c r="U1"/>
  <c r="V15" i="8" l="1"/>
  <c r="U15"/>
  <c r="V14"/>
  <c r="U14"/>
  <c r="AM9"/>
  <c r="Q9"/>
  <c r="V15" i="7"/>
  <c r="U15"/>
  <c r="V14"/>
  <c r="U14"/>
  <c r="AM9"/>
  <c r="Q9"/>
  <c r="V15" i="6"/>
  <c r="U15"/>
  <c r="V14"/>
  <c r="U14"/>
  <c r="AM9"/>
  <c r="Q9"/>
  <c r="AM9" i="5"/>
  <c r="AM9" i="4"/>
  <c r="V15" i="5"/>
  <c r="U15"/>
  <c r="V14"/>
  <c r="U14"/>
  <c r="Q9"/>
  <c r="V15" i="4"/>
  <c r="U15"/>
  <c r="V14"/>
  <c r="U14"/>
  <c r="Q9"/>
  <c r="AM9" i="3"/>
  <c r="V15" i="2"/>
  <c r="U15"/>
  <c r="V14"/>
  <c r="U14"/>
  <c r="AM9"/>
  <c r="Q9"/>
  <c r="Y9" i="1"/>
  <c r="Y14" s="1"/>
  <c r="Y8"/>
  <c r="J8"/>
  <c r="C9"/>
  <c r="C8"/>
  <c r="AF8" l="1"/>
  <c r="C8" i="2"/>
  <c r="Y8"/>
  <c r="C9"/>
  <c r="C14" s="1"/>
  <c r="Y15"/>
  <c r="C8" i="3"/>
  <c r="J8"/>
  <c r="Y8"/>
  <c r="Y9"/>
  <c r="J8" i="4"/>
  <c r="C15" s="1"/>
  <c r="C8" i="5"/>
  <c r="C9"/>
  <c r="AF8" i="4"/>
  <c r="Y15"/>
  <c r="Y8" i="5"/>
  <c r="Y9"/>
  <c r="Y14" s="1"/>
  <c r="J8" i="6"/>
  <c r="C15"/>
  <c r="Y9"/>
  <c r="Y14" s="1"/>
  <c r="J8" i="7"/>
  <c r="AF8"/>
  <c r="C15"/>
  <c r="Y9"/>
  <c r="Y14" s="1"/>
  <c r="J8" i="8"/>
  <c r="AF8"/>
  <c r="C15"/>
  <c r="Y9"/>
  <c r="Y14" s="1"/>
  <c r="Y15" i="1"/>
  <c r="J8" i="2"/>
  <c r="AF8"/>
  <c r="J9"/>
  <c r="C15" s="1"/>
  <c r="Y9"/>
  <c r="Y14" s="1"/>
  <c r="C9" i="3"/>
  <c r="J9"/>
  <c r="AF8"/>
  <c r="AF9"/>
  <c r="C8" i="4"/>
  <c r="C9"/>
  <c r="J8" i="5"/>
  <c r="J9"/>
  <c r="Y8" i="4"/>
  <c r="Y9"/>
  <c r="Y14" s="1"/>
  <c r="AF8" i="5"/>
  <c r="Y15"/>
  <c r="C8" i="6"/>
  <c r="C9"/>
  <c r="C14" s="1"/>
  <c r="Y15"/>
  <c r="C8" i="7"/>
  <c r="C9"/>
  <c r="C14" s="1"/>
  <c r="Y15"/>
  <c r="C8" i="8"/>
  <c r="Y8"/>
  <c r="C9"/>
  <c r="C14" s="1"/>
  <c r="Y15"/>
  <c r="AR15" i="7"/>
  <c r="AQ15"/>
  <c r="AR14"/>
  <c r="AQ14"/>
  <c r="AR15" i="6"/>
  <c r="AQ15"/>
  <c r="AR14"/>
  <c r="AQ14"/>
  <c r="AR15" i="5"/>
  <c r="AQ15"/>
  <c r="AR14"/>
  <c r="AQ14"/>
  <c r="AR15" i="4"/>
  <c r="AQ15"/>
  <c r="AR14"/>
  <c r="AQ14"/>
  <c r="AR15" i="3"/>
  <c r="AQ15"/>
  <c r="V15"/>
  <c r="U15"/>
  <c r="AR14"/>
  <c r="AQ14"/>
  <c r="V14"/>
  <c r="U14"/>
  <c r="Q9"/>
  <c r="AR15" i="2"/>
  <c r="AQ15"/>
  <c r="AR14"/>
  <c r="AQ14"/>
  <c r="CH63" i="16" l="1"/>
  <c r="C14" i="4"/>
  <c r="C15" i="5"/>
  <c r="C14"/>
  <c r="Y15" i="3"/>
  <c r="C15"/>
  <c r="C14"/>
  <c r="Y14"/>
  <c r="C14" i="1"/>
  <c r="AI1" i="8" l="1"/>
  <c r="AE1"/>
  <c r="CH58" i="16" l="1"/>
  <c r="AA1" i="8"/>
  <c r="M1"/>
  <c r="I1"/>
  <c r="E1"/>
  <c r="AI1" i="7" l="1"/>
  <c r="AE1"/>
  <c r="AA1"/>
  <c r="M1"/>
  <c r="I1"/>
  <c r="E1"/>
  <c r="AI1" i="6"/>
  <c r="AE1"/>
  <c r="AA1"/>
  <c r="M1"/>
  <c r="I1"/>
  <c r="E1"/>
  <c r="AI1" i="5" l="1"/>
  <c r="AE1"/>
  <c r="AA1"/>
  <c r="M1"/>
  <c r="I1"/>
  <c r="E1"/>
  <c r="AI1" i="4" l="1"/>
  <c r="AE1"/>
  <c r="AA1"/>
  <c r="M1"/>
  <c r="I1"/>
  <c r="E1"/>
  <c r="AI1" i="3" l="1"/>
  <c r="AE1"/>
  <c r="AA1"/>
  <c r="M1"/>
  <c r="I1"/>
  <c r="E1"/>
  <c r="AI1" i="2" l="1"/>
  <c r="AE1"/>
  <c r="AA1"/>
  <c r="M1"/>
  <c r="I1"/>
  <c r="E1"/>
  <c r="AR15" i="1" l="1"/>
  <c r="AQ15"/>
  <c r="V15"/>
  <c r="U15"/>
  <c r="AR14" l="1"/>
  <c r="AQ14"/>
  <c r="V14"/>
  <c r="U14"/>
  <c r="AM9" l="1"/>
  <c r="Q9"/>
  <c r="C15"/>
  <c r="AI1" l="1"/>
  <c r="AE1"/>
  <c r="AA1"/>
  <c r="M1"/>
  <c r="I1"/>
  <c r="E1"/>
  <c r="AD2" i="8" l="1"/>
  <c r="H2"/>
  <c r="AD2" i="7"/>
  <c r="H2"/>
  <c r="AD2" i="6"/>
  <c r="H2"/>
  <c r="AD2" i="5"/>
  <c r="H2"/>
  <c r="AD2" i="4"/>
  <c r="H2"/>
  <c r="AD2" i="3"/>
  <c r="H2"/>
  <c r="AD2" i="2"/>
  <c r="H2"/>
  <c r="H2" i="1" l="1"/>
  <c r="AD2"/>
  <c r="DG6" i="16"/>
  <c r="DG7" s="1"/>
  <c r="AA2" i="8"/>
  <c r="E2" i="7"/>
  <c r="H3" i="14" l="1"/>
  <c r="BE73" i="16"/>
  <c r="BE69"/>
  <c r="BE65"/>
  <c r="E2" i="8"/>
  <c r="J7" s="1"/>
  <c r="AA2" i="7"/>
  <c r="AM8" s="1"/>
  <c r="AA2" i="6"/>
  <c r="AM8" s="1"/>
  <c r="E2"/>
  <c r="Q8" s="1"/>
  <c r="Q14" s="1"/>
  <c r="AA2" i="5"/>
  <c r="AF7" s="1"/>
  <c r="E2"/>
  <c r="J7" s="1"/>
  <c r="AA2" i="4"/>
  <c r="AM8" s="1"/>
  <c r="AM14" s="1"/>
  <c r="AM8" i="8"/>
  <c r="AF14" s="1"/>
  <c r="AF7"/>
  <c r="Q8" i="7"/>
  <c r="Q14" s="1"/>
  <c r="J7"/>
  <c r="AB3" i="8"/>
  <c r="F3" i="7"/>
  <c r="CH53" i="16" l="1"/>
  <c r="CL55" s="1"/>
  <c r="CH23"/>
  <c r="CL23" s="1"/>
  <c r="CH28"/>
  <c r="CL28" s="1"/>
  <c r="AM8" i="5"/>
  <c r="AM14" s="1"/>
  <c r="Q8" i="8"/>
  <c r="Q14" s="1"/>
  <c r="F3"/>
  <c r="F20" s="1"/>
  <c r="J26" s="1"/>
  <c r="H31" s="1"/>
  <c r="AF7" i="7"/>
  <c r="AB3"/>
  <c r="AD33" s="1"/>
  <c r="AF7" i="6"/>
  <c r="AB3"/>
  <c r="AD33" s="1"/>
  <c r="F3"/>
  <c r="H33" s="1"/>
  <c r="J7"/>
  <c r="AF7" i="4"/>
  <c r="AB3" i="5"/>
  <c r="AD33" s="1"/>
  <c r="F3"/>
  <c r="H33" s="1"/>
  <c r="AB3" i="4"/>
  <c r="AI21" s="1"/>
  <c r="Q8" i="5"/>
  <c r="Q14" s="1"/>
  <c r="E2" i="4"/>
  <c r="J7" s="1"/>
  <c r="AA2" i="3"/>
  <c r="AF7" s="1"/>
  <c r="J14" i="7"/>
  <c r="J15" s="1"/>
  <c r="Q15"/>
  <c r="J14" i="6"/>
  <c r="J15" s="1"/>
  <c r="Q15"/>
  <c r="AM14" i="8"/>
  <c r="AI21" s="1"/>
  <c r="AM15"/>
  <c r="AM14" i="7"/>
  <c r="AM15"/>
  <c r="AF14"/>
  <c r="AI20" s="1"/>
  <c r="AM14" i="6"/>
  <c r="AF14"/>
  <c r="AI20" s="1"/>
  <c r="AM15"/>
  <c r="AM15" i="4"/>
  <c r="AF14"/>
  <c r="AI20" s="1"/>
  <c r="AI20" i="8"/>
  <c r="AB21"/>
  <c r="AD32" s="1"/>
  <c r="AB20"/>
  <c r="AF26" s="1"/>
  <c r="AD31" s="1"/>
  <c r="AD33"/>
  <c r="M21" i="7"/>
  <c r="H33"/>
  <c r="F20"/>
  <c r="J26" s="1"/>
  <c r="H31" s="1"/>
  <c r="CH62" i="16" l="1"/>
  <c r="CN38" s="1"/>
  <c r="CH57"/>
  <c r="CN37" s="1"/>
  <c r="CT40" s="1"/>
  <c r="CH93"/>
  <c r="CH52"/>
  <c r="CH22"/>
  <c r="CH18"/>
  <c r="CH17"/>
  <c r="AM15" i="5"/>
  <c r="CH92" i="16"/>
  <c r="CN53" s="1"/>
  <c r="CH88"/>
  <c r="AB21" i="5"/>
  <c r="AD32" s="1"/>
  <c r="H33" i="8"/>
  <c r="AI21" i="7"/>
  <c r="AF14" i="5"/>
  <c r="AI20" s="1"/>
  <c r="AD29" s="1"/>
  <c r="H10" i="14" s="1"/>
  <c r="N11" s="1"/>
  <c r="M21" i="8"/>
  <c r="Q15"/>
  <c r="J14"/>
  <c r="J15" s="1"/>
  <c r="F21"/>
  <c r="H32" s="1"/>
  <c r="AB20" i="7"/>
  <c r="AF26" s="1"/>
  <c r="AD31" s="1"/>
  <c r="AB21"/>
  <c r="AD32" s="1"/>
  <c r="AB20" i="6"/>
  <c r="AF26" s="1"/>
  <c r="AD31" s="1"/>
  <c r="M21"/>
  <c r="J25" s="1"/>
  <c r="H30" s="1"/>
  <c r="B23" i="14" s="1"/>
  <c r="AB21" i="6"/>
  <c r="AD32" s="1"/>
  <c r="AI21"/>
  <c r="AF25" s="1"/>
  <c r="F20"/>
  <c r="J26" s="1"/>
  <c r="H31" s="1"/>
  <c r="AI21" i="5"/>
  <c r="AB20"/>
  <c r="AF26" s="1"/>
  <c r="AD31" s="1"/>
  <c r="AD29" i="4"/>
  <c r="B28" i="14" s="1"/>
  <c r="N28" s="1"/>
  <c r="F20" i="5"/>
  <c r="J26" s="1"/>
  <c r="H31" s="1"/>
  <c r="M21"/>
  <c r="Q15"/>
  <c r="AB20" i="4"/>
  <c r="AF26" s="1"/>
  <c r="AD31" s="1"/>
  <c r="AD33"/>
  <c r="Q8"/>
  <c r="Q14" s="1"/>
  <c r="AB21"/>
  <c r="AD32" s="1"/>
  <c r="J14" i="5"/>
  <c r="J15" s="1"/>
  <c r="F3" i="4"/>
  <c r="H33" s="1"/>
  <c r="AM8" i="3"/>
  <c r="AM14" s="1"/>
  <c r="AB3"/>
  <c r="AD33" s="1"/>
  <c r="E2"/>
  <c r="J7" s="1"/>
  <c r="AD29" i="8"/>
  <c r="H28" i="14" s="1"/>
  <c r="N29" s="1"/>
  <c r="AD29" i="7"/>
  <c r="H22" i="14" s="1"/>
  <c r="N23" s="1"/>
  <c r="AD29" i="6"/>
  <c r="H16" i="14" s="1"/>
  <c r="N17" s="1"/>
  <c r="J25" i="7"/>
  <c r="F21" i="6"/>
  <c r="H32" s="1"/>
  <c r="AF25" i="8"/>
  <c r="AF25" i="4"/>
  <c r="AD30" s="1"/>
  <c r="H8" i="14" s="1"/>
  <c r="AF25" i="7"/>
  <c r="F21"/>
  <c r="H32" s="1"/>
  <c r="M20"/>
  <c r="M20" i="6"/>
  <c r="H29" s="1"/>
  <c r="H13" i="14" s="1"/>
  <c r="N14" s="1"/>
  <c r="E2" i="2"/>
  <c r="Q8" s="1"/>
  <c r="AA2" i="1"/>
  <c r="CH48" i="16" l="1"/>
  <c r="CL48" s="1"/>
  <c r="CH43"/>
  <c r="CL43" s="1"/>
  <c r="CH47"/>
  <c r="CN18"/>
  <c r="CL22"/>
  <c r="CL18"/>
  <c r="CN17"/>
  <c r="CT20" s="1"/>
  <c r="CN33"/>
  <c r="CL52"/>
  <c r="AF25" i="5"/>
  <c r="AD30" s="1"/>
  <c r="B26" i="14" s="1"/>
  <c r="CH82" i="16"/>
  <c r="CN48" s="1"/>
  <c r="CH87"/>
  <c r="CN52" s="1"/>
  <c r="CT51" s="1"/>
  <c r="DN26" s="1"/>
  <c r="J25" i="8"/>
  <c r="M20"/>
  <c r="M20" i="5"/>
  <c r="H29" s="1"/>
  <c r="H7" i="14" s="1"/>
  <c r="N8" s="1"/>
  <c r="J25" i="5"/>
  <c r="H30" s="1"/>
  <c r="B29" i="14" s="1"/>
  <c r="F21" i="5"/>
  <c r="H32" s="1"/>
  <c r="Q15" i="4"/>
  <c r="F21" s="1"/>
  <c r="H32" s="1"/>
  <c r="Q8" i="3"/>
  <c r="Q14" s="1"/>
  <c r="AM15"/>
  <c r="J14" i="4"/>
  <c r="J15" s="1"/>
  <c r="M21"/>
  <c r="F3" i="3"/>
  <c r="H33" s="1"/>
  <c r="AF14"/>
  <c r="AA2" i="2"/>
  <c r="AM8" s="1"/>
  <c r="AM14" s="1"/>
  <c r="AM8" i="1"/>
  <c r="AM15" s="1"/>
  <c r="H29" i="8"/>
  <c r="H25" i="14" s="1"/>
  <c r="N26" s="1"/>
  <c r="H29" i="7"/>
  <c r="H19" i="14" s="1"/>
  <c r="N20" s="1"/>
  <c r="AD30" i="8"/>
  <c r="B8" i="14" s="1"/>
  <c r="H30" i="8"/>
  <c r="B11" i="14" s="1"/>
  <c r="AD30" i="7"/>
  <c r="B14" i="14" s="1"/>
  <c r="AD30" i="6"/>
  <c r="B20" i="14" s="1"/>
  <c r="H30" i="7"/>
  <c r="B17" i="14" s="1"/>
  <c r="AF7" i="1"/>
  <c r="J7" i="2"/>
  <c r="Q14"/>
  <c r="F20" i="4"/>
  <c r="J26" s="1"/>
  <c r="H31" s="1"/>
  <c r="F3" i="2"/>
  <c r="E2" i="1"/>
  <c r="CZ5" i="16" l="1"/>
  <c r="CH42"/>
  <c r="CN28" s="1"/>
  <c r="CH33"/>
  <c r="CL33" s="1"/>
  <c r="CH83"/>
  <c r="CN32"/>
  <c r="CT31" s="1"/>
  <c r="DN24" s="1"/>
  <c r="CL47"/>
  <c r="J14" i="3"/>
  <c r="AI20" s="1"/>
  <c r="Q8" i="1"/>
  <c r="AI21" i="3"/>
  <c r="Q15"/>
  <c r="F21" s="1"/>
  <c r="H32" s="1"/>
  <c r="M21"/>
  <c r="M20" i="4"/>
  <c r="H29" s="1"/>
  <c r="B25" i="14" s="1"/>
  <c r="N25" s="1"/>
  <c r="T25" s="1"/>
  <c r="F20" i="3"/>
  <c r="J26" s="1"/>
  <c r="AF7" i="2"/>
  <c r="AB3"/>
  <c r="AD33" s="1"/>
  <c r="T1" i="8"/>
  <c r="T1" i="7"/>
  <c r="T1" i="6"/>
  <c r="T1" i="5"/>
  <c r="T1" i="4"/>
  <c r="T1" i="3"/>
  <c r="AP1" i="8"/>
  <c r="AP1" i="7"/>
  <c r="AP1" i="6"/>
  <c r="AP1" i="5"/>
  <c r="AP1" i="4"/>
  <c r="AP1" i="3"/>
  <c r="AP1" i="1"/>
  <c r="T1" i="2"/>
  <c r="AP1"/>
  <c r="T1" i="1"/>
  <c r="AB20" i="3"/>
  <c r="AF14" i="1"/>
  <c r="AI20" s="1"/>
  <c r="AB21" i="3"/>
  <c r="AM15" i="2"/>
  <c r="AF14"/>
  <c r="AI20" s="1"/>
  <c r="J14"/>
  <c r="Q15"/>
  <c r="F21" s="1"/>
  <c r="AI21"/>
  <c r="AM14" i="1"/>
  <c r="F3"/>
  <c r="J25" i="4"/>
  <c r="H30" s="1"/>
  <c r="H11" i="14" s="1"/>
  <c r="H33" i="2"/>
  <c r="AB3" i="1"/>
  <c r="J7"/>
  <c r="CH38" i="16" l="1"/>
  <c r="CL38" s="1"/>
  <c r="CL42"/>
  <c r="CH37"/>
  <c r="CH78"/>
  <c r="CH73"/>
  <c r="J15" i="3"/>
  <c r="Q14" i="1"/>
  <c r="J14"/>
  <c r="Q15"/>
  <c r="CH77" i="16"/>
  <c r="CN47" s="1"/>
  <c r="CT50" s="1"/>
  <c r="CZ29" s="1"/>
  <c r="M20" i="3"/>
  <c r="H29" s="1"/>
  <c r="B19" i="14" s="1"/>
  <c r="N19" s="1"/>
  <c r="AB21" i="2"/>
  <c r="AD32" s="1"/>
  <c r="J25" i="3"/>
  <c r="H30" s="1"/>
  <c r="H17" i="14" s="1"/>
  <c r="AF25" i="3"/>
  <c r="AD29" s="1"/>
  <c r="B22" i="14" s="1"/>
  <c r="N22" s="1"/>
  <c r="AF26" i="3"/>
  <c r="AD31" s="1"/>
  <c r="X25" i="14"/>
  <c r="Z14"/>
  <c r="AF26" s="1"/>
  <c r="AJ26" s="1"/>
  <c r="M21" i="2"/>
  <c r="AD32" i="3"/>
  <c r="AB20" i="2"/>
  <c r="AF26" s="1"/>
  <c r="AD31" s="1"/>
  <c r="F20"/>
  <c r="J26" s="1"/>
  <c r="AF25"/>
  <c r="AD30" s="1"/>
  <c r="J15"/>
  <c r="M20"/>
  <c r="H31" i="3"/>
  <c r="H32" i="2"/>
  <c r="F20" i="1"/>
  <c r="H33"/>
  <c r="AI21"/>
  <c r="AB20"/>
  <c r="AF26" s="1"/>
  <c r="AB21"/>
  <c r="AD32" s="1"/>
  <c r="AD33"/>
  <c r="AD1" i="8"/>
  <c r="H1"/>
  <c r="AD1" i="7"/>
  <c r="H1" i="6"/>
  <c r="H1" i="7"/>
  <c r="AD1" i="6"/>
  <c r="H1" i="5"/>
  <c r="AD1"/>
  <c r="AD1" i="4"/>
  <c r="H1"/>
  <c r="AD1" i="3"/>
  <c r="H1"/>
  <c r="AD1" i="2"/>
  <c r="H1"/>
  <c r="AD1" i="1"/>
  <c r="H1"/>
  <c r="CH32" i="16" l="1"/>
  <c r="CH72"/>
  <c r="CN43" s="1"/>
  <c r="CN27"/>
  <c r="CT30" s="1"/>
  <c r="CZ28" s="1"/>
  <c r="DF26" s="1"/>
  <c r="CL37"/>
  <c r="AD30" i="3"/>
  <c r="H14" i="14" s="1"/>
  <c r="H20"/>
  <c r="T20"/>
  <c r="F21" i="1"/>
  <c r="H32" s="1"/>
  <c r="J25" i="2"/>
  <c r="H30" s="1"/>
  <c r="H23" i="14" s="1"/>
  <c r="H31" i="2"/>
  <c r="AD29"/>
  <c r="B16" i="14" s="1"/>
  <c r="N16" s="1"/>
  <c r="M21" i="1"/>
  <c r="AF25"/>
  <c r="AD30" s="1"/>
  <c r="J26"/>
  <c r="H31" s="1"/>
  <c r="AD31"/>
  <c r="J15"/>
  <c r="M20"/>
  <c r="DN20" i="16" l="1"/>
  <c r="CN23"/>
  <c r="CL32"/>
  <c r="X20" i="14"/>
  <c r="Z25"/>
  <c r="AD25" s="1"/>
  <c r="J25" i="1"/>
  <c r="H30" s="1"/>
  <c r="T14" i="14"/>
  <c r="H26"/>
  <c r="AD29" i="1"/>
  <c r="B10" i="14" s="1"/>
  <c r="N10" s="1"/>
  <c r="H29" i="1"/>
  <c r="B7" i="14" s="1"/>
  <c r="N7" s="1"/>
  <c r="H29" i="2"/>
  <c r="B13" i="14" s="1"/>
  <c r="N13" s="1"/>
  <c r="X14" l="1"/>
  <c r="Z20"/>
  <c r="AM19"/>
  <c r="H29"/>
  <c r="T8"/>
  <c r="T7"/>
  <c r="T19"/>
  <c r="T13"/>
  <c r="T26"/>
  <c r="AD20" l="1"/>
  <c r="X26"/>
  <c r="Z26"/>
  <c r="X13"/>
  <c r="Z8"/>
  <c r="AF25" s="1"/>
  <c r="AJ25" s="1"/>
  <c r="X7"/>
  <c r="Z7"/>
  <c r="X19"/>
  <c r="Z13"/>
  <c r="X8"/>
  <c r="Z19"/>
  <c r="AD19" s="1"/>
  <c r="AF19" l="1"/>
  <c r="AD14"/>
  <c r="AM17" s="1"/>
  <c r="AD13"/>
  <c r="AF11" s="1"/>
  <c r="AJ11" s="1"/>
  <c r="AM15" s="1"/>
  <c r="AD26"/>
  <c r="AM21" s="1"/>
  <c r="AF20"/>
  <c r="AD7"/>
  <c r="AF10" s="1"/>
  <c r="AD8"/>
  <c r="AM16" s="1"/>
  <c r="CH68" i="16" l="1"/>
  <c r="AJ19" i="14"/>
  <c r="AM20" s="1"/>
  <c r="AJ10"/>
  <c r="AM14" s="1"/>
  <c r="AJ20"/>
  <c r="CH27" i="16" l="1"/>
  <c r="CH67"/>
  <c r="CN42" s="1"/>
  <c r="CT41" s="1"/>
  <c r="DN25" s="1"/>
  <c r="AM18" i="14"/>
  <c r="CZ23" i="16" l="1"/>
  <c r="DN21" s="1"/>
  <c r="CX52"/>
  <c r="CX53"/>
  <c r="CN22"/>
  <c r="CT21" s="1"/>
  <c r="CL27"/>
  <c r="CZ22" l="1"/>
  <c r="DF25" s="1"/>
  <c r="DN19" s="1"/>
  <c r="DN23"/>
  <c r="DN22"/>
  <c r="DJ49"/>
  <c r="DD54"/>
</calcChain>
</file>

<file path=xl/sharedStrings.xml><?xml version="1.0" encoding="utf-8"?>
<sst xmlns="http://schemas.openxmlformats.org/spreadsheetml/2006/main" count="1297" uniqueCount="366">
  <si>
    <t>1er de Poule:</t>
  </si>
  <si>
    <t>2ème de Poule:</t>
  </si>
  <si>
    <t>3ème de Poule:</t>
  </si>
  <si>
    <t>4ème de Poule:</t>
  </si>
  <si>
    <t>5ème de Poule:</t>
  </si>
  <si>
    <t>Score</t>
  </si>
  <si>
    <t>Jeu</t>
  </si>
  <si>
    <t>Parties éliminatoires (Championnat et Repêchage)</t>
  </si>
  <si>
    <t>1/8èmes de Finale</t>
  </si>
  <si>
    <t>1/4 de Finale</t>
  </si>
  <si>
    <t>Championnat</t>
  </si>
  <si>
    <t>1/2 Finale</t>
  </si>
  <si>
    <t>Repêchage</t>
  </si>
  <si>
    <t xml:space="preserve"> Finale</t>
  </si>
  <si>
    <t>Equipes Qualifiées au Championnat de France:</t>
  </si>
  <si>
    <t>1/16èmes de Finale</t>
  </si>
  <si>
    <t>A</t>
  </si>
  <si>
    <t>B</t>
  </si>
  <si>
    <t xml:space="preserve"> </t>
  </si>
  <si>
    <t>Poule 3</t>
  </si>
  <si>
    <t>Poule 4</t>
  </si>
  <si>
    <t>Equipes</t>
  </si>
  <si>
    <t>Qualifiés</t>
  </si>
  <si>
    <t>Nombre d'équipes participantes</t>
  </si>
  <si>
    <t>Nombre équipes participantes:</t>
  </si>
  <si>
    <t>Poule 1</t>
  </si>
  <si>
    <t>Poule 2</t>
  </si>
  <si>
    <t>Poule 5</t>
  </si>
  <si>
    <t>Poule 6</t>
  </si>
  <si>
    <t>Poule 7</t>
  </si>
  <si>
    <t>Poule 8</t>
  </si>
  <si>
    <t>Poule 9</t>
  </si>
  <si>
    <t>Poule 10</t>
  </si>
  <si>
    <t>Poule 11</t>
  </si>
  <si>
    <t>Poule 12</t>
  </si>
  <si>
    <t>Poule 13</t>
  </si>
  <si>
    <t>Poule 14</t>
  </si>
  <si>
    <t>Poule 15</t>
  </si>
  <si>
    <t>Poule 16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</si>
  <si>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</si>
  <si>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</si>
  <si>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</si>
  <si>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</si>
  <si>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</si>
  <si>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</si>
  <si>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</si>
  <si>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</si>
  <si>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</si>
  <si>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</si>
  <si>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</si>
  <si>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</si>
  <si>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</si>
  <si>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</si>
  <si>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</si>
  <si>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</si>
  <si>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D</t>
  </si>
  <si>
    <t>E</t>
  </si>
  <si>
    <t>Nombre d'équipes qualifiées au Ch de France :</t>
  </si>
  <si>
    <t>Fédéral du Comité de l'Ardèche</t>
  </si>
  <si>
    <t>Année:</t>
  </si>
  <si>
    <t>Type:</t>
  </si>
  <si>
    <t>Division(s):</t>
  </si>
  <si>
    <t>1ère PARTIE</t>
  </si>
  <si>
    <t>2ème PARTIE</t>
  </si>
  <si>
    <t>C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</si>
  <si>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</si>
  <si>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</si>
  <si>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</si>
  <si>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</si>
  <si>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</si>
  <si>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</si>
  <si>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</si>
  <si>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</si>
  <si>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</si>
  <si>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</si>
  <si>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</si>
  <si>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 xml:space="preserve">FEDERAL CBD DE </t>
  </si>
  <si>
    <t>TIRAGE</t>
  </si>
  <si>
    <t>NOMS</t>
  </si>
  <si>
    <t>AS</t>
  </si>
  <si>
    <t xml:space="preserve">Nombre d'équipes qualifiées </t>
  </si>
  <si>
    <t>Classement</t>
  </si>
  <si>
    <t>Gagnants</t>
  </si>
  <si>
    <t>Perdants</t>
  </si>
  <si>
    <t>Office</t>
  </si>
  <si>
    <t>Vérouillage: AB</t>
  </si>
  <si>
    <t>Nb équ. par poule</t>
  </si>
  <si>
    <t xml:space="preserve">Nb de qualifiés </t>
  </si>
  <si>
    <r>
      <t xml:space="preserve"> </t>
    </r>
    <r>
      <rPr>
        <u/>
        <sz val="11"/>
        <color theme="1"/>
        <rFont val="Times New Roman"/>
        <family val="1"/>
      </rPr>
      <t>Remarque</t>
    </r>
    <r>
      <rPr>
        <sz val="11"/>
        <color theme="1"/>
        <rFont val="Times New Roman"/>
        <family val="1"/>
      </rPr>
      <t>: Lors de la phase 2, les perdants de la Phase 1 sont sur la gauche de l'écran et les gagnants sur la droite</t>
    </r>
  </si>
  <si>
    <t xml:space="preserve">FEDERAL  DE </t>
  </si>
  <si>
    <t>jeux</t>
  </si>
  <si>
    <t>A2</t>
  </si>
  <si>
    <t>A3</t>
  </si>
  <si>
    <t>A4</t>
  </si>
  <si>
    <t>A5</t>
  </si>
  <si>
    <t>A6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</si>
  <si>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</si>
  <si>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</si>
  <si>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</si>
  <si>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</si>
  <si>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</si>
  <si>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</si>
  <si>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</si>
  <si>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</si>
  <si>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</si>
  <si>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B5</t>
  </si>
  <si>
    <t>C5</t>
  </si>
  <si>
    <t>D5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</si>
  <si>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</si>
  <si>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</si>
  <si>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</si>
  <si>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</si>
  <si>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</si>
  <si>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</si>
  <si>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</si>
  <si>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</si>
  <si>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</si>
  <si>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</si>
  <si>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</si>
  <si>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</si>
  <si>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</si>
  <si>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</si>
  <si>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</si>
  <si>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</si>
  <si>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</si>
  <si>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</si>
  <si>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</si>
  <si>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</si>
  <si>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</si>
  <si>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</si>
  <si>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</si>
  <si>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</si>
  <si>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</si>
  <si>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1 à 80</t>
  </si>
  <si>
    <t>A1</t>
  </si>
  <si>
    <t>B1</t>
  </si>
  <si>
    <t>C1</t>
  </si>
  <si>
    <t>D1</t>
  </si>
  <si>
    <t>Poules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</si>
  <si>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</si>
  <si>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</si>
  <si>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</si>
  <si>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</si>
  <si>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</si>
  <si>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</si>
  <si>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</si>
  <si>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</si>
  <si>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</si>
  <si>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</si>
  <si>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</si>
  <si>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</si>
  <si>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</si>
  <si>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</si>
  <si>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</si>
  <si>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</si>
  <si>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</si>
  <si>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</si>
  <si>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'=SI(J10=649;Y5;SI(J10=648;Y6;SI(J10=647;Y7;SI(J10=646;Y8;SI(J10=645;Y9;SI(J10=644;Y10;SI(J10=643;Y11;Y12)))))))</t>
  </si>
  <si>
    <t>Barrage perdants 1/2 Finales</t>
  </si>
  <si>
    <t>.</t>
  </si>
  <si>
    <t>Nbre Eq.</t>
  </si>
  <si>
    <t>Nbre Q. P.</t>
  </si>
  <si>
    <t/>
  </si>
  <si>
    <t>Code verrouillage AB</t>
  </si>
  <si>
    <t xml:space="preserve">Enregistrer les résultats le déroulement de la poule se fait automatiquement et les équipes s'affichent </t>
  </si>
  <si>
    <t>16 ème de Finale</t>
  </si>
  <si>
    <t>8 ème de Finale</t>
  </si>
  <si>
    <t>1/4  de Finale</t>
  </si>
  <si>
    <t>1/2  Finale</t>
  </si>
  <si>
    <t>FINALE</t>
  </si>
  <si>
    <t>poules</t>
  </si>
  <si>
    <t>NOM</t>
  </si>
  <si>
    <t>score</t>
  </si>
  <si>
    <t>Jeux</t>
  </si>
  <si>
    <t>=SI(BQ14=BQ15;"&amp;";SI(BQ14&gt;BQ15;BN14;BN15))</t>
  </si>
  <si>
    <t>Repéchâge</t>
  </si>
  <si>
    <t>5ème  et  6ème  place</t>
  </si>
  <si>
    <t>7ème et 8ème place</t>
  </si>
  <si>
    <t>Off.</t>
  </si>
  <si>
    <t>=SI(A14+A15=42;SI(F13&gt;F14;E13;E14);SI(A14+A15=52;SI((S15=2);E15;SI((T15=2);E16;SI((S16=2);E13;SI((T16=2);E14))))))</t>
  </si>
  <si>
    <t>=SI(OU(ET(A14+A15=52));E17;SI(OU(ET(A14+A15=42;F15&gt;F16));E15;E16))</t>
  </si>
  <si>
    <t>=SI(F13=F14;"résultat";SI(F13&lt;F14;E13;E14))</t>
  </si>
  <si>
    <t>=SI(F15=F16;"résultat";SI(F15&lt;F16;E15;E16))</t>
  </si>
  <si>
    <t>=SI(A14+A15=42;" ";SI(A14+A15=52;SI((S15=2);E13;SI((T15=2);E14;SI((S16=2);E16;SI((T16=2);E15;0))))))</t>
  </si>
  <si>
    <t>Barrages si 2 qualifiés</t>
  </si>
  <si>
    <t>I</t>
  </si>
  <si>
    <t>J</t>
  </si>
  <si>
    <t>O</t>
  </si>
  <si>
    <t>3ème et 4ème place</t>
  </si>
  <si>
    <t>=SI(OU(ET(CS9&gt;0;CS9&lt;5));" ";SI(CI17=CI18;"Perdant 1/4 A";SI(ET(CS9&gt;4;CS9&lt;9);SI(CI17&lt;CI18;CF17;CF18);0)))</t>
  </si>
  <si>
    <t>Nbre Offices</t>
  </si>
  <si>
    <t>Nb équ. dans poule</t>
  </si>
  <si>
    <t>P17</t>
  </si>
  <si>
    <t>P18</t>
  </si>
  <si>
    <t>P19</t>
  </si>
  <si>
    <t>P20</t>
  </si>
  <si>
    <t>Q</t>
  </si>
  <si>
    <t>U</t>
  </si>
  <si>
    <t>W</t>
  </si>
  <si>
    <t>Y</t>
  </si>
  <si>
    <t>AA</t>
  </si>
  <si>
    <t>AC</t>
  </si>
  <si>
    <t>AE</t>
  </si>
  <si>
    <t>V</t>
  </si>
  <si>
    <t>X</t>
  </si>
  <si>
    <t>Z</t>
  </si>
  <si>
    <t>AB</t>
  </si>
  <si>
    <t>AD</t>
  </si>
  <si>
    <t>AF</t>
  </si>
  <si>
    <t>32 ème de Finale</t>
  </si>
  <si>
    <t>A17</t>
  </si>
  <si>
    <t>B17</t>
  </si>
  <si>
    <t>C17</t>
  </si>
  <si>
    <t>D17</t>
  </si>
  <si>
    <t>A18</t>
  </si>
  <si>
    <t>B18</t>
  </si>
  <si>
    <t>C18</t>
  </si>
  <si>
    <t>D18</t>
  </si>
  <si>
    <t>A19</t>
  </si>
  <si>
    <t>B19</t>
  </si>
  <si>
    <t>C19</t>
  </si>
  <si>
    <t>D19</t>
  </si>
  <si>
    <t>A20</t>
  </si>
  <si>
    <t>B20</t>
  </si>
  <si>
    <t>C20</t>
  </si>
  <si>
    <t>D20</t>
  </si>
  <si>
    <t>P21</t>
  </si>
  <si>
    <t>P22</t>
  </si>
  <si>
    <t>P23</t>
  </si>
  <si>
    <t>P24</t>
  </si>
  <si>
    <t>A21</t>
  </si>
  <si>
    <t>B21</t>
  </si>
  <si>
    <t>C21</t>
  </si>
  <si>
    <t>D21</t>
  </si>
  <si>
    <t>A22</t>
  </si>
  <si>
    <t>B22</t>
  </si>
  <si>
    <t>C22</t>
  </si>
  <si>
    <t>D22</t>
  </si>
  <si>
    <t>A23</t>
  </si>
  <si>
    <t>B23</t>
  </si>
  <si>
    <t>C23</t>
  </si>
  <si>
    <t>D23</t>
  </si>
  <si>
    <t>A24</t>
  </si>
  <si>
    <t>B24</t>
  </si>
  <si>
    <t>C24</t>
  </si>
  <si>
    <t>D24</t>
  </si>
  <si>
    <t>Qualifiés Concours Qualificatifs</t>
  </si>
  <si>
    <t>1 à 3</t>
  </si>
  <si>
    <t>CQ 1_</t>
  </si>
  <si>
    <t>CQ 2_</t>
  </si>
  <si>
    <t>CQ 3_</t>
  </si>
  <si>
    <t>1, 2 et 3 tête de poule</t>
  </si>
  <si>
    <t>4 à 6</t>
  </si>
  <si>
    <t>CQ 4_</t>
  </si>
  <si>
    <t xml:space="preserve">4, 5 et 6 2ème de poule </t>
  </si>
  <si>
    <t>CQ 5_</t>
  </si>
  <si>
    <t>CQ 6_</t>
  </si>
  <si>
    <t>BF16</t>
  </si>
  <si>
    <t>BF8</t>
  </si>
  <si>
    <t>BF10</t>
  </si>
  <si>
    <t>BF12</t>
  </si>
  <si>
    <t>BF7</t>
  </si>
  <si>
    <t>BF9</t>
  </si>
  <si>
    <t>BF11</t>
  </si>
  <si>
    <t>BF20</t>
  </si>
  <si>
    <t>BF24</t>
  </si>
  <si>
    <t>BF28</t>
  </si>
  <si>
    <t>BF32</t>
  </si>
  <si>
    <t>BF36</t>
  </si>
  <si>
    <t>BF40</t>
  </si>
  <si>
    <t>BF44</t>
  </si>
  <si>
    <t>BF48</t>
  </si>
  <si>
    <t>BF52</t>
  </si>
  <si>
    <t>BF56</t>
  </si>
  <si>
    <t>BF60</t>
  </si>
  <si>
    <t>BF64</t>
  </si>
  <si>
    <t>BF70</t>
  </si>
  <si>
    <t>BF74</t>
  </si>
  <si>
    <t>BF78</t>
  </si>
  <si>
    <t>BF68</t>
  </si>
  <si>
    <t>BF72</t>
  </si>
  <si>
    <t>BF76</t>
  </si>
  <si>
    <t>BF80</t>
  </si>
  <si>
    <t>BF84</t>
  </si>
  <si>
    <t>BF89</t>
  </si>
  <si>
    <t>BF93</t>
  </si>
  <si>
    <t>BF86</t>
  </si>
  <si>
    <t>BF82</t>
  </si>
  <si>
    <t>BF81</t>
  </si>
  <si>
    <t>BF85</t>
  </si>
  <si>
    <t>BF50</t>
  </si>
  <si>
    <t>BF94</t>
  </si>
  <si>
    <t>BF17</t>
  </si>
  <si>
    <t>BF21</t>
  </si>
  <si>
    <t>BF25</t>
  </si>
  <si>
    <t>BF29</t>
  </si>
  <si>
    <t>BF33</t>
  </si>
  <si>
    <t>BF37</t>
  </si>
  <si>
    <t>BF41</t>
  </si>
  <si>
    <t>BF45</t>
  </si>
  <si>
    <t>BF49</t>
  </si>
  <si>
    <t>BF53</t>
  </si>
  <si>
    <t>BF57</t>
  </si>
  <si>
    <t>BF61</t>
  </si>
  <si>
    <t>BF65</t>
  </si>
  <si>
    <t>BF69</t>
  </si>
  <si>
    <t>BF73</t>
  </si>
  <si>
    <t>BF77</t>
  </si>
  <si>
    <t>BF18</t>
  </si>
  <si>
    <t>BF22</t>
  </si>
  <si>
    <t>BF26</t>
  </si>
  <si>
    <t>BF30</t>
  </si>
  <si>
    <t>BF34</t>
  </si>
  <si>
    <t>BF38</t>
  </si>
  <si>
    <t>BF42</t>
  </si>
  <si>
    <t>BF46</t>
  </si>
  <si>
    <t>BF54</t>
  </si>
  <si>
    <t>BF58</t>
  </si>
  <si>
    <t>BF62</t>
  </si>
  <si>
    <t>BF66</t>
  </si>
  <si>
    <t>BF97</t>
  </si>
  <si>
    <t>BF98</t>
  </si>
  <si>
    <t>BF101</t>
  </si>
  <si>
    <t>BF102</t>
  </si>
  <si>
    <t>BF105</t>
  </si>
  <si>
    <t>BF106</t>
  </si>
  <si>
    <t>BF109</t>
  </si>
  <si>
    <t>BF110</t>
  </si>
  <si>
    <t>Catégorie</t>
  </si>
  <si>
    <t>Masculin</t>
  </si>
  <si>
    <t>Féminine</t>
  </si>
  <si>
    <t>Jeunes</t>
  </si>
  <si>
    <t>Série</t>
  </si>
  <si>
    <t>M1</t>
  </si>
  <si>
    <t>F1</t>
  </si>
  <si>
    <t>G_U18</t>
  </si>
  <si>
    <t>Quadrette</t>
  </si>
  <si>
    <t>M2</t>
  </si>
  <si>
    <t>F2</t>
  </si>
  <si>
    <t>F_U18</t>
  </si>
  <si>
    <t>Triple</t>
  </si>
  <si>
    <t>M3</t>
  </si>
  <si>
    <t>F3</t>
  </si>
  <si>
    <t>U15</t>
  </si>
  <si>
    <t>Double</t>
  </si>
  <si>
    <t>M4</t>
  </si>
  <si>
    <t>F4</t>
  </si>
  <si>
    <t>G_U15</t>
  </si>
  <si>
    <t>Simple</t>
  </si>
  <si>
    <t>M3/M4</t>
  </si>
  <si>
    <t>F3/F4</t>
  </si>
  <si>
    <t>F_U15</t>
  </si>
  <si>
    <t>F1/F2</t>
  </si>
  <si>
    <t>U13</t>
  </si>
  <si>
    <t>U11</t>
  </si>
  <si>
    <t>U9</t>
  </si>
  <si>
    <t>Date</t>
  </si>
  <si>
    <t>Div.</t>
  </si>
  <si>
    <t>de 80 à 96 Equipes</t>
  </si>
  <si>
    <t>FEDERAL</t>
  </si>
  <si>
    <t>LIEU:</t>
  </si>
  <si>
    <t>+ 6 Equipes. C. Q.</t>
  </si>
  <si>
    <t>Cellule Jaune avec le curseur afficher le nombre d'équipes engagées cellule J15</t>
  </si>
  <si>
    <t>et cellule bleue le nombre d'équipes qualifiées cellule J16</t>
  </si>
  <si>
    <t xml:space="preserve">Effectuer le tirage en notant les numéros colonne AH les noms des équipes s'affichent dans le tableau </t>
  </si>
  <si>
    <t>jusqu'à la finale et vous obtenez les qualifiés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</si>
</sst>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5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FFFF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70C0"/>
      <name val="Times New Roman"/>
      <family val="1"/>
    </font>
    <font>
      <b/>
      <sz val="11"/>
      <color theme="0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28"/>
      <color theme="1"/>
      <name val="Times New Roman"/>
      <family val="1"/>
    </font>
    <font>
      <b/>
      <sz val="16"/>
      <color rgb="FFFF0000"/>
      <name val="Times New Roman"/>
      <family val="1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indexed="8"/>
      <name val="Times New Roman"/>
      <family val="1"/>
    </font>
    <font>
      <sz val="18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4"/>
      <color theme="1"/>
      <name val="Times New Roman"/>
      <family val="1"/>
    </font>
    <font>
      <sz val="18"/>
      <name val="Times New Roman"/>
      <family val="1"/>
    </font>
    <font>
      <u/>
      <sz val="8.8000000000000007"/>
      <color theme="10"/>
      <name val="Times New Roman"/>
      <family val="1"/>
    </font>
    <font>
      <sz val="22"/>
      <color theme="1"/>
      <name val="Calibri"/>
      <family val="2"/>
      <scheme val="minor"/>
    </font>
    <font>
      <sz val="16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theme="0"/>
      <name val="Times New Roman"/>
      <family val="1"/>
    </font>
    <font>
      <sz val="26"/>
      <color theme="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A90ED"/>
        <bgColor indexed="64"/>
      </patternFill>
    </fill>
    <fill>
      <patternFill patternType="solid">
        <fgColor rgb="FF11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29A3FF"/>
        <bgColor indexed="64"/>
      </patternFill>
    </fill>
    <fill>
      <patternFill patternType="solid">
        <fgColor rgb="FF9A9CF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C8E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BB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thin">
        <color indexed="8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rgb="FFFF0000"/>
      </top>
      <bottom style="thin">
        <color indexed="8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3" fillId="0" borderId="0"/>
  </cellStyleXfs>
  <cellXfs count="97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Fill="1" applyBorder="1"/>
    <xf numFmtId="0" fontId="0" fillId="7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14" fillId="0" borderId="0" xfId="0" applyFont="1" applyProtection="1"/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5" fillId="11" borderId="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4" fillId="0" borderId="12" xfId="0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4" fillId="0" borderId="12" xfId="0" applyFont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</xf>
    <xf numFmtId="0" fontId="14" fillId="0" borderId="20" xfId="0" applyFont="1" applyBorder="1" applyProtection="1"/>
    <xf numFmtId="0" fontId="14" fillId="0" borderId="1" xfId="0" applyFont="1" applyBorder="1" applyAlignment="1" applyProtection="1">
      <alignment horizontal="center"/>
      <protection locked="0"/>
    </xf>
    <xf numFmtId="0" fontId="14" fillId="14" borderId="1" xfId="0" applyFont="1" applyFill="1" applyBorder="1" applyProtection="1"/>
    <xf numFmtId="0" fontId="14" fillId="0" borderId="11" xfId="0" applyFont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center"/>
    </xf>
    <xf numFmtId="0" fontId="14" fillId="0" borderId="16" xfId="0" applyFont="1" applyBorder="1"/>
    <xf numFmtId="0" fontId="14" fillId="0" borderId="0" xfId="0" applyFont="1"/>
    <xf numFmtId="0" fontId="14" fillId="0" borderId="12" xfId="0" applyFont="1" applyBorder="1" applyAlignment="1" applyProtection="1">
      <alignment horizontal="center"/>
      <protection locked="0"/>
    </xf>
    <xf numFmtId="0" fontId="14" fillId="0" borderId="1" xfId="0" applyFont="1" applyBorder="1" applyProtection="1"/>
    <xf numFmtId="0" fontId="14" fillId="0" borderId="22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  <protection locked="0"/>
    </xf>
    <xf numFmtId="0" fontId="19" fillId="0" borderId="0" xfId="0" quotePrefix="1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/>
    </xf>
    <xf numFmtId="0" fontId="20" fillId="0" borderId="0" xfId="0" quotePrefix="1" applyFont="1" applyBorder="1" applyProtection="1"/>
    <xf numFmtId="0" fontId="14" fillId="0" borderId="0" xfId="0" quotePrefix="1" applyFont="1" applyBorder="1" applyProtection="1"/>
    <xf numFmtId="0" fontId="21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14" fillId="0" borderId="16" xfId="0" applyFont="1" applyBorder="1" applyProtection="1"/>
    <xf numFmtId="0" fontId="14" fillId="0" borderId="17" xfId="0" applyFont="1" applyBorder="1"/>
    <xf numFmtId="0" fontId="14" fillId="0" borderId="17" xfId="0" applyFont="1" applyBorder="1" applyProtection="1"/>
    <xf numFmtId="0" fontId="14" fillId="0" borderId="18" xfId="0" applyFont="1" applyBorder="1" applyProtection="1"/>
    <xf numFmtId="0" fontId="22" fillId="0" borderId="0" xfId="0" applyFont="1" applyBorder="1" applyProtection="1"/>
    <xf numFmtId="0" fontId="13" fillId="6" borderId="1" xfId="0" applyFont="1" applyFill="1" applyBorder="1" applyAlignment="1" applyProtection="1">
      <alignment horizontal="center" vertical="center"/>
    </xf>
    <xf numFmtId="0" fontId="14" fillId="0" borderId="17" xfId="0" applyFont="1" applyFill="1" applyBorder="1"/>
    <xf numFmtId="0" fontId="14" fillId="0" borderId="1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26" fillId="0" borderId="0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4" fillId="0" borderId="31" xfId="0" quotePrefix="1" applyFont="1" applyFill="1" applyBorder="1" applyAlignment="1" applyProtection="1">
      <alignment horizontal="center" vertical="center"/>
    </xf>
    <xf numFmtId="0" fontId="14" fillId="0" borderId="34" xfId="0" quotePrefix="1" applyFont="1" applyFill="1" applyBorder="1" applyAlignment="1" applyProtection="1">
      <alignment horizontal="center" vertical="center"/>
    </xf>
    <xf numFmtId="0" fontId="14" fillId="0" borderId="36" xfId="0" quotePrefix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7" fillId="0" borderId="0" xfId="0" applyFont="1"/>
    <xf numFmtId="0" fontId="7" fillId="0" borderId="0" xfId="0" applyFont="1" applyProtection="1"/>
    <xf numFmtId="0" fontId="14" fillId="3" borderId="11" xfId="0" applyFont="1" applyFill="1" applyBorder="1" applyAlignment="1" applyProtection="1">
      <alignment horizontal="center"/>
    </xf>
    <xf numFmtId="0" fontId="27" fillId="0" borderId="0" xfId="0" applyFont="1" applyProtection="1"/>
    <xf numFmtId="0" fontId="27" fillId="0" borderId="12" xfId="0" applyFont="1" applyBorder="1" applyProtection="1"/>
    <xf numFmtId="0" fontId="27" fillId="0" borderId="0" xfId="0" applyFont="1" applyBorder="1" applyProtection="1"/>
    <xf numFmtId="0" fontId="27" fillId="0" borderId="0" xfId="0" applyFont="1" applyFill="1" applyBorder="1" applyProtection="1"/>
    <xf numFmtId="0" fontId="27" fillId="0" borderId="0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0" fillId="0" borderId="11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  <protection locked="0"/>
    </xf>
    <xf numFmtId="0" fontId="0" fillId="0" borderId="5" xfId="0" quotePrefix="1" applyFill="1" applyBorder="1" applyAlignment="1" applyProtection="1">
      <alignment horizontal="center" vertical="center"/>
    </xf>
    <xf numFmtId="0" fontId="0" fillId="0" borderId="2" xfId="0" quotePrefix="1" applyFill="1" applyBorder="1" applyAlignment="1" applyProtection="1"/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0" fillId="0" borderId="0" xfId="0" quotePrefix="1" applyNumberFormat="1" applyFill="1" applyProtection="1"/>
    <xf numFmtId="0" fontId="0" fillId="0" borderId="5" xfId="0" applyFill="1" applyBorder="1" applyAlignment="1" applyProtection="1">
      <alignment horizontal="center"/>
    </xf>
    <xf numFmtId="0" fontId="0" fillId="0" borderId="5" xfId="0" quotePrefix="1" applyFill="1" applyBorder="1" applyAlignment="1" applyProtection="1"/>
    <xf numFmtId="0" fontId="0" fillId="0" borderId="0" xfId="0" quotePrefix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/>
    <xf numFmtId="0" fontId="14" fillId="0" borderId="31" xfId="0" applyFont="1" applyBorder="1" applyAlignment="1" applyProtection="1">
      <alignment horizontal="center"/>
      <protection locked="0"/>
    </xf>
    <xf numFmtId="0" fontId="30" fillId="3" borderId="1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/>
    <xf numFmtId="0" fontId="28" fillId="3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/>
    <xf numFmtId="0" fontId="15" fillId="0" borderId="14" xfId="0" applyFont="1" applyBorder="1" applyAlignment="1" applyProtection="1"/>
    <xf numFmtId="0" fontId="14" fillId="0" borderId="14" xfId="0" applyFont="1" applyBorder="1" applyProtection="1"/>
    <xf numFmtId="0" fontId="14" fillId="0" borderId="15" xfId="0" applyFont="1" applyBorder="1" applyProtection="1"/>
    <xf numFmtId="0" fontId="32" fillId="0" borderId="0" xfId="0" applyNumberFormat="1" applyFont="1" applyAlignment="1" applyProtection="1"/>
    <xf numFmtId="0" fontId="32" fillId="0" borderId="0" xfId="0" applyNumberFormat="1" applyFont="1" applyAlignment="1" applyProtection="1">
      <alignment horizontal="center" vertical="center" wrapText="1"/>
    </xf>
    <xf numFmtId="0" fontId="30" fillId="10" borderId="1" xfId="0" applyFont="1" applyFill="1" applyBorder="1" applyAlignment="1" applyProtection="1">
      <alignment horizontal="center" vertical="center"/>
    </xf>
    <xf numFmtId="0" fontId="32" fillId="0" borderId="20" xfId="0" applyNumberFormat="1" applyFont="1" applyBorder="1" applyAlignment="1" applyProtection="1"/>
    <xf numFmtId="0" fontId="33" fillId="4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14" fillId="0" borderId="0" xfId="0" quotePrefix="1" applyNumberFormat="1" applyFont="1" applyProtection="1"/>
    <xf numFmtId="0" fontId="14" fillId="0" borderId="0" xfId="0" applyFont="1" applyAlignment="1" applyProtection="1">
      <alignment horizontal="center"/>
      <protection locked="0"/>
    </xf>
    <xf numFmtId="0" fontId="14" fillId="0" borderId="0" xfId="0" quotePrefix="1" applyFont="1" applyProtection="1"/>
    <xf numFmtId="0" fontId="14" fillId="0" borderId="7" xfId="0" quotePrefix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Protection="1"/>
    <xf numFmtId="0" fontId="14" fillId="0" borderId="33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0" fillId="0" borderId="17" xfId="0" applyBorder="1"/>
    <xf numFmtId="0" fontId="12" fillId="0" borderId="0" xfId="0" applyFont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14" fillId="0" borderId="18" xfId="0" applyFont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/>
    </xf>
    <xf numFmtId="0" fontId="14" fillId="0" borderId="4" xfId="0" quotePrefix="1" applyFont="1" applyFill="1" applyBorder="1" applyAlignment="1" applyProtection="1">
      <alignment horizontal="center" vertical="center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0" fillId="0" borderId="45" xfId="0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 applyProtection="1">
      <alignment horizontal="center" vertical="center" wrapText="1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 locked="0"/>
    </xf>
    <xf numFmtId="0" fontId="4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50" xfId="0" applyFont="1" applyBorder="1" applyAlignment="1" applyProtection="1">
      <alignment horizontal="center" vertical="center" wrapText="1"/>
      <protection locked="0"/>
    </xf>
    <xf numFmtId="0" fontId="40" fillId="0" borderId="0" xfId="0" applyFont="1" applyProtection="1">
      <protection locked="0"/>
    </xf>
    <xf numFmtId="0" fontId="40" fillId="0" borderId="0" xfId="0" applyFont="1" applyFill="1" applyProtection="1">
      <protection locked="0"/>
    </xf>
    <xf numFmtId="0" fontId="40" fillId="0" borderId="57" xfId="0" applyFont="1" applyBorder="1" applyAlignment="1" applyProtection="1">
      <alignment horizontal="center" vertical="center" wrapText="1"/>
      <protection locked="0"/>
    </xf>
    <xf numFmtId="0" fontId="11" fillId="10" borderId="33" xfId="0" quotePrefix="1" applyFont="1" applyFill="1" applyBorder="1" applyAlignment="1" applyProtection="1">
      <alignment horizontal="center" vertical="center"/>
    </xf>
    <xf numFmtId="0" fontId="40" fillId="0" borderId="59" xfId="0" applyFont="1" applyBorder="1" applyAlignment="1" applyProtection="1">
      <alignment horizontal="center" vertical="center" wrapText="1"/>
      <protection locked="0"/>
    </xf>
    <xf numFmtId="0" fontId="40" fillId="0" borderId="62" xfId="0" applyFont="1" applyBorder="1" applyAlignment="1" applyProtection="1">
      <alignment horizontal="center" vertical="center" wrapText="1"/>
      <protection locked="0"/>
    </xf>
    <xf numFmtId="0" fontId="44" fillId="0" borderId="47" xfId="0" applyFont="1" applyFill="1" applyBorder="1" applyAlignment="1" applyProtection="1">
      <alignment horizontal="center" vertical="center" wrapText="1"/>
      <protection locked="0"/>
    </xf>
    <xf numFmtId="0" fontId="40" fillId="0" borderId="56" xfId="0" applyFont="1" applyFill="1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40" fillId="0" borderId="47" xfId="2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0" fillId="0" borderId="56" xfId="2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wrapText="1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67" xfId="2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2" fillId="0" borderId="51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 wrapText="1"/>
      <protection locked="0"/>
    </xf>
    <xf numFmtId="0" fontId="42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40" fillId="0" borderId="7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10" borderId="8" xfId="0" applyFont="1" applyFill="1" applyBorder="1" applyAlignment="1" applyProtection="1">
      <alignment horizontal="center" vertical="center" wrapText="1"/>
      <protection locked="0"/>
    </xf>
    <xf numFmtId="0" fontId="40" fillId="0" borderId="72" xfId="2" quotePrefix="1" applyFont="1" applyFill="1" applyBorder="1" applyAlignment="1" applyProtection="1">
      <alignment horizontal="center" vertical="center" wrapText="1"/>
    </xf>
    <xf numFmtId="0" fontId="40" fillId="0" borderId="54" xfId="2" quotePrefix="1" applyFont="1" applyFill="1" applyBorder="1" applyAlignment="1" applyProtection="1">
      <alignment horizontal="center" vertical="center" wrapText="1"/>
    </xf>
    <xf numFmtId="0" fontId="40" fillId="10" borderId="52" xfId="2" quotePrefix="1" applyFont="1" applyFill="1" applyBorder="1" applyAlignment="1" applyProtection="1">
      <alignment horizontal="center" vertical="center" wrapText="1"/>
    </xf>
    <xf numFmtId="0" fontId="0" fillId="25" borderId="0" xfId="0" applyFill="1"/>
    <xf numFmtId="0" fontId="40" fillId="26" borderId="60" xfId="2" quotePrefix="1" applyFont="1" applyFill="1" applyBorder="1" applyAlignment="1" applyProtection="1">
      <alignment horizontal="center" vertical="center"/>
      <protection locked="0"/>
    </xf>
    <xf numFmtId="0" fontId="40" fillId="26" borderId="69" xfId="2" quotePrefix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2" fillId="14" borderId="51" xfId="0" applyFont="1" applyFill="1" applyBorder="1" applyAlignment="1" applyProtection="1">
      <alignment horizontal="center" vertical="center" wrapText="1"/>
      <protection locked="0"/>
    </xf>
    <xf numFmtId="0" fontId="42" fillId="14" borderId="24" xfId="0" applyFont="1" applyFill="1" applyBorder="1" applyAlignment="1" applyProtection="1">
      <alignment horizontal="center" vertical="center" wrapText="1"/>
      <protection locked="0"/>
    </xf>
    <xf numFmtId="0" fontId="42" fillId="14" borderId="22" xfId="0" applyFont="1" applyFill="1" applyBorder="1" applyAlignment="1" applyProtection="1">
      <alignment horizontal="center" vertical="center" wrapText="1"/>
      <protection locked="0"/>
    </xf>
    <xf numFmtId="0" fontId="42" fillId="14" borderId="68" xfId="0" applyFont="1" applyFill="1" applyBorder="1" applyAlignment="1" applyProtection="1">
      <alignment horizontal="center" vertical="center" wrapText="1"/>
      <protection locked="0"/>
    </xf>
    <xf numFmtId="0" fontId="40" fillId="0" borderId="73" xfId="0" applyFont="1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30" xfId="0" applyFont="1" applyBorder="1" applyAlignment="1" applyProtection="1">
      <alignment horizontal="center" vertical="center" wrapText="1"/>
      <protection locked="0"/>
    </xf>
    <xf numFmtId="0" fontId="40" fillId="0" borderId="74" xfId="0" applyFont="1" applyBorder="1" applyAlignment="1" applyProtection="1">
      <alignment horizontal="center" vertical="center" wrapText="1"/>
      <protection locked="0"/>
    </xf>
    <xf numFmtId="0" fontId="40" fillId="0" borderId="66" xfId="2" quotePrefix="1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9" xfId="0" quotePrefix="1" applyFont="1" applyFill="1" applyBorder="1" applyAlignment="1" applyProtection="1">
      <alignment horizontal="center" vertical="center"/>
    </xf>
    <xf numFmtId="0" fontId="11" fillId="3" borderId="21" xfId="0" quotePrefix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46" fillId="0" borderId="0" xfId="0" applyFont="1"/>
    <xf numFmtId="0" fontId="46" fillId="0" borderId="0" xfId="0" quotePrefix="1" applyFont="1" applyFill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0" fontId="46" fillId="0" borderId="0" xfId="0" applyFont="1" applyFill="1" applyProtection="1"/>
    <xf numFmtId="0" fontId="46" fillId="0" borderId="0" xfId="0" applyFont="1" applyFill="1" applyAlignment="1" applyProtection="1">
      <alignment horizontal="left" vertical="center"/>
    </xf>
    <xf numFmtId="0" fontId="46" fillId="0" borderId="0" xfId="0" applyFont="1" applyFill="1" applyAlignment="1" applyProtection="1">
      <alignment horizontal="left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Protection="1"/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/>
    </xf>
    <xf numFmtId="0" fontId="40" fillId="0" borderId="52" xfId="2" quotePrefix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4" fillId="27" borderId="1" xfId="0" applyFont="1" applyFill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0" fillId="0" borderId="80" xfId="0" applyFont="1" applyFill="1" applyBorder="1" applyAlignment="1" applyProtection="1">
      <alignment horizontal="center" vertical="center" wrapText="1"/>
      <protection locked="0"/>
    </xf>
    <xf numFmtId="0" fontId="40" fillId="0" borderId="62" xfId="0" applyFont="1" applyFill="1" applyBorder="1" applyAlignment="1" applyProtection="1">
      <alignment horizontal="center" vertical="center" wrapText="1"/>
      <protection locked="0"/>
    </xf>
    <xf numFmtId="0" fontId="32" fillId="0" borderId="0" xfId="0" quotePrefix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40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14" fillId="0" borderId="82" xfId="0" quotePrefix="1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 wrapText="1"/>
      <protection locked="0"/>
    </xf>
    <xf numFmtId="0" fontId="40" fillId="0" borderId="70" xfId="0" applyFont="1" applyBorder="1" applyAlignment="1" applyProtection="1">
      <alignment horizontal="center" vertical="center" wrapText="1"/>
      <protection locked="0"/>
    </xf>
    <xf numFmtId="0" fontId="10" fillId="0" borderId="40" xfId="0" quotePrefix="1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quotePrefix="1" applyFont="1" applyAlignment="1" applyProtection="1">
      <alignment horizontal="center" vertical="center"/>
      <protection locked="0"/>
    </xf>
    <xf numFmtId="0" fontId="52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0" fillId="3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2" fillId="0" borderId="81" xfId="0" applyFont="1" applyFill="1" applyBorder="1" applyAlignment="1" applyProtection="1">
      <alignment horizontal="center" vertical="center"/>
      <protection locked="0"/>
    </xf>
    <xf numFmtId="0" fontId="5" fillId="13" borderId="39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2" fillId="0" borderId="84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30" fillId="0" borderId="40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2" fillId="0" borderId="61" xfId="0" applyFont="1" applyFill="1" applyBorder="1" applyAlignment="1" applyProtection="1">
      <alignment horizontal="center" vertical="center"/>
      <protection locked="0"/>
    </xf>
    <xf numFmtId="0" fontId="5" fillId="13" borderId="41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11" fillId="15" borderId="33" xfId="0" quotePrefix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15" borderId="39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15" borderId="3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15" borderId="41" xfId="0" applyFont="1" applyFill="1" applyBorder="1" applyAlignment="1" applyProtection="1">
      <alignment horizontal="center" vertical="center"/>
      <protection locked="0"/>
    </xf>
    <xf numFmtId="0" fontId="5" fillId="14" borderId="9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40" fillId="0" borderId="85" xfId="2" quotePrefix="1" applyFont="1" applyFill="1" applyBorder="1" applyAlignment="1" applyProtection="1">
      <alignment horizontal="center" vertical="center" wrapText="1"/>
    </xf>
    <xf numFmtId="0" fontId="42" fillId="14" borderId="86" xfId="0" applyFont="1" applyFill="1" applyBorder="1" applyAlignment="1" applyProtection="1">
      <alignment horizontal="center" vertical="center" wrapText="1"/>
      <protection locked="0"/>
    </xf>
    <xf numFmtId="0" fontId="40" fillId="0" borderId="87" xfId="2" quotePrefix="1" applyFont="1" applyFill="1" applyBorder="1" applyAlignment="1" applyProtection="1">
      <alignment horizontal="center" vertical="center" wrapText="1"/>
    </xf>
    <xf numFmtId="0" fontId="5" fillId="14" borderId="8" xfId="0" applyFont="1" applyFill="1" applyBorder="1" applyAlignment="1" applyProtection="1">
      <alignment vertical="center"/>
      <protection locked="0"/>
    </xf>
    <xf numFmtId="0" fontId="5" fillId="14" borderId="9" xfId="0" applyFont="1" applyFill="1" applyBorder="1" applyAlignment="1" applyProtection="1">
      <alignment vertical="center"/>
      <protection locked="0"/>
    </xf>
    <xf numFmtId="0" fontId="5" fillId="14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13" borderId="33" xfId="0" quotePrefix="1" applyFont="1" applyFill="1" applyBorder="1" applyAlignment="1" applyProtection="1">
      <alignment horizontal="center" vertical="center"/>
    </xf>
    <xf numFmtId="0" fontId="11" fillId="27" borderId="34" xfId="0" quotePrefix="1" applyFont="1" applyFill="1" applyBorder="1" applyAlignment="1" applyProtection="1">
      <alignment horizontal="center" vertical="center"/>
    </xf>
    <xf numFmtId="0" fontId="11" fillId="10" borderId="34" xfId="0" quotePrefix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4" xfId="0" quotePrefix="1" applyFont="1" applyFill="1" applyBorder="1" applyAlignment="1" applyProtection="1">
      <alignment horizontal="center" vertical="center"/>
    </xf>
    <xf numFmtId="0" fontId="14" fillId="27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7" fillId="15" borderId="19" xfId="0" applyFont="1" applyFill="1" applyBorder="1" applyAlignment="1" applyProtection="1">
      <alignment horizontal="center" vertical="center"/>
      <protection locked="0"/>
    </xf>
    <xf numFmtId="0" fontId="37" fillId="15" borderId="11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vertical="center"/>
      <protection locked="0"/>
    </xf>
    <xf numFmtId="0" fontId="11" fillId="15" borderId="19" xfId="0" applyFont="1" applyFill="1" applyBorder="1" applyAlignment="1" applyProtection="1">
      <alignment horizontal="center" vertical="center"/>
      <protection locked="0"/>
    </xf>
    <xf numFmtId="0" fontId="11" fillId="13" borderId="0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Protection="1">
      <protection locked="0"/>
    </xf>
    <xf numFmtId="0" fontId="14" fillId="0" borderId="0" xfId="0" quotePrefix="1" applyFont="1" applyProtection="1"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6" fillId="0" borderId="0" xfId="0" applyFont="1" applyProtection="1">
      <protection locked="0"/>
    </xf>
    <xf numFmtId="0" fontId="46" fillId="0" borderId="0" xfId="0" applyFont="1" applyFill="1" applyProtection="1">
      <protection locked="0"/>
    </xf>
    <xf numFmtId="0" fontId="12" fillId="0" borderId="0" xfId="0" applyFont="1" applyAlignment="1" applyProtection="1"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0" xfId="0" quotePrefix="1" applyFont="1" applyFill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17" borderId="1" xfId="0" applyFont="1" applyFill="1" applyBorder="1" applyAlignment="1" applyProtection="1">
      <alignment horizontal="center" vertical="center"/>
      <protection locked="0"/>
    </xf>
    <xf numFmtId="0" fontId="11" fillId="16" borderId="1" xfId="0" applyFont="1" applyFill="1" applyBorder="1" applyAlignment="1" applyProtection="1">
      <alignment horizontal="center" vertical="center"/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50" fillId="0" borderId="0" xfId="1" quotePrefix="1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7" fillId="28" borderId="3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7" fillId="0" borderId="38" xfId="0" quotePrefix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48" fillId="10" borderId="0" xfId="0" applyFont="1" applyFill="1" applyAlignment="1" applyProtection="1">
      <alignment horizontal="center" vertical="center"/>
      <protection locked="0"/>
    </xf>
    <xf numFmtId="0" fontId="7" fillId="15" borderId="3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quotePrefix="1" applyFont="1" applyBorder="1" applyAlignment="1" applyProtection="1">
      <alignment horizontal="center" vertical="center" wrapText="1"/>
      <protection locked="0"/>
    </xf>
    <xf numFmtId="0" fontId="7" fillId="28" borderId="3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>
      <protection locked="0"/>
    </xf>
    <xf numFmtId="0" fontId="7" fillId="15" borderId="34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Protection="1">
      <protection locked="0"/>
    </xf>
    <xf numFmtId="0" fontId="14" fillId="0" borderId="47" xfId="0" applyFont="1" applyFill="1" applyBorder="1" applyProtection="1">
      <protection locked="0"/>
    </xf>
    <xf numFmtId="0" fontId="7" fillId="10" borderId="19" xfId="0" quotePrefix="1" applyFont="1" applyFill="1" applyBorder="1" applyAlignment="1" applyProtection="1">
      <alignment horizontal="center" vertical="center"/>
      <protection locked="0"/>
    </xf>
    <xf numFmtId="0" fontId="14" fillId="14" borderId="0" xfId="0" applyFont="1" applyFill="1" applyAlignment="1" applyProtection="1">
      <alignment horizontal="center" vertical="center"/>
      <protection locked="0"/>
    </xf>
    <xf numFmtId="0" fontId="14" fillId="14" borderId="76" xfId="0" applyFont="1" applyFill="1" applyBorder="1" applyAlignment="1" applyProtection="1">
      <alignment horizontal="center" vertical="center"/>
      <protection locked="0"/>
    </xf>
    <xf numFmtId="0" fontId="14" fillId="1" borderId="0" xfId="0" applyFont="1" applyFill="1" applyAlignment="1" applyProtection="1">
      <alignment horizontal="center"/>
      <protection locked="0"/>
    </xf>
    <xf numFmtId="0" fontId="14" fillId="1" borderId="0" xfId="0" applyFont="1" applyFill="1" applyProtection="1"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7" fillId="10" borderId="21" xfId="0" quotePrefix="1" applyFont="1" applyFill="1" applyBorder="1" applyAlignment="1" applyProtection="1">
      <alignment horizontal="center" vertical="center"/>
      <protection locked="0"/>
    </xf>
    <xf numFmtId="0" fontId="14" fillId="14" borderId="77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9" fillId="0" borderId="0" xfId="0" quotePrefix="1" applyFont="1" applyFill="1" applyAlignment="1" applyProtection="1">
      <alignment vertical="center"/>
      <protection locked="0"/>
    </xf>
    <xf numFmtId="0" fontId="19" fillId="0" borderId="0" xfId="0" quotePrefix="1" applyFont="1" applyFill="1" applyProtection="1"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32" fillId="0" borderId="35" xfId="0" quotePrefix="1" applyFont="1" applyFill="1" applyBorder="1" applyAlignment="1" applyProtection="1">
      <alignment horizontal="center" vertical="center" wrapText="1"/>
      <protection locked="0"/>
    </xf>
    <xf numFmtId="0" fontId="6" fillId="10" borderId="21" xfId="0" quotePrefix="1" applyFont="1" applyFill="1" applyBorder="1" applyAlignment="1" applyProtection="1">
      <alignment horizontal="center" vertical="center"/>
      <protection locked="0"/>
    </xf>
    <xf numFmtId="0" fontId="14" fillId="1" borderId="88" xfId="0" applyFont="1" applyFill="1" applyBorder="1" applyAlignment="1" applyProtection="1">
      <alignment horizontal="center"/>
      <protection locked="0"/>
    </xf>
    <xf numFmtId="0" fontId="14" fillId="1" borderId="47" xfId="0" applyFont="1" applyFill="1" applyBorder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32" fillId="0" borderId="0" xfId="0" quotePrefix="1" applyFont="1" applyFill="1" applyBorder="1" applyAlignment="1" applyProtection="1">
      <alignment horizontal="center" vertical="center" wrapText="1"/>
      <protection locked="0"/>
    </xf>
    <xf numFmtId="0" fontId="14" fillId="15" borderId="19" xfId="0" applyFont="1" applyFill="1" applyBorder="1" applyAlignment="1" applyProtection="1">
      <alignment horizontal="center" vertical="center"/>
      <protection locked="0"/>
    </xf>
    <xf numFmtId="0" fontId="14" fillId="15" borderId="14" xfId="0" applyFont="1" applyFill="1" applyBorder="1" applyAlignment="1" applyProtection="1">
      <alignment horizontal="center" vertical="center"/>
      <protection locked="0"/>
    </xf>
    <xf numFmtId="0" fontId="14" fillId="15" borderId="15" xfId="0" applyFont="1" applyFill="1" applyBorder="1" applyAlignment="1" applyProtection="1">
      <alignment horizontal="center" vertical="center"/>
      <protection locked="0"/>
    </xf>
    <xf numFmtId="0" fontId="14" fillId="15" borderId="1" xfId="0" applyFont="1" applyFill="1" applyBorder="1" applyAlignment="1" applyProtection="1">
      <alignment horizontal="center" vertical="center"/>
      <protection locked="0"/>
    </xf>
    <xf numFmtId="0" fontId="14" fillId="15" borderId="10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46" fillId="0" borderId="0" xfId="0" quotePrefix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14" fillId="0" borderId="25" xfId="0" applyFont="1" applyBorder="1" applyProtection="1">
      <protection locked="0"/>
    </xf>
    <xf numFmtId="0" fontId="14" fillId="0" borderId="26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14" fillId="14" borderId="78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9" fillId="0" borderId="0" xfId="0" quotePrefix="1" applyFont="1" applyFill="1" applyBorder="1" applyAlignment="1" applyProtection="1">
      <alignment horizontal="center"/>
      <protection locked="0"/>
    </xf>
    <xf numFmtId="0" fontId="7" fillId="10" borderId="1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7" fillId="10" borderId="21" xfId="0" applyFont="1" applyFill="1" applyBorder="1" applyAlignment="1" applyProtection="1">
      <alignment horizontal="center" vertical="center"/>
      <protection locked="0"/>
    </xf>
    <xf numFmtId="0" fontId="46" fillId="0" borderId="0" xfId="0" quotePrefix="1" applyFont="1" applyFill="1" applyProtection="1"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54" fillId="0" borderId="0" xfId="0" quotePrefix="1" applyFont="1" applyProtection="1"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quotePrefix="1" applyFont="1" applyAlignment="1" applyProtection="1">
      <alignment horizontal="center" vertical="center"/>
      <protection locked="0"/>
    </xf>
    <xf numFmtId="0" fontId="32" fillId="0" borderId="7" xfId="0" quotePrefix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Protection="1">
      <protection locked="0"/>
    </xf>
    <xf numFmtId="0" fontId="34" fillId="0" borderId="0" xfId="0" applyFont="1" applyFill="1" applyProtection="1">
      <protection locked="0"/>
    </xf>
    <xf numFmtId="0" fontId="7" fillId="29" borderId="19" xfId="0" applyFont="1" applyFill="1" applyBorder="1" applyAlignment="1" applyProtection="1">
      <alignment horizontal="center" vertical="center"/>
      <protection locked="0"/>
    </xf>
    <xf numFmtId="0" fontId="40" fillId="0" borderId="56" xfId="2" applyFont="1" applyFill="1" applyBorder="1" applyAlignment="1" applyProtection="1">
      <alignment horizontal="center" wrapText="1"/>
      <protection locked="0"/>
    </xf>
    <xf numFmtId="0" fontId="7" fillId="29" borderId="21" xfId="0" applyFont="1" applyFill="1" applyBorder="1" applyAlignment="1" applyProtection="1">
      <alignment horizontal="center" vertical="center"/>
      <protection locked="0"/>
    </xf>
    <xf numFmtId="0" fontId="7" fillId="29" borderId="21" xfId="0" quotePrefix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wrapText="1"/>
      <protection locked="0"/>
    </xf>
    <xf numFmtId="0" fontId="46" fillId="0" borderId="0" xfId="0" quotePrefix="1" applyFont="1" applyFill="1" applyAlignment="1" applyProtection="1">
      <alignment vertical="center"/>
      <protection locked="0"/>
    </xf>
    <xf numFmtId="0" fontId="14" fillId="0" borderId="0" xfId="0" quotePrefix="1" applyNumberFormat="1" applyFont="1" applyAlignment="1" applyProtection="1">
      <alignment wrapText="1"/>
      <protection locked="0"/>
    </xf>
    <xf numFmtId="0" fontId="27" fillId="0" borderId="0" xfId="0" quotePrefix="1" applyFont="1" applyProtection="1">
      <protection locked="0"/>
    </xf>
    <xf numFmtId="0" fontId="7" fillId="15" borderId="19" xfId="0" applyFont="1" applyFill="1" applyBorder="1" applyAlignment="1" applyProtection="1">
      <alignment horizontal="center" vertical="center"/>
      <protection locked="0"/>
    </xf>
    <xf numFmtId="0" fontId="7" fillId="15" borderId="21" xfId="0" quotePrefix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15" borderId="21" xfId="0" applyFont="1" applyFill="1" applyBorder="1" applyAlignment="1" applyProtection="1">
      <alignment horizontal="center" vertical="center"/>
      <protection locked="0"/>
    </xf>
    <xf numFmtId="0" fontId="7" fillId="15" borderId="19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15" borderId="11" xfId="0" quotePrefix="1" applyFont="1" applyFill="1" applyBorder="1" applyAlignment="1" applyProtection="1">
      <alignment horizontal="center" vertical="center"/>
      <protection locked="0"/>
    </xf>
    <xf numFmtId="0" fontId="51" fillId="0" borderId="0" xfId="0" applyFont="1" applyProtection="1">
      <protection locked="0"/>
    </xf>
    <xf numFmtId="0" fontId="15" fillId="17" borderId="1" xfId="0" applyFont="1" applyFill="1" applyBorder="1" applyAlignment="1" applyProtection="1">
      <alignment horizontal="center" vertical="center"/>
    </xf>
    <xf numFmtId="0" fontId="13" fillId="10" borderId="11" xfId="0" quotePrefix="1" applyNumberFormat="1" applyFont="1" applyFill="1" applyBorder="1" applyAlignment="1" applyProtection="1">
      <alignment horizontal="center" vertical="center" wrapText="1"/>
    </xf>
    <xf numFmtId="0" fontId="13" fillId="10" borderId="9" xfId="0" quotePrefix="1" applyNumberFormat="1" applyFont="1" applyFill="1" applyBorder="1" applyAlignment="1" applyProtection="1">
      <alignment horizontal="center" vertical="center"/>
    </xf>
    <xf numFmtId="0" fontId="13" fillId="10" borderId="1" xfId="0" quotePrefix="1" applyFont="1" applyFill="1" applyBorder="1" applyAlignment="1" applyProtection="1">
      <alignment horizontal="center" vertical="center"/>
    </xf>
    <xf numFmtId="0" fontId="13" fillId="10" borderId="9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13" fillId="10" borderId="9" xfId="0" quotePrefix="1" applyFont="1" applyFill="1" applyBorder="1" applyAlignment="1" applyProtection="1">
      <alignment horizontal="center" vertical="center"/>
    </xf>
    <xf numFmtId="0" fontId="13" fillId="10" borderId="10" xfId="0" quotePrefix="1" applyFont="1" applyFill="1" applyBorder="1" applyAlignment="1" applyProtection="1">
      <alignment horizontal="center" vertical="center"/>
    </xf>
    <xf numFmtId="0" fontId="13" fillId="0" borderId="10" xfId="0" quotePrefix="1" applyFont="1" applyFill="1" applyBorder="1" applyAlignment="1" applyProtection="1">
      <alignment horizontal="center" vertical="center"/>
    </xf>
    <xf numFmtId="0" fontId="13" fillId="0" borderId="10" xfId="0" quotePrefix="1" applyFont="1" applyBorder="1" applyAlignment="1" applyProtection="1">
      <alignment horizontal="center" vertical="center"/>
    </xf>
    <xf numFmtId="0" fontId="15" fillId="16" borderId="1" xfId="0" applyFont="1" applyFill="1" applyBorder="1" applyAlignment="1" applyProtection="1">
      <alignment horizontal="center" vertical="center"/>
    </xf>
    <xf numFmtId="0" fontId="13" fillId="3" borderId="1" xfId="0" quotePrefix="1" applyNumberFormat="1" applyFont="1" applyFill="1" applyBorder="1" applyAlignment="1" applyProtection="1">
      <alignment horizontal="center" vertical="center"/>
    </xf>
    <xf numFmtId="0" fontId="13" fillId="3" borderId="9" xfId="0" quotePrefix="1" applyFont="1" applyFill="1" applyBorder="1" applyAlignment="1" applyProtection="1">
      <alignment horizontal="center" vertical="center"/>
    </xf>
    <xf numFmtId="0" fontId="13" fillId="29" borderId="1" xfId="0" quotePrefix="1" applyNumberFormat="1" applyFont="1" applyFill="1" applyBorder="1" applyAlignment="1" applyProtection="1">
      <alignment horizontal="center" vertical="center"/>
    </xf>
    <xf numFmtId="0" fontId="13" fillId="29" borderId="9" xfId="0" quotePrefix="1" applyFont="1" applyFill="1" applyBorder="1" applyAlignment="1" applyProtection="1">
      <alignment horizontal="center" vertical="center"/>
    </xf>
    <xf numFmtId="0" fontId="13" fillId="29" borderId="1" xfId="0" quotePrefix="1" applyFont="1" applyFill="1" applyBorder="1" applyAlignment="1" applyProtection="1">
      <alignment horizontal="center" vertical="center"/>
    </xf>
    <xf numFmtId="0" fontId="13" fillId="15" borderId="1" xfId="0" quotePrefix="1" applyFont="1" applyFill="1" applyBorder="1" applyAlignment="1" applyProtection="1">
      <alignment horizontal="center" vertical="center"/>
    </xf>
    <xf numFmtId="0" fontId="40" fillId="0" borderId="47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0" fillId="0" borderId="56" xfId="0" applyFont="1" applyFill="1" applyBorder="1" applyAlignment="1" applyProtection="1">
      <alignment horizontal="center" wrapText="1"/>
    </xf>
    <xf numFmtId="0" fontId="40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14" fillId="27" borderId="0" xfId="0" applyFont="1" applyFill="1" applyAlignment="1" applyProtection="1">
      <alignment horizontal="center" vertical="center"/>
    </xf>
    <xf numFmtId="0" fontId="46" fillId="0" borderId="0" xfId="0" applyFont="1" applyFill="1" applyAlignment="1" applyProtection="1">
      <alignment vertical="center"/>
    </xf>
    <xf numFmtId="0" fontId="11" fillId="15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 wrapText="1"/>
    </xf>
    <xf numFmtId="0" fontId="11" fillId="13" borderId="1" xfId="0" applyFont="1" applyFill="1" applyBorder="1" applyAlignment="1" applyProtection="1">
      <alignment horizontal="center" vertical="center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40" fillId="27" borderId="5" xfId="0" quotePrefix="1" applyFont="1" applyFill="1" applyBorder="1" applyAlignment="1" applyProtection="1">
      <alignment horizontal="center" vertical="center"/>
    </xf>
    <xf numFmtId="0" fontId="40" fillId="27" borderId="6" xfId="0" quotePrefix="1" applyFont="1" applyFill="1" applyBorder="1" applyAlignment="1" applyProtection="1">
      <alignment horizontal="center" vertical="center"/>
    </xf>
    <xf numFmtId="0" fontId="40" fillId="27" borderId="61" xfId="0" quotePrefix="1" applyFont="1" applyFill="1" applyBorder="1" applyAlignment="1" applyProtection="1">
      <alignment horizontal="center" vertical="center"/>
    </xf>
    <xf numFmtId="0" fontId="40" fillId="3" borderId="2" xfId="0" quotePrefix="1" applyFont="1" applyFill="1" applyBorder="1" applyAlignment="1" applyProtection="1">
      <alignment horizontal="center" vertical="center"/>
    </xf>
    <xf numFmtId="0" fontId="40" fillId="3" borderId="3" xfId="0" quotePrefix="1" applyFont="1" applyFill="1" applyBorder="1" applyAlignment="1" applyProtection="1">
      <alignment horizontal="center" vertical="center"/>
    </xf>
    <xf numFmtId="0" fontId="40" fillId="3" borderId="58" xfId="0" quotePrefix="1" applyFont="1" applyFill="1" applyBorder="1" applyAlignment="1" applyProtection="1">
      <alignment horizontal="center" vertical="center"/>
    </xf>
    <xf numFmtId="0" fontId="14" fillId="13" borderId="0" xfId="0" applyFont="1" applyFill="1" applyAlignment="1" applyProtection="1">
      <alignment horizontal="center" vertical="center"/>
    </xf>
    <xf numFmtId="0" fontId="14" fillId="13" borderId="20" xfId="0" applyFont="1" applyFill="1" applyBorder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4" fillId="10" borderId="20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6" fillId="6" borderId="48" xfId="0" applyFont="1" applyFill="1" applyBorder="1" applyAlignment="1" applyProtection="1">
      <alignment horizontal="center" vertical="center" wrapText="1"/>
      <protection locked="0"/>
    </xf>
    <xf numFmtId="0" fontId="6" fillId="6" borderId="53" xfId="0" applyFont="1" applyFill="1" applyBorder="1" applyAlignment="1" applyProtection="1">
      <alignment horizontal="center" vertical="center" wrapText="1"/>
      <protection locked="0"/>
    </xf>
    <xf numFmtId="0" fontId="6" fillId="6" borderId="64" xfId="0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 wrapText="1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0" fontId="37" fillId="15" borderId="19" xfId="0" applyFont="1" applyFill="1" applyBorder="1" applyAlignment="1" applyProtection="1">
      <alignment horizontal="center" vertical="center"/>
      <protection locked="0"/>
    </xf>
    <xf numFmtId="0" fontId="37" fillId="15" borderId="11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32" fillId="15" borderId="5" xfId="0" quotePrefix="1" applyFont="1" applyFill="1" applyBorder="1" applyAlignment="1" applyProtection="1">
      <alignment horizontal="center" vertical="center"/>
    </xf>
    <xf numFmtId="0" fontId="32" fillId="15" borderId="6" xfId="0" quotePrefix="1" applyFont="1" applyFill="1" applyBorder="1" applyAlignment="1" applyProtection="1">
      <alignment horizontal="center" vertical="center"/>
    </xf>
    <xf numFmtId="0" fontId="32" fillId="15" borderId="61" xfId="0" quotePrefix="1" applyFont="1" applyFill="1" applyBorder="1" applyAlignment="1" applyProtection="1">
      <alignment horizontal="center" vertical="center"/>
    </xf>
    <xf numFmtId="0" fontId="40" fillId="3" borderId="81" xfId="0" quotePrefix="1" applyFont="1" applyFill="1" applyBorder="1" applyAlignment="1" applyProtection="1">
      <alignment horizontal="center" vertical="center"/>
    </xf>
    <xf numFmtId="0" fontId="32" fillId="27" borderId="5" xfId="0" quotePrefix="1" applyFont="1" applyFill="1" applyBorder="1" applyAlignment="1" applyProtection="1">
      <alignment horizontal="center" vertical="center"/>
    </xf>
    <xf numFmtId="0" fontId="32" fillId="27" borderId="6" xfId="0" quotePrefix="1" applyFont="1" applyFill="1" applyBorder="1" applyAlignment="1" applyProtection="1">
      <alignment horizontal="center" vertical="center"/>
    </xf>
    <xf numFmtId="0" fontId="32" fillId="27" borderId="61" xfId="0" quotePrefix="1" applyFont="1" applyFill="1" applyBorder="1" applyAlignment="1" applyProtection="1">
      <alignment horizontal="center" vertical="center"/>
    </xf>
    <xf numFmtId="0" fontId="32" fillId="0" borderId="5" xfId="0" quotePrefix="1" applyFont="1" applyFill="1" applyBorder="1" applyAlignment="1" applyProtection="1">
      <alignment horizontal="center" vertical="center"/>
    </xf>
    <xf numFmtId="0" fontId="32" fillId="0" borderId="6" xfId="0" quotePrefix="1" applyFont="1" applyFill="1" applyBorder="1" applyAlignment="1" applyProtection="1">
      <alignment horizontal="center" vertical="center"/>
    </xf>
    <xf numFmtId="0" fontId="32" fillId="0" borderId="61" xfId="0" quotePrefix="1" applyFont="1" applyFill="1" applyBorder="1" applyAlignment="1" applyProtection="1">
      <alignment horizontal="center" vertical="center"/>
    </xf>
    <xf numFmtId="0" fontId="39" fillId="3" borderId="8" xfId="0" applyFont="1" applyFill="1" applyBorder="1" applyAlignment="1" applyProtection="1">
      <alignment horizontal="center" vertical="center"/>
      <protection locked="0"/>
    </xf>
    <xf numFmtId="0" fontId="39" fillId="3" borderId="9" xfId="0" applyFont="1" applyFill="1" applyBorder="1" applyAlignment="1" applyProtection="1">
      <alignment horizontal="center" vertical="center"/>
      <protection locked="0"/>
    </xf>
    <xf numFmtId="0" fontId="39" fillId="3" borderId="10" xfId="0" applyFont="1" applyFill="1" applyBorder="1" applyAlignment="1" applyProtection="1">
      <alignment horizontal="center" vertical="center"/>
      <protection locked="0"/>
    </xf>
    <xf numFmtId="0" fontId="38" fillId="13" borderId="8" xfId="0" applyFont="1" applyFill="1" applyBorder="1" applyAlignment="1" applyProtection="1">
      <alignment horizontal="center" vertical="center" wrapText="1"/>
      <protection locked="0"/>
    </xf>
    <xf numFmtId="0" fontId="38" fillId="13" borderId="9" xfId="0" applyFont="1" applyFill="1" applyBorder="1" applyAlignment="1" applyProtection="1">
      <alignment horizontal="center" vertical="center" wrapText="1"/>
      <protection locked="0"/>
    </xf>
    <xf numFmtId="0" fontId="38" fillId="13" borderId="10" xfId="0" applyFont="1" applyFill="1" applyBorder="1" applyAlignment="1" applyProtection="1">
      <alignment horizontal="center" vertical="center" wrapText="1"/>
      <protection locked="0"/>
    </xf>
    <xf numFmtId="0" fontId="40" fillId="10" borderId="2" xfId="0" quotePrefix="1" applyFont="1" applyFill="1" applyBorder="1" applyAlignment="1" applyProtection="1">
      <alignment horizontal="center" vertical="center"/>
    </xf>
    <xf numFmtId="0" fontId="40" fillId="10" borderId="3" xfId="0" quotePrefix="1" applyFont="1" applyFill="1" applyBorder="1" applyAlignment="1" applyProtection="1">
      <alignment horizontal="center" vertical="center"/>
    </xf>
    <xf numFmtId="0" fontId="40" fillId="10" borderId="81" xfId="0" quotePrefix="1" applyFont="1" applyFill="1" applyBorder="1" applyAlignment="1" applyProtection="1">
      <alignment horizontal="center" vertical="center"/>
    </xf>
    <xf numFmtId="0" fontId="40" fillId="13" borderId="2" xfId="0" quotePrefix="1" applyFont="1" applyFill="1" applyBorder="1" applyAlignment="1" applyProtection="1">
      <alignment horizontal="center" vertical="center"/>
    </xf>
    <xf numFmtId="0" fontId="40" fillId="13" borderId="3" xfId="0" quotePrefix="1" applyFont="1" applyFill="1" applyBorder="1" applyAlignment="1" applyProtection="1">
      <alignment horizontal="center" vertical="center"/>
    </xf>
    <xf numFmtId="0" fontId="40" fillId="13" borderId="81" xfId="0" quotePrefix="1" applyFont="1" applyFill="1" applyBorder="1" applyAlignment="1" applyProtection="1">
      <alignment horizontal="center" vertical="center"/>
    </xf>
    <xf numFmtId="0" fontId="32" fillId="10" borderId="5" xfId="0" quotePrefix="1" applyFont="1" applyFill="1" applyBorder="1" applyAlignment="1" applyProtection="1">
      <alignment horizontal="center" vertical="center"/>
    </xf>
    <xf numFmtId="0" fontId="32" fillId="10" borderId="6" xfId="0" quotePrefix="1" applyFont="1" applyFill="1" applyBorder="1" applyAlignment="1" applyProtection="1">
      <alignment horizontal="center" vertical="center"/>
    </xf>
    <xf numFmtId="0" fontId="32" fillId="10" borderId="61" xfId="0" quotePrefix="1" applyFont="1" applyFill="1" applyBorder="1" applyAlignment="1" applyProtection="1">
      <alignment horizontal="center" vertical="center"/>
    </xf>
    <xf numFmtId="0" fontId="40" fillId="13" borderId="4" xfId="0" quotePrefix="1" applyFont="1" applyFill="1" applyBorder="1" applyAlignment="1" applyProtection="1">
      <alignment horizontal="center" vertical="center"/>
    </xf>
    <xf numFmtId="0" fontId="32" fillId="10" borderId="7" xfId="0" quotePrefix="1" applyFont="1" applyFill="1" applyBorder="1" applyAlignment="1" applyProtection="1">
      <alignment horizontal="center" vertical="center"/>
    </xf>
    <xf numFmtId="0" fontId="40" fillId="10" borderId="58" xfId="0" quotePrefix="1" applyFont="1" applyFill="1" applyBorder="1" applyAlignment="1" applyProtection="1">
      <alignment horizontal="center" vertical="center"/>
    </xf>
    <xf numFmtId="0" fontId="6" fillId="15" borderId="48" xfId="0" applyFont="1" applyFill="1" applyBorder="1" applyAlignment="1" applyProtection="1">
      <alignment horizontal="center" vertical="center" wrapText="1"/>
      <protection locked="0"/>
    </xf>
    <xf numFmtId="0" fontId="6" fillId="15" borderId="53" xfId="0" applyFont="1" applyFill="1" applyBorder="1" applyAlignment="1" applyProtection="1">
      <alignment horizontal="center" vertical="center" wrapText="1"/>
      <protection locked="0"/>
    </xf>
    <xf numFmtId="0" fontId="6" fillId="15" borderId="64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2" fillId="0" borderId="2" xfId="0" quotePrefix="1" applyFont="1" applyFill="1" applyBorder="1" applyAlignment="1" applyProtection="1">
      <alignment horizontal="center" vertical="center"/>
    </xf>
    <xf numFmtId="0" fontId="32" fillId="0" borderId="3" xfId="0" quotePrefix="1" applyFont="1" applyFill="1" applyBorder="1" applyAlignment="1" applyProtection="1">
      <alignment horizontal="center" vertical="center"/>
    </xf>
    <xf numFmtId="0" fontId="32" fillId="0" borderId="58" xfId="0" quotePrefix="1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</xf>
    <xf numFmtId="0" fontId="32" fillId="0" borderId="63" xfId="0" applyFont="1" applyFill="1" applyBorder="1" applyAlignment="1" applyProtection="1">
      <alignment horizontal="center" vertical="center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37" fillId="3" borderId="8" xfId="0" applyFont="1" applyFill="1" applyBorder="1" applyAlignment="1" applyProtection="1">
      <alignment horizontal="center" vertical="center"/>
    </xf>
    <xf numFmtId="0" fontId="37" fillId="3" borderId="1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23" fillId="17" borderId="13" xfId="0" quotePrefix="1" applyNumberFormat="1" applyFont="1" applyFill="1" applyBorder="1" applyAlignment="1" applyProtection="1">
      <alignment horizontal="center" vertical="center"/>
    </xf>
    <xf numFmtId="0" fontId="23" fillId="17" borderId="15" xfId="0" applyNumberFormat="1" applyFont="1" applyFill="1" applyBorder="1" applyAlignment="1" applyProtection="1">
      <alignment horizontal="center" vertical="center"/>
    </xf>
    <xf numFmtId="0" fontId="23" fillId="17" borderId="16" xfId="0" applyNumberFormat="1" applyFont="1" applyFill="1" applyBorder="1" applyAlignment="1" applyProtection="1">
      <alignment horizontal="center" vertical="center"/>
    </xf>
    <xf numFmtId="0" fontId="23" fillId="17" borderId="18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49" fillId="10" borderId="16" xfId="0" applyFont="1" applyFill="1" applyBorder="1" applyAlignment="1" applyProtection="1">
      <alignment horizontal="center" vertical="center"/>
    </xf>
    <xf numFmtId="0" fontId="49" fillId="10" borderId="18" xfId="0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20" borderId="0" xfId="0" applyFont="1" applyFill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 horizontal="center" vertical="center"/>
    </xf>
    <xf numFmtId="0" fontId="14" fillId="3" borderId="2" xfId="0" quotePrefix="1" applyFont="1" applyFill="1" applyBorder="1" applyAlignment="1" applyProtection="1">
      <alignment horizontal="center" vertical="center"/>
    </xf>
    <xf numFmtId="0" fontId="14" fillId="3" borderId="3" xfId="0" quotePrefix="1" applyFont="1" applyFill="1" applyBorder="1" applyAlignment="1" applyProtection="1">
      <alignment horizontal="center" vertical="center"/>
    </xf>
    <xf numFmtId="0" fontId="14" fillId="3" borderId="4" xfId="0" quotePrefix="1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27" borderId="2" xfId="0" quotePrefix="1" applyFont="1" applyFill="1" applyBorder="1" applyAlignment="1" applyProtection="1">
      <alignment horizontal="center" vertical="center"/>
    </xf>
    <xf numFmtId="0" fontId="14" fillId="27" borderId="3" xfId="0" quotePrefix="1" applyFont="1" applyFill="1" applyBorder="1" applyAlignment="1" applyProtection="1">
      <alignment horizontal="center" vertical="center"/>
    </xf>
    <xf numFmtId="0" fontId="14" fillId="27" borderId="4" xfId="0" quotePrefix="1" applyFont="1" applyFill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/>
    </xf>
    <xf numFmtId="0" fontId="32" fillId="0" borderId="61" xfId="0" applyFont="1" applyBorder="1" applyAlignment="1" applyProtection="1">
      <alignment horizontal="center" vertical="center"/>
    </xf>
    <xf numFmtId="0" fontId="14" fillId="12" borderId="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32" fillId="0" borderId="5" xfId="0" quotePrefix="1" applyFont="1" applyBorder="1" applyAlignment="1" applyProtection="1">
      <alignment horizontal="center" vertical="center"/>
    </xf>
    <xf numFmtId="0" fontId="32" fillId="0" borderId="6" xfId="0" quotePrefix="1" applyFont="1" applyBorder="1" applyAlignment="1" applyProtection="1">
      <alignment horizontal="center" vertical="center"/>
    </xf>
    <xf numFmtId="0" fontId="32" fillId="0" borderId="61" xfId="0" quotePrefix="1" applyFont="1" applyBorder="1" applyAlignment="1" applyProtection="1">
      <alignment horizontal="center" vertical="center"/>
    </xf>
    <xf numFmtId="0" fontId="14" fillId="27" borderId="5" xfId="0" quotePrefix="1" applyFont="1" applyFill="1" applyBorder="1" applyAlignment="1" applyProtection="1">
      <alignment horizontal="center" vertical="center"/>
    </xf>
    <xf numFmtId="0" fontId="14" fillId="27" borderId="6" xfId="0" quotePrefix="1" applyFont="1" applyFill="1" applyBorder="1" applyAlignment="1" applyProtection="1">
      <alignment horizontal="center" vertical="center"/>
    </xf>
    <xf numFmtId="0" fontId="14" fillId="27" borderId="7" xfId="0" quotePrefix="1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14" fillId="15" borderId="2" xfId="0" quotePrefix="1" applyFont="1" applyFill="1" applyBorder="1" applyAlignment="1" applyProtection="1">
      <alignment horizontal="center" vertical="center"/>
    </xf>
    <xf numFmtId="0" fontId="14" fillId="15" borderId="3" xfId="0" quotePrefix="1" applyFont="1" applyFill="1" applyBorder="1" applyAlignment="1" applyProtection="1">
      <alignment horizontal="center" vertical="center"/>
    </xf>
    <xf numFmtId="0" fontId="14" fillId="15" borderId="4" xfId="0" quotePrefix="1" applyFont="1" applyFill="1" applyBorder="1" applyAlignment="1" applyProtection="1">
      <alignment horizontal="center" vertical="center"/>
    </xf>
    <xf numFmtId="0" fontId="14" fillId="15" borderId="5" xfId="0" quotePrefix="1" applyFont="1" applyFill="1" applyBorder="1" applyAlignment="1" applyProtection="1">
      <alignment horizontal="center" vertical="center"/>
    </xf>
    <xf numFmtId="0" fontId="14" fillId="15" borderId="6" xfId="0" quotePrefix="1" applyFont="1" applyFill="1" applyBorder="1" applyAlignment="1" applyProtection="1">
      <alignment horizontal="center" vertical="center"/>
    </xf>
    <xf numFmtId="0" fontId="14" fillId="15" borderId="7" xfId="0" quotePrefix="1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58" xfId="0" applyFont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14" fillId="30" borderId="0" xfId="0" applyFont="1" applyFill="1" applyAlignment="1" applyProtection="1">
      <alignment horizontal="center" vertical="center"/>
    </xf>
    <xf numFmtId="0" fontId="14" fillId="30" borderId="20" xfId="0" applyFont="1" applyFill="1" applyBorder="1" applyAlignment="1" applyProtection="1">
      <alignment horizontal="center" vertical="center"/>
    </xf>
    <xf numFmtId="0" fontId="14" fillId="15" borderId="0" xfId="0" applyFont="1" applyFill="1" applyAlignment="1" applyProtection="1">
      <alignment horizontal="center" vertical="center"/>
    </xf>
    <xf numFmtId="0" fontId="14" fillId="15" borderId="20" xfId="0" applyFont="1" applyFill="1" applyBorder="1" applyAlignment="1" applyProtection="1">
      <alignment horizontal="center" vertical="center"/>
    </xf>
    <xf numFmtId="0" fontId="14" fillId="27" borderId="0" xfId="0" applyFont="1" applyFill="1" applyAlignment="1" applyProtection="1">
      <alignment horizontal="center" vertical="center"/>
    </xf>
    <xf numFmtId="0" fontId="14" fillId="27" borderId="20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 wrapText="1"/>
    </xf>
    <xf numFmtId="0" fontId="40" fillId="10" borderId="0" xfId="0" applyFont="1" applyFill="1" applyBorder="1" applyAlignment="1" applyProtection="1">
      <alignment horizontal="center" vertical="center" wrapText="1"/>
    </xf>
    <xf numFmtId="0" fontId="22" fillId="15" borderId="8" xfId="0" applyFont="1" applyFill="1" applyBorder="1" applyAlignment="1" applyProtection="1">
      <alignment horizontal="center" vertical="center"/>
      <protection locked="0"/>
    </xf>
    <xf numFmtId="0" fontId="22" fillId="15" borderId="9" xfId="0" applyFont="1" applyFill="1" applyBorder="1" applyAlignment="1" applyProtection="1">
      <alignment horizontal="center" vertical="center"/>
      <protection locked="0"/>
    </xf>
    <xf numFmtId="0" fontId="22" fillId="15" borderId="10" xfId="0" applyFont="1" applyFill="1" applyBorder="1" applyAlignment="1" applyProtection="1">
      <alignment horizontal="center" vertical="center"/>
      <protection locked="0"/>
    </xf>
    <xf numFmtId="0" fontId="32" fillId="0" borderId="2" xfId="0" quotePrefix="1" applyFont="1" applyBorder="1" applyAlignment="1" applyProtection="1">
      <alignment horizontal="center" vertical="center"/>
    </xf>
    <xf numFmtId="0" fontId="32" fillId="0" borderId="3" xfId="0" quotePrefix="1" applyFont="1" applyBorder="1" applyAlignment="1" applyProtection="1">
      <alignment horizontal="center" vertical="center"/>
    </xf>
    <xf numFmtId="0" fontId="32" fillId="0" borderId="58" xfId="0" quotePrefix="1" applyFont="1" applyBorder="1" applyAlignment="1" applyProtection="1">
      <alignment horizontal="center" vertical="center"/>
    </xf>
    <xf numFmtId="0" fontId="14" fillId="3" borderId="5" xfId="0" quotePrefix="1" applyFont="1" applyFill="1" applyBorder="1" applyAlignment="1" applyProtection="1">
      <alignment horizontal="center" vertical="center"/>
    </xf>
    <xf numFmtId="0" fontId="14" fillId="3" borderId="6" xfId="0" quotePrefix="1" applyFont="1" applyFill="1" applyBorder="1" applyAlignment="1" applyProtection="1">
      <alignment horizontal="center" vertical="center"/>
    </xf>
    <xf numFmtId="0" fontId="14" fillId="3" borderId="7" xfId="0" quotePrefix="1" applyFont="1" applyFill="1" applyBorder="1" applyAlignment="1" applyProtection="1">
      <alignment horizontal="center" vertical="center"/>
    </xf>
    <xf numFmtId="0" fontId="8" fillId="0" borderId="32" xfId="0" quotePrefix="1" applyNumberFormat="1" applyFont="1" applyFill="1" applyBorder="1" applyAlignment="1" applyProtection="1">
      <alignment horizontal="center" vertical="center"/>
    </xf>
    <xf numFmtId="0" fontId="8" fillId="0" borderId="38" xfId="0" quotePrefix="1" applyNumberFormat="1" applyFont="1" applyFill="1" applyBorder="1" applyAlignment="1" applyProtection="1">
      <alignment horizontal="center" vertical="center"/>
    </xf>
    <xf numFmtId="0" fontId="8" fillId="0" borderId="40" xfId="0" quotePrefix="1" applyNumberFormat="1" applyFont="1" applyFill="1" applyBorder="1" applyAlignment="1" applyProtection="1">
      <alignment horizontal="center" vertical="center"/>
    </xf>
    <xf numFmtId="0" fontId="8" fillId="0" borderId="24" xfId="0" quotePrefix="1" applyNumberFormat="1" applyFont="1" applyFill="1" applyBorder="1" applyAlignment="1" applyProtection="1">
      <alignment horizontal="center" vertical="center"/>
    </xf>
    <xf numFmtId="0" fontId="8" fillId="0" borderId="41" xfId="0" quotePrefix="1" applyNumberFormat="1" applyFont="1" applyFill="1" applyBorder="1" applyAlignment="1" applyProtection="1">
      <alignment horizontal="center" vertical="center"/>
    </xf>
    <xf numFmtId="0" fontId="8" fillId="0" borderId="35" xfId="0" quotePrefix="1" applyNumberFormat="1" applyFont="1" applyFill="1" applyBorder="1" applyAlignment="1" applyProtection="1">
      <alignment horizontal="center" vertical="center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45" fillId="21" borderId="2" xfId="0" applyFont="1" applyFill="1" applyBorder="1" applyAlignment="1" applyProtection="1">
      <alignment horizontal="center" vertical="center"/>
      <protection locked="0"/>
    </xf>
    <xf numFmtId="0" fontId="45" fillId="21" borderId="3" xfId="0" applyFont="1" applyFill="1" applyBorder="1" applyAlignment="1" applyProtection="1">
      <alignment horizontal="center" vertical="center"/>
      <protection locked="0"/>
    </xf>
    <xf numFmtId="0" fontId="45" fillId="21" borderId="58" xfId="0" applyFont="1" applyFill="1" applyBorder="1" applyAlignment="1" applyProtection="1">
      <alignment horizontal="center" vertical="center"/>
      <protection locked="0"/>
    </xf>
    <xf numFmtId="0" fontId="32" fillId="24" borderId="5" xfId="0" quotePrefix="1" applyFont="1" applyFill="1" applyBorder="1" applyAlignment="1" applyProtection="1">
      <alignment horizontal="center" vertical="center"/>
    </xf>
    <xf numFmtId="0" fontId="32" fillId="24" borderId="6" xfId="0" quotePrefix="1" applyFont="1" applyFill="1" applyBorder="1" applyAlignment="1" applyProtection="1">
      <alignment horizontal="center" vertical="center"/>
    </xf>
    <xf numFmtId="0" fontId="32" fillId="24" borderId="61" xfId="0" quotePrefix="1" applyFont="1" applyFill="1" applyBorder="1" applyAlignment="1" applyProtection="1">
      <alignment horizontal="center" vertical="center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2" fillId="24" borderId="2" xfId="0" quotePrefix="1" applyFont="1" applyFill="1" applyBorder="1" applyAlignment="1" applyProtection="1">
      <alignment horizontal="center" vertical="center"/>
    </xf>
    <xf numFmtId="0" fontId="32" fillId="24" borderId="3" xfId="0" quotePrefix="1" applyFont="1" applyFill="1" applyBorder="1" applyAlignment="1" applyProtection="1">
      <alignment horizontal="center" vertical="center"/>
    </xf>
    <xf numFmtId="0" fontId="32" fillId="24" borderId="58" xfId="0" quotePrefix="1" applyFont="1" applyFill="1" applyBorder="1" applyAlignment="1" applyProtection="1">
      <alignment horizontal="center" vertical="center"/>
    </xf>
    <xf numFmtId="0" fontId="14" fillId="24" borderId="8" xfId="0" applyFont="1" applyFill="1" applyBorder="1" applyAlignment="1" applyProtection="1">
      <alignment horizontal="center" vertical="center"/>
      <protection locked="0"/>
    </xf>
    <xf numFmtId="0" fontId="14" fillId="24" borderId="9" xfId="0" applyFont="1" applyFill="1" applyBorder="1" applyAlignment="1" applyProtection="1">
      <alignment horizontal="center" vertical="center"/>
      <protection locked="0"/>
    </xf>
    <xf numFmtId="0" fontId="14" fillId="24" borderId="10" xfId="0" applyFont="1" applyFill="1" applyBorder="1" applyAlignment="1" applyProtection="1">
      <alignment horizontal="center" vertical="center"/>
      <protection locked="0"/>
    </xf>
    <xf numFmtId="0" fontId="38" fillId="15" borderId="0" xfId="0" applyFont="1" applyFill="1" applyAlignment="1" applyProtection="1">
      <alignment horizontal="center" vertical="center"/>
      <protection locked="0"/>
    </xf>
    <xf numFmtId="0" fontId="45" fillId="21" borderId="5" xfId="0" applyFont="1" applyFill="1" applyBorder="1" applyAlignment="1" applyProtection="1">
      <alignment horizontal="center" vertical="center"/>
      <protection locked="0"/>
    </xf>
    <xf numFmtId="0" fontId="45" fillId="21" borderId="6" xfId="0" applyFont="1" applyFill="1" applyBorder="1" applyAlignment="1" applyProtection="1">
      <alignment horizontal="center" vertical="center"/>
      <protection locked="0"/>
    </xf>
    <xf numFmtId="0" fontId="45" fillId="21" borderId="61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 applyProtection="1">
      <alignment horizontal="center" vertical="center"/>
      <protection locked="0"/>
    </xf>
    <xf numFmtId="0" fontId="53" fillId="15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8" fillId="0" borderId="22" xfId="0" quotePrefix="1" applyNumberFormat="1" applyFont="1" applyFill="1" applyBorder="1" applyAlignment="1" applyProtection="1">
      <alignment horizontal="center" vertical="center"/>
    </xf>
    <xf numFmtId="0" fontId="8" fillId="0" borderId="39" xfId="0" quotePrefix="1" applyNumberFormat="1" applyFont="1" applyFill="1" applyBorder="1" applyAlignment="1" applyProtection="1">
      <alignment horizontal="center" vertical="center"/>
    </xf>
    <xf numFmtId="0" fontId="8" fillId="0" borderId="23" xfId="0" quotePrefix="1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39" fillId="15" borderId="8" xfId="0" applyFont="1" applyFill="1" applyBorder="1" applyAlignment="1" applyProtection="1">
      <alignment horizontal="center" vertical="center"/>
      <protection locked="0"/>
    </xf>
    <xf numFmtId="0" fontId="39" fillId="15" borderId="9" xfId="0" applyFont="1" applyFill="1" applyBorder="1" applyAlignment="1" applyProtection="1">
      <alignment horizontal="center" vertical="center"/>
      <protection locked="0"/>
    </xf>
    <xf numFmtId="0" fontId="39" fillId="15" borderId="10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39" fillId="10" borderId="8" xfId="0" applyFont="1" applyFill="1" applyBorder="1" applyAlignment="1" applyProtection="1">
      <alignment horizontal="center" vertical="center"/>
      <protection locked="0"/>
    </xf>
    <xf numFmtId="0" fontId="39" fillId="10" borderId="9" xfId="0" applyFont="1" applyFill="1" applyBorder="1" applyAlignment="1" applyProtection="1">
      <alignment horizontal="center" vertical="center"/>
      <protection locked="0"/>
    </xf>
    <xf numFmtId="0" fontId="39" fillId="10" borderId="10" xfId="0" applyFont="1" applyFill="1" applyBorder="1" applyAlignment="1" applyProtection="1">
      <alignment horizontal="center" vertical="center"/>
      <protection locked="0"/>
    </xf>
    <xf numFmtId="0" fontId="39" fillId="13" borderId="8" xfId="0" applyFont="1" applyFill="1" applyBorder="1" applyAlignment="1" applyProtection="1">
      <alignment horizontal="center" vertical="center"/>
      <protection locked="0"/>
    </xf>
    <xf numFmtId="0" fontId="39" fillId="13" borderId="9" xfId="0" applyFont="1" applyFill="1" applyBorder="1" applyAlignment="1" applyProtection="1">
      <alignment horizontal="center" vertical="center"/>
      <protection locked="0"/>
    </xf>
    <xf numFmtId="0" fontId="39" fillId="13" borderId="1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32" fillId="10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15" borderId="8" xfId="0" applyFont="1" applyFill="1" applyBorder="1" applyAlignment="1" applyProtection="1">
      <alignment horizontal="center" vertical="center"/>
      <protection locked="0"/>
    </xf>
    <xf numFmtId="0" fontId="12" fillId="15" borderId="9" xfId="0" applyFont="1" applyFill="1" applyBorder="1" applyAlignment="1" applyProtection="1">
      <alignment horizontal="center" vertical="center"/>
      <protection locked="0"/>
    </xf>
    <xf numFmtId="0" fontId="12" fillId="15" borderId="10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26" fillId="10" borderId="8" xfId="0" applyFont="1" applyFill="1" applyBorder="1" applyAlignment="1" applyProtection="1">
      <alignment horizontal="center" vertical="center"/>
      <protection locked="0"/>
    </xf>
    <xf numFmtId="0" fontId="26" fillId="10" borderId="9" xfId="0" applyFont="1" applyFill="1" applyBorder="1" applyAlignment="1" applyProtection="1">
      <alignment horizontal="center" vertical="center"/>
      <protection locked="0"/>
    </xf>
    <xf numFmtId="0" fontId="26" fillId="10" borderId="10" xfId="0" applyFont="1" applyFill="1" applyBorder="1" applyAlignment="1" applyProtection="1">
      <alignment horizontal="center" vertical="center"/>
      <protection locked="0"/>
    </xf>
    <xf numFmtId="0" fontId="26" fillId="15" borderId="8" xfId="0" applyFont="1" applyFill="1" applyBorder="1" applyAlignment="1" applyProtection="1">
      <alignment horizontal="left" vertical="center"/>
      <protection locked="0"/>
    </xf>
    <xf numFmtId="0" fontId="26" fillId="15" borderId="9" xfId="0" applyFont="1" applyFill="1" applyBorder="1" applyAlignment="1" applyProtection="1">
      <alignment horizontal="left" vertical="center"/>
      <protection locked="0"/>
    </xf>
    <xf numFmtId="0" fontId="26" fillId="15" borderId="10" xfId="0" applyFont="1" applyFill="1" applyBorder="1" applyAlignment="1" applyProtection="1">
      <alignment horizontal="left" vertical="center"/>
      <protection locked="0"/>
    </xf>
    <xf numFmtId="0" fontId="38" fillId="22" borderId="2" xfId="0" applyFont="1" applyFill="1" applyBorder="1" applyAlignment="1" applyProtection="1">
      <alignment horizontal="center" vertical="center" wrapText="1"/>
      <protection locked="0"/>
    </xf>
    <xf numFmtId="0" fontId="38" fillId="22" borderId="3" xfId="0" applyFont="1" applyFill="1" applyBorder="1" applyAlignment="1" applyProtection="1">
      <alignment horizontal="center" vertical="center" wrapText="1"/>
      <protection locked="0"/>
    </xf>
    <xf numFmtId="0" fontId="38" fillId="22" borderId="4" xfId="0" applyFont="1" applyFill="1" applyBorder="1" applyAlignment="1" applyProtection="1">
      <alignment horizontal="center" vertical="center" wrapText="1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locked="0"/>
    </xf>
    <xf numFmtId="0" fontId="38" fillId="3" borderId="9" xfId="0" applyFont="1" applyFill="1" applyBorder="1" applyAlignment="1" applyProtection="1">
      <alignment horizontal="center" vertical="center" wrapText="1"/>
      <protection locked="0"/>
    </xf>
    <xf numFmtId="0" fontId="38" fillId="3" borderId="10" xfId="0" applyFont="1" applyFill="1" applyBorder="1" applyAlignment="1" applyProtection="1">
      <alignment horizontal="center" vertical="center" wrapText="1"/>
      <protection locked="0"/>
    </xf>
    <xf numFmtId="0" fontId="27" fillId="10" borderId="8" xfId="0" applyFont="1" applyFill="1" applyBorder="1" applyAlignment="1" applyProtection="1">
      <alignment horizontal="center" vertical="center"/>
      <protection locked="0"/>
    </xf>
    <xf numFmtId="0" fontId="27" fillId="10" borderId="9" xfId="0" applyFont="1" applyFill="1" applyBorder="1" applyAlignment="1" applyProtection="1">
      <alignment horizontal="center" vertical="center"/>
      <protection locked="0"/>
    </xf>
    <xf numFmtId="0" fontId="27" fillId="10" borderId="10" xfId="0" applyFont="1" applyFill="1" applyBorder="1" applyAlignment="1" applyProtection="1">
      <alignment horizontal="center" vertical="center"/>
      <protection locked="0"/>
    </xf>
    <xf numFmtId="0" fontId="12" fillId="0" borderId="8" xfId="0" quotePrefix="1" applyFont="1" applyBorder="1" applyAlignment="1" applyProtection="1">
      <alignment horizontal="center" vertical="center"/>
      <protection locked="0"/>
    </xf>
    <xf numFmtId="0" fontId="12" fillId="0" borderId="10" xfId="0" quotePrefix="1" applyFont="1" applyBorder="1" applyAlignment="1" applyProtection="1">
      <alignment horizontal="center" vertical="center"/>
      <protection locked="0"/>
    </xf>
    <xf numFmtId="0" fontId="13" fillId="0" borderId="8" xfId="0" quotePrefix="1" applyFont="1" applyBorder="1" applyAlignment="1" applyProtection="1">
      <alignment horizontal="center" vertical="center"/>
      <protection locked="0"/>
    </xf>
    <xf numFmtId="0" fontId="13" fillId="0" borderId="9" xfId="0" quotePrefix="1" applyFont="1" applyBorder="1" applyAlignment="1" applyProtection="1">
      <alignment horizontal="center" vertical="center"/>
      <protection locked="0"/>
    </xf>
    <xf numFmtId="0" fontId="13" fillId="0" borderId="10" xfId="0" quotePrefix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8" xfId="0" quotePrefix="1" applyFont="1" applyFill="1" applyBorder="1" applyAlignment="1" applyProtection="1">
      <alignment horizontal="center"/>
    </xf>
    <xf numFmtId="0" fontId="14" fillId="0" borderId="9" xfId="0" quotePrefix="1" applyFont="1" applyFill="1" applyBorder="1" applyAlignment="1" applyProtection="1">
      <alignment horizontal="center"/>
    </xf>
    <xf numFmtId="0" fontId="14" fillId="0" borderId="10" xfId="0" quotePrefix="1" applyFont="1" applyFill="1" applyBorder="1" applyAlignment="1" applyProtection="1">
      <alignment horizontal="center"/>
    </xf>
    <xf numFmtId="0" fontId="14" fillId="0" borderId="5" xfId="0" quotePrefix="1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7" xfId="0" quotePrefix="1" applyFont="1" applyFill="1" applyBorder="1" applyAlignment="1" applyProtection="1">
      <alignment horizontal="center"/>
    </xf>
    <xf numFmtId="0" fontId="14" fillId="0" borderId="32" xfId="0" quotePrefix="1" applyFont="1" applyFill="1" applyBorder="1" applyAlignment="1" applyProtection="1">
      <alignment horizontal="center"/>
    </xf>
    <xf numFmtId="0" fontId="14" fillId="0" borderId="38" xfId="0" quotePrefix="1" applyFont="1" applyFill="1" applyBorder="1" applyAlignment="1" applyProtection="1">
      <alignment horizontal="center"/>
    </xf>
    <xf numFmtId="0" fontId="14" fillId="0" borderId="40" xfId="0" quotePrefix="1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22" xfId="0" quotePrefix="1" applyFont="1" applyFill="1" applyBorder="1" applyAlignment="1" applyProtection="1">
      <alignment horizontal="center"/>
    </xf>
    <xf numFmtId="0" fontId="0" fillId="0" borderId="39" xfId="0" applyBorder="1"/>
    <xf numFmtId="0" fontId="0" fillId="0" borderId="23" xfId="0" applyBorder="1"/>
    <xf numFmtId="0" fontId="14" fillId="0" borderId="16" xfId="0" quotePrefix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4" fillId="0" borderId="2" xfId="0" quotePrefix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9" borderId="2" xfId="0" quotePrefix="1" applyFont="1" applyFill="1" applyBorder="1" applyAlignment="1" applyProtection="1">
      <alignment horizontal="center"/>
    </xf>
    <xf numFmtId="0" fontId="14" fillId="9" borderId="3" xfId="0" applyFont="1" applyFill="1" applyBorder="1" applyAlignment="1" applyProtection="1">
      <alignment horizontal="center"/>
    </xf>
    <xf numFmtId="0" fontId="14" fillId="9" borderId="4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4" fillId="10" borderId="8" xfId="0" applyFont="1" applyFill="1" applyBorder="1" applyAlignment="1" applyProtection="1">
      <alignment horizontal="center"/>
    </xf>
    <xf numFmtId="0" fontId="14" fillId="10" borderId="9" xfId="0" quotePrefix="1" applyFont="1" applyFill="1" applyBorder="1" applyAlignment="1" applyProtection="1">
      <alignment horizontal="center"/>
    </xf>
    <xf numFmtId="0" fontId="14" fillId="10" borderId="10" xfId="0" quotePrefix="1" applyFont="1" applyFill="1" applyBorder="1" applyAlignment="1" applyProtection="1">
      <alignment horizontal="center"/>
    </xf>
    <xf numFmtId="0" fontId="14" fillId="12" borderId="8" xfId="0" quotePrefix="1" applyFont="1" applyFill="1" applyBorder="1" applyAlignment="1" applyProtection="1">
      <alignment horizontal="center"/>
    </xf>
    <xf numFmtId="0" fontId="14" fillId="12" borderId="9" xfId="0" applyFont="1" applyFill="1" applyBorder="1" applyAlignment="1" applyProtection="1">
      <alignment horizontal="center"/>
    </xf>
    <xf numFmtId="0" fontId="14" fillId="12" borderId="10" xfId="0" applyFont="1" applyFill="1" applyBorder="1" applyAlignment="1" applyProtection="1">
      <alignment horizontal="center"/>
    </xf>
    <xf numFmtId="0" fontId="14" fillId="12" borderId="8" xfId="0" applyFont="1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2" xfId="0" quotePrefix="1" applyFont="1" applyFill="1" applyBorder="1" applyAlignment="1" applyProtection="1">
      <alignment horizontal="center"/>
    </xf>
    <xf numFmtId="0" fontId="14" fillId="0" borderId="3" xfId="0" quotePrefix="1" applyFont="1" applyFill="1" applyBorder="1" applyAlignment="1" applyProtection="1">
      <alignment horizontal="center"/>
    </xf>
    <xf numFmtId="0" fontId="14" fillId="0" borderId="4" xfId="0" quotePrefix="1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9" xfId="0" applyFont="1" applyFill="1" applyBorder="1" applyAlignment="1" applyProtection="1">
      <alignment horizontal="center" vertical="center"/>
    </xf>
    <xf numFmtId="0" fontId="14" fillId="9" borderId="1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/>
    </xf>
    <xf numFmtId="0" fontId="22" fillId="0" borderId="32" xfId="0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center"/>
    </xf>
    <xf numFmtId="0" fontId="22" fillId="0" borderId="40" xfId="0" applyFont="1" applyBorder="1" applyAlignment="1" applyProtection="1">
      <alignment horizontal="center"/>
    </xf>
    <xf numFmtId="0" fontId="14" fillId="0" borderId="42" xfId="0" quotePrefix="1" applyNumberFormat="1" applyFont="1" applyFill="1" applyBorder="1" applyAlignment="1" applyProtection="1">
      <alignment horizontal="center" vertical="center"/>
    </xf>
    <xf numFmtId="0" fontId="14" fillId="0" borderId="43" xfId="0" quotePrefix="1" applyNumberFormat="1" applyFont="1" applyFill="1" applyBorder="1" applyAlignment="1" applyProtection="1">
      <alignment horizontal="center" vertical="center"/>
    </xf>
    <xf numFmtId="0" fontId="14" fillId="0" borderId="44" xfId="0" quotePrefix="1" applyNumberFormat="1" applyFont="1" applyFill="1" applyBorder="1" applyAlignment="1" applyProtection="1">
      <alignment horizontal="center" vertical="center"/>
    </xf>
    <xf numFmtId="0" fontId="14" fillId="9" borderId="8" xfId="0" quotePrefix="1" applyFont="1" applyFill="1" applyBorder="1" applyAlignment="1" applyProtection="1">
      <alignment horizontal="center"/>
    </xf>
    <xf numFmtId="0" fontId="14" fillId="9" borderId="9" xfId="0" quotePrefix="1" applyFont="1" applyFill="1" applyBorder="1" applyAlignment="1" applyProtection="1">
      <alignment horizontal="center"/>
    </xf>
    <xf numFmtId="0" fontId="14" fillId="9" borderId="10" xfId="0" quotePrefix="1" applyFont="1" applyFill="1" applyBorder="1" applyAlignment="1" applyProtection="1">
      <alignment horizontal="center"/>
    </xf>
    <xf numFmtId="0" fontId="17" fillId="13" borderId="8" xfId="0" applyFont="1" applyFill="1" applyBorder="1" applyAlignment="1" applyProtection="1">
      <alignment horizontal="center"/>
      <protection locked="0"/>
    </xf>
    <xf numFmtId="0" fontId="17" fillId="13" borderId="9" xfId="0" applyFont="1" applyFill="1" applyBorder="1" applyAlignment="1" applyProtection="1">
      <alignment horizontal="center"/>
      <protection locked="0"/>
    </xf>
    <xf numFmtId="0" fontId="17" fillId="13" borderId="10" xfId="0" applyFont="1" applyFill="1" applyBorder="1" applyAlignment="1" applyProtection="1">
      <alignment horizontal="center"/>
      <protection locked="0"/>
    </xf>
    <xf numFmtId="0" fontId="14" fillId="0" borderId="24" xfId="0" quotePrefix="1" applyFont="1" applyFill="1" applyBorder="1" applyAlignment="1" applyProtection="1">
      <alignment horizontal="center" vertical="center"/>
    </xf>
    <xf numFmtId="0" fontId="14" fillId="0" borderId="41" xfId="0" quotePrefix="1" applyFont="1" applyFill="1" applyBorder="1" applyAlignment="1" applyProtection="1">
      <alignment horizontal="center" vertical="center"/>
    </xf>
    <xf numFmtId="0" fontId="14" fillId="0" borderId="35" xfId="0" quotePrefix="1" applyFont="1" applyFill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/>
    </xf>
    <xf numFmtId="0" fontId="22" fillId="0" borderId="41" xfId="0" applyFont="1" applyBorder="1" applyAlignment="1" applyProtection="1">
      <alignment horizontal="center"/>
    </xf>
    <xf numFmtId="0" fontId="22" fillId="0" borderId="35" xfId="0" applyFont="1" applyBorder="1" applyAlignment="1" applyProtection="1">
      <alignment horizontal="center"/>
    </xf>
    <xf numFmtId="0" fontId="14" fillId="0" borderId="32" xfId="0" quotePrefix="1" applyFont="1" applyFill="1" applyBorder="1" applyAlignment="1" applyProtection="1">
      <alignment horizontal="center" vertical="center"/>
    </xf>
    <xf numFmtId="0" fontId="14" fillId="0" borderId="38" xfId="0" quotePrefix="1" applyFont="1" applyFill="1" applyBorder="1" applyAlignment="1" applyProtection="1">
      <alignment horizontal="center" vertical="center"/>
    </xf>
    <xf numFmtId="0" fontId="14" fillId="0" borderId="40" xfId="0" quotePrefix="1" applyFont="1" applyFill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/>
    </xf>
    <xf numFmtId="0" fontId="22" fillId="0" borderId="39" xfId="0" applyFont="1" applyBorder="1" applyAlignment="1" applyProtection="1">
      <alignment horizontal="center"/>
    </xf>
    <xf numFmtId="0" fontId="22" fillId="0" borderId="2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9" borderId="8" xfId="0" quotePrefix="1" applyFont="1" applyFill="1" applyBorder="1" applyAlignment="1" applyProtection="1">
      <alignment horizontal="center" vertical="center"/>
    </xf>
    <xf numFmtId="0" fontId="14" fillId="9" borderId="9" xfId="0" quotePrefix="1" applyFont="1" applyFill="1" applyBorder="1" applyAlignment="1" applyProtection="1">
      <alignment horizontal="center" vertical="center"/>
    </xf>
    <xf numFmtId="0" fontId="14" fillId="9" borderId="10" xfId="0" quotePrefix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2" fillId="13" borderId="8" xfId="0" applyFont="1" applyFill="1" applyBorder="1" applyAlignment="1" applyProtection="1">
      <alignment horizontal="center"/>
      <protection locked="0"/>
    </xf>
    <xf numFmtId="0" fontId="2" fillId="13" borderId="9" xfId="0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0" fontId="14" fillId="0" borderId="5" xfId="0" quotePrefix="1" applyNumberFormat="1" applyFont="1" applyFill="1" applyBorder="1" applyAlignment="1" applyProtection="1">
      <alignment horizontal="center" vertical="center"/>
    </xf>
    <xf numFmtId="0" fontId="14" fillId="0" borderId="6" xfId="0" quotePrefix="1" applyNumberFormat="1" applyFont="1" applyFill="1" applyBorder="1" applyAlignment="1" applyProtection="1">
      <alignment horizontal="center" vertical="center"/>
    </xf>
    <xf numFmtId="0" fontId="14" fillId="0" borderId="7" xfId="0" quotePrefix="1" applyNumberFormat="1" applyFont="1" applyFill="1" applyBorder="1" applyAlignment="1" applyProtection="1">
      <alignment horizontal="center" vertical="center"/>
    </xf>
    <xf numFmtId="0" fontId="14" fillId="0" borderId="8" xfId="0" quotePrefix="1" applyFont="1" applyFill="1" applyBorder="1" applyAlignment="1" applyProtection="1">
      <alignment horizontal="center" vertical="center"/>
    </xf>
    <xf numFmtId="0" fontId="14" fillId="0" borderId="9" xfId="0" quotePrefix="1" applyFont="1" applyFill="1" applyBorder="1" applyAlignment="1" applyProtection="1">
      <alignment horizontal="center" vertical="center"/>
    </xf>
    <xf numFmtId="0" fontId="14" fillId="0" borderId="10" xfId="0" quotePrefix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33" fillId="2" borderId="8" xfId="0" applyFont="1" applyFill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33" fillId="2" borderId="10" xfId="0" applyFont="1" applyFill="1" applyBorder="1" applyAlignment="1" applyProtection="1">
      <alignment horizontal="center" vertical="center"/>
    </xf>
    <xf numFmtId="0" fontId="13" fillId="13" borderId="8" xfId="0" applyFont="1" applyFill="1" applyBorder="1" applyAlignment="1" applyProtection="1">
      <alignment horizontal="center"/>
    </xf>
    <xf numFmtId="0" fontId="13" fillId="13" borderId="9" xfId="0" applyFont="1" applyFill="1" applyBorder="1" applyAlignment="1" applyProtection="1">
      <alignment horizontal="center"/>
    </xf>
    <xf numFmtId="0" fontId="13" fillId="13" borderId="10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7" fillId="15" borderId="8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0" borderId="8" xfId="0" applyFont="1" applyFill="1" applyBorder="1" applyAlignment="1" applyProtection="1">
      <alignment horizontal="center"/>
    </xf>
    <xf numFmtId="0" fontId="7" fillId="10" borderId="9" xfId="0" applyFont="1" applyFill="1" applyBorder="1" applyAlignment="1" applyProtection="1">
      <alignment horizontal="center"/>
    </xf>
    <xf numFmtId="0" fontId="7" fillId="10" borderId="10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35" fillId="18" borderId="16" xfId="0" applyFont="1" applyFill="1" applyBorder="1" applyAlignment="1" applyProtection="1">
      <alignment horizontal="center"/>
    </xf>
    <xf numFmtId="0" fontId="35" fillId="18" borderId="17" xfId="0" applyFont="1" applyFill="1" applyBorder="1" applyAlignment="1" applyProtection="1">
      <alignment horizontal="center"/>
    </xf>
    <xf numFmtId="0" fontId="35" fillId="18" borderId="18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4" fillId="0" borderId="0" xfId="0" quotePrefix="1" applyFont="1" applyAlignment="1" applyProtection="1">
      <alignment horizontal="center" wrapText="1"/>
    </xf>
    <xf numFmtId="0" fontId="14" fillId="15" borderId="6" xfId="0" quotePrefix="1" applyFont="1" applyFill="1" applyBorder="1" applyAlignment="1" applyProtection="1">
      <alignment horizontal="center"/>
    </xf>
    <xf numFmtId="0" fontId="14" fillId="15" borderId="6" xfId="0" applyFont="1" applyFill="1" applyBorder="1" applyAlignment="1" applyProtection="1">
      <alignment horizontal="center"/>
    </xf>
    <xf numFmtId="0" fontId="14" fillId="15" borderId="7" xfId="0" applyFont="1" applyFill="1" applyBorder="1" applyAlignment="1" applyProtection="1">
      <alignment horizontal="center"/>
    </xf>
    <xf numFmtId="0" fontId="14" fillId="5" borderId="8" xfId="0" quotePrefix="1" applyFont="1" applyFill="1" applyBorder="1" applyAlignment="1" applyProtection="1">
      <alignment horizontal="center"/>
    </xf>
    <xf numFmtId="0" fontId="14" fillId="5" borderId="9" xfId="0" applyFont="1" applyFill="1" applyBorder="1" applyAlignment="1" applyProtection="1">
      <alignment horizontal="center"/>
    </xf>
    <xf numFmtId="0" fontId="14" fillId="5" borderId="10" xfId="0" applyFont="1" applyFill="1" applyBorder="1" applyAlignment="1" applyProtection="1">
      <alignment horizontal="center"/>
    </xf>
    <xf numFmtId="0" fontId="25" fillId="18" borderId="14" xfId="0" quotePrefix="1" applyFont="1" applyFill="1" applyBorder="1" applyAlignment="1" applyProtection="1">
      <alignment horizontal="center"/>
    </xf>
    <xf numFmtId="0" fontId="25" fillId="18" borderId="14" xfId="0" applyFont="1" applyFill="1" applyBorder="1" applyAlignment="1" applyProtection="1">
      <alignment horizontal="center"/>
    </xf>
    <xf numFmtId="0" fontId="25" fillId="18" borderId="15" xfId="0" applyFont="1" applyFill="1" applyBorder="1" applyAlignment="1" applyProtection="1">
      <alignment horizontal="center"/>
    </xf>
    <xf numFmtId="0" fontId="14" fillId="6" borderId="5" xfId="0" quotePrefix="1" applyFont="1" applyFill="1" applyBorder="1" applyAlignment="1" applyProtection="1">
      <alignment horizontal="center" vertical="center"/>
    </xf>
    <xf numFmtId="0" fontId="14" fillId="6" borderId="6" xfId="0" quotePrefix="1" applyFont="1" applyFill="1" applyBorder="1" applyAlignment="1" applyProtection="1">
      <alignment horizontal="center" vertical="center"/>
    </xf>
    <xf numFmtId="0" fontId="14" fillId="6" borderId="7" xfId="0" quotePrefix="1" applyFont="1" applyFill="1" applyBorder="1" applyAlignment="1" applyProtection="1">
      <alignment horizontal="center" vertical="center"/>
    </xf>
    <xf numFmtId="0" fontId="25" fillId="18" borderId="8" xfId="0" quotePrefix="1" applyFont="1" applyFill="1" applyBorder="1" applyAlignment="1" applyProtection="1">
      <alignment horizontal="center"/>
    </xf>
    <xf numFmtId="0" fontId="25" fillId="18" borderId="9" xfId="0" applyFont="1" applyFill="1" applyBorder="1" applyAlignment="1" applyProtection="1">
      <alignment horizontal="center"/>
    </xf>
    <xf numFmtId="0" fontId="25" fillId="18" borderId="10" xfId="0" applyFont="1" applyFill="1" applyBorder="1" applyAlignment="1" applyProtection="1">
      <alignment horizontal="center"/>
    </xf>
    <xf numFmtId="0" fontId="14" fillId="6" borderId="2" xfId="0" quotePrefix="1" applyFont="1" applyFill="1" applyBorder="1" applyAlignment="1" applyProtection="1">
      <alignment horizontal="center"/>
    </xf>
    <xf numFmtId="0" fontId="14" fillId="6" borderId="3" xfId="0" quotePrefix="1" applyFont="1" applyFill="1" applyBorder="1" applyAlignment="1" applyProtection="1">
      <alignment horizontal="center"/>
    </xf>
    <xf numFmtId="0" fontId="14" fillId="6" borderId="4" xfId="0" quotePrefix="1" applyFont="1" applyFill="1" applyBorder="1" applyAlignment="1" applyProtection="1">
      <alignment horizontal="center"/>
    </xf>
    <xf numFmtId="0" fontId="14" fillId="15" borderId="3" xfId="0" applyFont="1" applyFill="1" applyBorder="1" applyAlignment="1" applyProtection="1">
      <alignment horizontal="center"/>
    </xf>
    <xf numFmtId="0" fontId="14" fillId="15" borderId="4" xfId="0" applyFont="1" applyFill="1" applyBorder="1" applyAlignment="1" applyProtection="1">
      <alignment horizontal="center"/>
    </xf>
    <xf numFmtId="0" fontId="14" fillId="15" borderId="2" xfId="0" quotePrefix="1" applyFont="1" applyFill="1" applyBorder="1" applyAlignment="1" applyProtection="1">
      <alignment horizontal="center"/>
    </xf>
    <xf numFmtId="0" fontId="14" fillId="5" borderId="14" xfId="0" quotePrefix="1" applyFont="1" applyFill="1" applyBorder="1" applyAlignment="1" applyProtection="1">
      <alignment horizontal="center"/>
    </xf>
    <xf numFmtId="0" fontId="14" fillId="5" borderId="14" xfId="0" applyFont="1" applyFill="1" applyBorder="1" applyAlignment="1" applyProtection="1">
      <alignment horizontal="center"/>
    </xf>
    <xf numFmtId="0" fontId="14" fillId="5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4" fillId="10" borderId="8" xfId="0" quotePrefix="1" applyFont="1" applyFill="1" applyBorder="1" applyAlignment="1" applyProtection="1">
      <alignment horizontal="center"/>
    </xf>
    <xf numFmtId="0" fontId="14" fillId="15" borderId="5" xfId="0" applyFont="1" applyFill="1" applyBorder="1" applyAlignment="1" applyProtection="1">
      <alignment horizontal="center"/>
    </xf>
    <xf numFmtId="0" fontId="14" fillId="10" borderId="8" xfId="0" quotePrefix="1" applyFont="1" applyFill="1" applyBorder="1" applyAlignment="1" applyProtection="1">
      <alignment horizontal="center" vertical="center"/>
    </xf>
    <xf numFmtId="0" fontId="14" fillId="10" borderId="9" xfId="0" quotePrefix="1" applyFont="1" applyFill="1" applyBorder="1" applyAlignment="1" applyProtection="1">
      <alignment horizontal="center" vertical="center"/>
    </xf>
    <xf numFmtId="0" fontId="14" fillId="10" borderId="10" xfId="0" quotePrefix="1" applyFont="1" applyFill="1" applyBorder="1" applyAlignment="1" applyProtection="1">
      <alignment horizontal="center" vertical="center"/>
    </xf>
    <xf numFmtId="0" fontId="14" fillId="15" borderId="5" xfId="0" quotePrefix="1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17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9" borderId="16" xfId="0" applyFont="1" applyFill="1" applyBorder="1" applyAlignment="1" applyProtection="1">
      <alignment horizontal="center"/>
    </xf>
    <xf numFmtId="0" fontId="14" fillId="19" borderId="17" xfId="0" applyFont="1" applyFill="1" applyBorder="1" applyAlignment="1" applyProtection="1">
      <alignment horizontal="center"/>
    </xf>
    <xf numFmtId="0" fontId="14" fillId="19" borderId="18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13" borderId="8" xfId="0" quotePrefix="1" applyFont="1" applyFill="1" applyBorder="1" applyAlignment="1" applyProtection="1">
      <alignment horizontal="center"/>
    </xf>
    <xf numFmtId="0" fontId="14" fillId="13" borderId="9" xfId="0" quotePrefix="1" applyFont="1" applyFill="1" applyBorder="1" applyAlignment="1" applyProtection="1">
      <alignment horizontal="center"/>
    </xf>
    <xf numFmtId="0" fontId="14" fillId="13" borderId="10" xfId="0" quotePrefix="1" applyFont="1" applyFill="1" applyBorder="1" applyAlignment="1" applyProtection="1">
      <alignment horizontal="center"/>
    </xf>
    <xf numFmtId="0" fontId="14" fillId="10" borderId="3" xfId="0" quotePrefix="1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4" xfId="0" applyFont="1" applyFill="1" applyBorder="1" applyAlignment="1" applyProtection="1">
      <alignment horizontal="center"/>
    </xf>
    <xf numFmtId="0" fontId="14" fillId="15" borderId="3" xfId="0" quotePrefix="1" applyFont="1" applyFill="1" applyBorder="1" applyAlignment="1" applyProtection="1">
      <alignment horizontal="center"/>
    </xf>
    <xf numFmtId="0" fontId="14" fillId="13" borderId="9" xfId="0" applyFont="1" applyFill="1" applyBorder="1" applyAlignment="1" applyProtection="1">
      <alignment horizontal="center"/>
    </xf>
    <xf numFmtId="0" fontId="14" fillId="13" borderId="1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19" borderId="2" xfId="0" quotePrefix="1" applyFont="1" applyFill="1" applyBorder="1" applyAlignment="1" applyProtection="1">
      <alignment horizontal="center"/>
    </xf>
    <xf numFmtId="0" fontId="14" fillId="19" borderId="3" xfId="0" applyFont="1" applyFill="1" applyBorder="1" applyAlignment="1" applyProtection="1">
      <alignment horizontal="center"/>
    </xf>
    <xf numFmtId="0" fontId="14" fillId="19" borderId="4" xfId="0" applyFont="1" applyFill="1" applyBorder="1" applyAlignment="1" applyProtection="1">
      <alignment horizontal="center"/>
    </xf>
    <xf numFmtId="0" fontId="14" fillId="19" borderId="8" xfId="0" quotePrefix="1" applyFont="1" applyFill="1" applyBorder="1" applyAlignment="1" applyProtection="1">
      <alignment horizontal="center"/>
    </xf>
    <xf numFmtId="0" fontId="14" fillId="19" borderId="9" xfId="0" applyFont="1" applyFill="1" applyBorder="1" applyAlignment="1" applyProtection="1">
      <alignment horizontal="center"/>
    </xf>
    <xf numFmtId="0" fontId="14" fillId="19" borderId="10" xfId="0" applyFont="1" applyFill="1" applyBorder="1" applyAlignment="1" applyProtection="1">
      <alignment horizontal="center"/>
    </xf>
    <xf numFmtId="0" fontId="22" fillId="13" borderId="8" xfId="0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/>
    </xf>
    <xf numFmtId="0" fontId="22" fillId="13" borderId="10" xfId="0" applyFont="1" applyFill="1" applyBorder="1" applyAlignment="1">
      <alignment horizontal="center"/>
    </xf>
    <xf numFmtId="0" fontId="7" fillId="13" borderId="8" xfId="0" applyFont="1" applyFill="1" applyBorder="1" applyAlignment="1" applyProtection="1">
      <alignment horizontal="center"/>
    </xf>
    <xf numFmtId="0" fontId="7" fillId="13" borderId="9" xfId="0" applyFont="1" applyFill="1" applyBorder="1" applyAlignment="1" applyProtection="1">
      <alignment horizontal="center"/>
    </xf>
    <xf numFmtId="0" fontId="7" fillId="13" borderId="10" xfId="0" applyFont="1" applyFill="1" applyBorder="1" applyAlignment="1" applyProtection="1">
      <alignment horizontal="center"/>
    </xf>
    <xf numFmtId="0" fontId="34" fillId="2" borderId="8" xfId="0" applyFont="1" applyFill="1" applyBorder="1" applyAlignment="1" applyProtection="1">
      <alignment horizontal="center"/>
    </xf>
    <xf numFmtId="0" fontId="34" fillId="2" borderId="9" xfId="0" applyFont="1" applyFill="1" applyBorder="1" applyAlignment="1" applyProtection="1">
      <alignment horizontal="center"/>
    </xf>
    <xf numFmtId="0" fontId="34" fillId="2" borderId="10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</xf>
    <xf numFmtId="0" fontId="0" fillId="0" borderId="5" xfId="0" quotePrefix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6" xfId="0" quotePrefix="1" applyFill="1" applyBorder="1" applyAlignment="1" applyProtection="1">
      <alignment horizontal="center"/>
    </xf>
    <xf numFmtId="0" fontId="0" fillId="0" borderId="2" xfId="0" quotePrefix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/>
    <xf numFmtId="0" fontId="0" fillId="0" borderId="4" xfId="0" applyFill="1" applyBorder="1"/>
    <xf numFmtId="0" fontId="4" fillId="6" borderId="8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15" borderId="8" xfId="0" applyFont="1" applyFill="1" applyBorder="1" applyAlignment="1" applyProtection="1">
      <alignment horizontal="center"/>
    </xf>
    <xf numFmtId="0" fontId="4" fillId="15" borderId="9" xfId="0" applyFont="1" applyFill="1" applyBorder="1" applyAlignment="1" applyProtection="1">
      <alignment horizontal="center"/>
    </xf>
    <xf numFmtId="0" fontId="4" fillId="15" borderId="10" xfId="0" applyFont="1" applyFill="1" applyBorder="1" applyAlignment="1" applyProtection="1">
      <alignment horizontal="center"/>
    </xf>
    <xf numFmtId="0" fontId="4" fillId="10" borderId="8" xfId="0" applyFont="1" applyFill="1" applyBorder="1" applyAlignment="1" applyProtection="1">
      <alignment horizontal="center"/>
    </xf>
    <xf numFmtId="0" fontId="4" fillId="10" borderId="9" xfId="0" applyFont="1" applyFill="1" applyBorder="1" applyAlignment="1" applyProtection="1">
      <alignment horizontal="center"/>
    </xf>
    <xf numFmtId="0" fontId="4" fillId="10" borderId="10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29" fillId="0" borderId="0" xfId="0" applyFont="1" applyAlignment="1">
      <alignment vertical="center" wrapText="1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27" borderId="0" xfId="0" applyFont="1" applyFill="1" applyAlignment="1">
      <alignment horizontal="center" vertical="center"/>
    </xf>
    <xf numFmtId="0" fontId="14" fillId="27" borderId="2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40" fillId="10" borderId="0" xfId="0" applyFont="1" applyFill="1" applyBorder="1" applyAlignment="1" applyProtection="1">
      <alignment horizontal="center" vertical="center" wrapText="1"/>
      <protection locked="0"/>
    </xf>
    <xf numFmtId="0" fontId="14" fillId="30" borderId="0" xfId="0" applyFont="1" applyFill="1" applyAlignment="1">
      <alignment horizontal="center" vertical="center"/>
    </xf>
    <xf numFmtId="0" fontId="14" fillId="30" borderId="20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4" fillId="13" borderId="20" xfId="0" applyFont="1" applyFill="1" applyBorder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59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lightUp"/>
      </fill>
    </dxf>
    <dxf>
      <fill>
        <patternFill>
          <bgColor rgb="FF57D3FF"/>
        </patternFill>
      </fill>
    </dxf>
    <dxf>
      <fill>
        <patternFill patternType="lightUp"/>
      </fill>
    </dxf>
    <dxf>
      <fill>
        <patternFill>
          <bgColor rgb="FF47CFFF"/>
        </patternFill>
      </fill>
    </dxf>
    <dxf>
      <fill>
        <patternFill patternType="lightUp"/>
      </fill>
    </dxf>
    <dxf>
      <fill>
        <patternFill>
          <bgColor theme="9" tint="0.59996337778862885"/>
        </patternFill>
      </fill>
    </dxf>
    <dxf>
      <fill>
        <patternFill patternType="gray125"/>
      </fill>
    </dxf>
    <dxf>
      <fill>
        <patternFill>
          <bgColor rgb="FFFA90ED"/>
        </patternFill>
      </fill>
    </dxf>
    <dxf>
      <fill>
        <patternFill>
          <bgColor rgb="FFF7B3EA"/>
        </patternFill>
      </fill>
    </dxf>
    <dxf>
      <fill>
        <patternFill>
          <bgColor rgb="FFFFCC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solid">
          <bgColor rgb="FFFFFF00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lightHorizontal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Horizontal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66FF33"/>
      <color rgb="FFFFFF66"/>
      <color rgb="FFFF99FF"/>
      <color rgb="FF00FFCC"/>
      <color rgb="FF66FFFF"/>
      <color rgb="FFFFC7CE"/>
      <color rgb="FFFFCCFF"/>
      <color rgb="FF66FF66"/>
      <color rgb="FF57D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63501</xdr:colOff>
      <xdr:row>7</xdr:row>
      <xdr:rowOff>150811</xdr:rowOff>
    </xdr:from>
    <xdr:to>
      <xdr:col>46</xdr:col>
      <xdr:colOff>889000</xdr:colOff>
      <xdr:row>9</xdr:row>
      <xdr:rowOff>150812</xdr:rowOff>
    </xdr:to>
    <xdr:sp macro="" textlink="">
      <xdr:nvSpPr>
        <xdr:cNvPr id="2" name="Flèche vers le bas 1"/>
        <xdr:cNvSpPr/>
      </xdr:nvSpPr>
      <xdr:spPr>
        <a:xfrm rot="16200000">
          <a:off x="24018875" y="-1071563"/>
          <a:ext cx="635001" cy="75247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Projet%20Bertrand/Essais/Projet%20F&#233;d&#233;raux%20Bertrand_Alain%20-%20Cop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seignements"/>
      <sheetName val="Poule 1 et 2"/>
      <sheetName val="Poule 3 et 4"/>
      <sheetName val="Poule 5 et 6"/>
      <sheetName val="Poule 7 et 8"/>
      <sheetName val="Poule 9 et 10"/>
      <sheetName val="Poule 11 et 12"/>
      <sheetName val="Poule 13 et 14"/>
      <sheetName val="Poule 15 et 16"/>
      <sheetName val="Parties éliminatoires"/>
      <sheetName val="Feuil2"/>
    </sheetNames>
    <sheetDataSet>
      <sheetData sheetId="0">
        <row r="6">
          <cell r="E6">
            <v>0</v>
          </cell>
          <cell r="K6" t="str">
            <v>Quadrettes</v>
          </cell>
        </row>
        <row r="9">
          <cell r="E9" t="str">
            <v xml:space="preserve"> Div.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FF66"/>
  </sheetPr>
  <dimension ref="D1:H84"/>
  <sheetViews>
    <sheetView topLeftCell="D1" zoomScale="70" zoomScaleNormal="70" workbookViewId="0">
      <selection activeCell="E22" sqref="E22"/>
    </sheetView>
  </sheetViews>
  <sheetFormatPr baseColWidth="10" defaultRowHeight="15"/>
  <cols>
    <col min="1" max="1" width="8.42578125" customWidth="1"/>
    <col min="2" max="2" width="7.85546875" customWidth="1"/>
    <col min="3" max="3" width="11.28515625" customWidth="1"/>
    <col min="4" max="4" width="18.85546875" customWidth="1"/>
    <col min="5" max="6" width="21.42578125" customWidth="1"/>
    <col min="7" max="7" width="20.28515625" customWidth="1"/>
    <col min="8" max="8" width="19.85546875" customWidth="1"/>
    <col min="9" max="9" width="6.28515625" customWidth="1"/>
    <col min="10" max="10" width="6.7109375" customWidth="1"/>
    <col min="11" max="11" width="8" customWidth="1"/>
    <col min="12" max="12" width="7.28515625" customWidth="1"/>
    <col min="13" max="13" width="6.140625" customWidth="1"/>
    <col min="14" max="14" width="6.7109375" customWidth="1"/>
    <col min="15" max="15" width="6.140625" customWidth="1"/>
    <col min="16" max="16" width="6.5703125" customWidth="1"/>
    <col min="17" max="17" width="5.7109375" customWidth="1"/>
    <col min="18" max="20" width="5.85546875" customWidth="1"/>
    <col min="21" max="21" width="8.5703125" customWidth="1"/>
    <col min="22" max="22" width="5" customWidth="1"/>
    <col min="23" max="24" width="5.7109375" customWidth="1"/>
    <col min="25" max="25" width="26" customWidth="1"/>
    <col min="26" max="26" width="21.85546875" customWidth="1"/>
    <col min="27" max="27" width="13.85546875" customWidth="1"/>
    <col min="28" max="28" width="5.7109375" customWidth="1"/>
    <col min="29" max="29" width="10" customWidth="1"/>
    <col min="30" max="30" width="12.7109375" customWidth="1"/>
    <col min="31" max="32" width="7.5703125" customWidth="1"/>
    <col min="33" max="33" width="28.28515625" customWidth="1"/>
    <col min="34" max="34" width="5.7109375" customWidth="1"/>
    <col min="35" max="35" width="10.7109375" customWidth="1"/>
    <col min="36" max="38" width="5.7109375" customWidth="1"/>
    <col min="39" max="39" width="15.7109375" customWidth="1"/>
    <col min="40" max="44" width="5.7109375" customWidth="1"/>
  </cols>
  <sheetData>
    <row r="1" spans="4:8" ht="36" customHeight="1" thickBot="1">
      <c r="D1" s="353" t="s">
        <v>328</v>
      </c>
      <c r="E1" s="354" t="s">
        <v>329</v>
      </c>
      <c r="F1" s="355" t="s">
        <v>330</v>
      </c>
      <c r="G1" s="354" t="s">
        <v>331</v>
      </c>
      <c r="H1" s="356" t="s">
        <v>332</v>
      </c>
    </row>
    <row r="2" spans="4:8" ht="24.95" customHeight="1">
      <c r="D2" s="349" t="s">
        <v>329</v>
      </c>
      <c r="E2" s="349" t="s">
        <v>333</v>
      </c>
      <c r="F2" s="349" t="s">
        <v>334</v>
      </c>
      <c r="G2" s="349" t="s">
        <v>335</v>
      </c>
      <c r="H2" s="349" t="s">
        <v>336</v>
      </c>
    </row>
    <row r="3" spans="4:8" ht="24.95" customHeight="1">
      <c r="D3" s="349" t="s">
        <v>330</v>
      </c>
      <c r="E3" s="349" t="s">
        <v>337</v>
      </c>
      <c r="F3" s="349" t="s">
        <v>338</v>
      </c>
      <c r="G3" s="349" t="s">
        <v>339</v>
      </c>
      <c r="H3" s="349" t="s">
        <v>340</v>
      </c>
    </row>
    <row r="4" spans="4:8" ht="24.95" customHeight="1">
      <c r="D4" s="349" t="s">
        <v>331</v>
      </c>
      <c r="E4" s="349" t="s">
        <v>341</v>
      </c>
      <c r="F4" s="349" t="s">
        <v>342</v>
      </c>
      <c r="G4" s="349" t="s">
        <v>343</v>
      </c>
      <c r="H4" s="349" t="s">
        <v>344</v>
      </c>
    </row>
    <row r="5" spans="4:8" ht="24.95" customHeight="1">
      <c r="D5" s="349"/>
      <c r="E5" s="349" t="s">
        <v>345</v>
      </c>
      <c r="F5" s="349" t="s">
        <v>346</v>
      </c>
      <c r="G5" s="349" t="s">
        <v>347</v>
      </c>
      <c r="H5" s="349" t="s">
        <v>348</v>
      </c>
    </row>
    <row r="6" spans="4:8" ht="24.95" customHeight="1">
      <c r="D6" s="349"/>
      <c r="E6" s="349" t="s">
        <v>349</v>
      </c>
      <c r="F6" s="349" t="s">
        <v>350</v>
      </c>
      <c r="G6" s="349" t="s">
        <v>351</v>
      </c>
      <c r="H6" s="349"/>
    </row>
    <row r="7" spans="4:8" ht="24.95" customHeight="1">
      <c r="D7" s="349"/>
      <c r="E7" s="349"/>
      <c r="F7" s="349" t="s">
        <v>352</v>
      </c>
      <c r="G7" s="349" t="s">
        <v>353</v>
      </c>
      <c r="H7" s="349"/>
    </row>
    <row r="8" spans="4:8" ht="24.95" customHeight="1">
      <c r="D8" s="349"/>
      <c r="E8" s="349"/>
      <c r="F8" s="349"/>
      <c r="G8" s="349" t="s">
        <v>354</v>
      </c>
      <c r="H8" s="349"/>
    </row>
    <row r="9" spans="4:8" ht="24.95" customHeight="1">
      <c r="D9" s="349"/>
      <c r="E9" s="349"/>
      <c r="F9" s="349"/>
      <c r="G9" s="349" t="s">
        <v>355</v>
      </c>
      <c r="H9" s="349"/>
    </row>
    <row r="10" spans="4:8" ht="24.95" customHeight="1"/>
    <row r="11" spans="4:8" ht="24.95" customHeight="1"/>
    <row r="12" spans="4:8" ht="29.25" customHeight="1"/>
    <row r="13" spans="4:8" ht="24.75" customHeight="1"/>
    <row r="14" spans="4:8" ht="27.75" customHeight="1"/>
    <row r="15" spans="4:8" ht="24.95" customHeight="1"/>
    <row r="16" spans="4:8" ht="32.2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</sheetData>
  <sheetProtection formatCells="0" formatColumns="0" formatRows="0" insertColumns="0" insertRows="0" insertHyperlinks="0" deleteColumns="0" deleteRows="0" sort="0"/>
  <pageMargins left="0.19685039370078741" right="0.23622047244094491" top="0.23622047244094491" bottom="0.49" header="0.11811023622047245" footer="0.23622047244094491"/>
  <pageSetup paperSize="9" orientation="landscape" horizontalDpi="4294967292" verticalDpi="0" r:id="rId1"/>
  <headerFooter>
    <oddFooter>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rgb="FF66FF33"/>
    <pageSetUpPr fitToPage="1"/>
  </sheetPr>
  <dimension ref="A1:AR39"/>
  <sheetViews>
    <sheetView zoomScale="70" zoomScaleNormal="70" workbookViewId="0">
      <selection activeCell="W8" sqref="W8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.5703125" customWidth="1"/>
    <col min="21" max="21" width="7" hidden="1" customWidth="1"/>
    <col min="22" max="22" width="5.140625" hidden="1" customWidth="1"/>
    <col min="23" max="23" width="4.85546875" customWidth="1"/>
    <col min="24" max="24" width="6.5703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8.570312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7.140625" customWidth="1"/>
    <col min="43" max="43" width="6.28515625" hidden="1" customWidth="1"/>
    <col min="44" max="44" width="5.140625" hidden="1" customWidth="1"/>
  </cols>
  <sheetData>
    <row r="1" spans="1:44" ht="21.75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11" t="str">
        <f>Données!$D$3</f>
        <v>Féminine</v>
      </c>
      <c r="I1" s="813">
        <f>Données!$M$3</f>
        <v>0</v>
      </c>
      <c r="J1" s="813"/>
      <c r="K1" s="813"/>
      <c r="L1" s="813"/>
      <c r="M1" s="12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13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11" t="str">
        <f>Données!$D$3</f>
        <v>Féminine</v>
      </c>
      <c r="AE1" s="813">
        <f>Données!$M$3</f>
        <v>0</v>
      </c>
      <c r="AF1" s="813"/>
      <c r="AG1" s="813"/>
      <c r="AH1" s="813"/>
      <c r="AI1" s="12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10"/>
    </row>
    <row r="2" spans="1:44" ht="19.5" customHeight="1" thickBot="1">
      <c r="A2" s="3"/>
      <c r="B2" s="819" t="s">
        <v>37</v>
      </c>
      <c r="C2" s="813"/>
      <c r="D2" s="813"/>
      <c r="E2" s="23">
        <f>Données!$S$17</f>
        <v>0</v>
      </c>
      <c r="F2" s="813" t="s">
        <v>21</v>
      </c>
      <c r="G2" s="813"/>
      <c r="H2" s="9">
        <f>Données!$S$18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W2" s="3"/>
      <c r="X2" s="819" t="s">
        <v>38</v>
      </c>
      <c r="Y2" s="813"/>
      <c r="Z2" s="813"/>
      <c r="AA2" s="23">
        <f>Données!$T$17</f>
        <v>0</v>
      </c>
      <c r="AB2" s="813" t="s">
        <v>21</v>
      </c>
      <c r="AC2" s="813"/>
      <c r="AD2" s="14">
        <f>Données!$T$18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10"/>
    </row>
    <row r="3" spans="1:44" ht="15.7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/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71</v>
      </c>
      <c r="B8" s="784">
        <f>+Données!AE75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73</v>
      </c>
      <c r="I8" s="784">
        <f>+Données!AE77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75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76</v>
      </c>
      <c r="X8" s="784">
        <f>+Données!AE80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78</v>
      </c>
      <c r="AE8" s="784">
        <f>+Données!AE82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80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72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74</v>
      </c>
      <c r="I9" s="785"/>
      <c r="J9" s="778" t="str">
        <f>IF(ISNA(MATCH($H$9,Données!$AA$5:$AA$84,0)),"0ffice",INDEX(Données!$Y$5:$Y$84,MATCH($H$9,Données!$AA$5:$AA$84,0)))</f>
        <v>0ffice</v>
      </c>
      <c r="K9" s="763"/>
      <c r="L9" s="763"/>
      <c r="M9" s="764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77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79</v>
      </c>
      <c r="AE9" s="785"/>
      <c r="AF9" s="826" t="str">
        <f>IF(ISNA(MATCH($AD$9,Données!$AA$5:$AA$84,0)),"",INDEX(Données!$Y$5:$Y$84,MATCH($AD$9,Données!$AA$5:$AA$84,0)))</f>
        <v/>
      </c>
      <c r="AG9" s="827"/>
      <c r="AH9" s="827"/>
      <c r="AI9" s="828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60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>
        <v>0</v>
      </c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0ffice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93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2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826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830"/>
      <c r="AH25" s="830"/>
      <c r="AI25" s="831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str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OFFICE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str">
        <f>IF(AB3+AC3=0,"OFFICE",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)</f>
        <v>OFFICE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str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OFFICE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str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OFFICE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/>
    <row r="37" spans="1:44" ht="15.75" thickBot="1">
      <c r="M37" s="820" t="s">
        <v>85</v>
      </c>
      <c r="N37" s="821"/>
      <c r="O37" s="822"/>
    </row>
    <row r="39" spans="1:4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I1:L1"/>
    <mergeCell ref="N1:S1"/>
    <mergeCell ref="B1:D1"/>
    <mergeCell ref="E1:G1"/>
    <mergeCell ref="B2:D2"/>
    <mergeCell ref="F2:G2"/>
    <mergeCell ref="I2:K2"/>
    <mergeCell ref="L2:T2"/>
    <mergeCell ref="J28:M28"/>
    <mergeCell ref="D32:F32"/>
    <mergeCell ref="H32:N32"/>
    <mergeCell ref="B14:B15"/>
    <mergeCell ref="C14:F14"/>
    <mergeCell ref="J14:M14"/>
    <mergeCell ref="P14:P15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AF28:AI28"/>
    <mergeCell ref="D29:F29"/>
    <mergeCell ref="H29:N29"/>
    <mergeCell ref="Z29:AB29"/>
    <mergeCell ref="AD29:AJ29"/>
    <mergeCell ref="Z32:AB32"/>
    <mergeCell ref="AD32:AJ32"/>
    <mergeCell ref="D33:F33"/>
    <mergeCell ref="H33:N33"/>
    <mergeCell ref="Z33:AB33"/>
    <mergeCell ref="AD33:AJ33"/>
    <mergeCell ref="E20:E21"/>
    <mergeCell ref="F20:I20"/>
    <mergeCell ref="L20:L21"/>
    <mergeCell ref="M20:P20"/>
    <mergeCell ref="Y9:AB9"/>
    <mergeCell ref="AA20:AA21"/>
    <mergeCell ref="AB20:AE20"/>
    <mergeCell ref="AF9:AI9"/>
    <mergeCell ref="B8:B9"/>
    <mergeCell ref="C8:F8"/>
    <mergeCell ref="I8:I9"/>
    <mergeCell ref="J8:M8"/>
    <mergeCell ref="Q8:S8"/>
    <mergeCell ref="C9:F9"/>
    <mergeCell ref="J9:M9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  <mergeCell ref="H30:N30"/>
    <mergeCell ref="Z30:AB30"/>
    <mergeCell ref="AD30:AJ30"/>
    <mergeCell ref="D31:F31"/>
    <mergeCell ref="H31:N31"/>
    <mergeCell ref="Z31:AB31"/>
    <mergeCell ref="AD31:AJ31"/>
    <mergeCell ref="D30:F30"/>
  </mergeCells>
  <conditionalFormatting sqref="H32">
    <cfRule type="expression" dxfId="96" priority="254">
      <formula>$H$2=5</formula>
    </cfRule>
    <cfRule type="expression" dxfId="95" priority="255">
      <formula>$H$2=4</formula>
    </cfRule>
    <cfRule type="expression" dxfId="94" priority="256">
      <formula>$H$2=0</formula>
    </cfRule>
  </conditionalFormatting>
  <conditionalFormatting sqref="H29:N29">
    <cfRule type="expression" dxfId="93" priority="251">
      <formula>$H$2=0</formula>
    </cfRule>
    <cfRule type="expression" dxfId="92" priority="252" stopIfTrue="1">
      <formula>(OR(H2="1",H2="2",H2="3"))</formula>
    </cfRule>
  </conditionalFormatting>
  <conditionalFormatting sqref="H30:N30">
    <cfRule type="expression" dxfId="91" priority="250">
      <formula>(OR(H2="2",H2="3"))</formula>
    </cfRule>
  </conditionalFormatting>
  <conditionalFormatting sqref="H31:N31">
    <cfRule type="expression" dxfId="90" priority="249">
      <formula>(H2="3")</formula>
    </cfRule>
  </conditionalFormatting>
  <conditionalFormatting sqref="H32:N33 AD31:AJ33 AF25:AI25 C14:F15 F21:I21 M21:P21 AB21:AE21 AI21:AL21">
    <cfRule type="cellIs" dxfId="89" priority="248" operator="equal">
      <formula>0</formula>
    </cfRule>
  </conditionalFormatting>
  <conditionalFormatting sqref="AD32">
    <cfRule type="expression" dxfId="88" priority="238">
      <formula>$H$2=5</formula>
    </cfRule>
    <cfRule type="expression" dxfId="87" priority="239">
      <formula>$H$2=4</formula>
    </cfRule>
    <cfRule type="expression" dxfId="86" priority="240" stopIfTrue="1">
      <formula>$AA$2=0</formula>
    </cfRule>
  </conditionalFormatting>
  <conditionalFormatting sqref="H33 AD33">
    <cfRule type="expression" dxfId="85" priority="279">
      <formula>$AF$2=5</formula>
    </cfRule>
  </conditionalFormatting>
  <conditionalFormatting sqref="AD33">
    <cfRule type="expression" dxfId="84" priority="278" stopIfTrue="1">
      <formula>$AA$2=0</formula>
    </cfRule>
  </conditionalFormatting>
  <conditionalFormatting sqref="AD30">
    <cfRule type="expression" dxfId="83" priority="264" stopIfTrue="1">
      <formula>$AA$2=0</formula>
    </cfRule>
    <cfRule type="expression" dxfId="82" priority="265">
      <formula>$AF$2=5</formula>
    </cfRule>
    <cfRule type="expression" dxfId="81" priority="266">
      <formula>$AF$2=4</formula>
    </cfRule>
    <cfRule type="expression" dxfId="80" priority="267">
      <formula>$AF$2=3</formula>
    </cfRule>
    <cfRule type="expression" dxfId="79" priority="268">
      <formula>$AF$2=2</formula>
    </cfRule>
  </conditionalFormatting>
  <conditionalFormatting sqref="AD31:AJ31">
    <cfRule type="expression" dxfId="78" priority="260" stopIfTrue="1">
      <formula>$AA$2=0</formula>
    </cfRule>
    <cfRule type="expression" dxfId="77" priority="261">
      <formula>$AF$2=5</formula>
    </cfRule>
    <cfRule type="expression" dxfId="76" priority="262">
      <formula>$AF$2=4</formula>
    </cfRule>
    <cfRule type="expression" dxfId="75" priority="263">
      <formula>$AF$2=3</formula>
    </cfRule>
  </conditionalFormatting>
  <conditionalFormatting sqref="AD32:AJ32">
    <cfRule type="expression" dxfId="74" priority="257">
      <formula>$AF$2=5</formula>
    </cfRule>
    <cfRule type="expression" dxfId="73" priority="258">
      <formula>$AA$2=0</formula>
    </cfRule>
    <cfRule type="expression" dxfId="72" priority="259">
      <formula>$AF$2=4</formula>
    </cfRule>
  </conditionalFormatting>
  <conditionalFormatting sqref="AD29:AJ29">
    <cfRule type="expression" dxfId="71" priority="253">
      <formula>$AF$2=1</formula>
    </cfRule>
  </conditionalFormatting>
  <conditionalFormatting sqref="AD29:AJ29">
    <cfRule type="expression" dxfId="70" priority="237" stopIfTrue="1">
      <formula>(OR(AF2="1",AF2="2",AF2="3"))</formula>
    </cfRule>
  </conditionalFormatting>
  <conditionalFormatting sqref="AD30:AJ30">
    <cfRule type="expression" dxfId="69" priority="235">
      <formula>(OR(AF2="2",AF2="3"))</formula>
    </cfRule>
  </conditionalFormatting>
  <conditionalFormatting sqref="AD31:AJ31">
    <cfRule type="expression" dxfId="68" priority="234">
      <formula>(AF2="3")</formula>
    </cfRule>
  </conditionalFormatting>
  <conditionalFormatting sqref="AD29">
    <cfRule type="expression" dxfId="67" priority="318">
      <formula>$AF$2=2</formula>
    </cfRule>
    <cfRule type="expression" dxfId="66" priority="319">
      <formula>$AF$2=5</formula>
    </cfRule>
    <cfRule type="expression" dxfId="65" priority="320">
      <formula>$AF$2=4</formula>
    </cfRule>
    <cfRule type="expression" dxfId="64" priority="321">
      <formula>$AF$2=3</formula>
    </cfRule>
    <cfRule type="expression" dxfId="63" priority="322">
      <formula>$H$2=0</formula>
    </cfRule>
  </conditionalFormatting>
  <conditionalFormatting sqref="AD29:AJ33">
    <cfRule type="expression" dxfId="62" priority="236">
      <formula>$AA$2=0</formula>
    </cfRule>
  </conditionalFormatting>
  <conditionalFormatting sqref="H33 AD33">
    <cfRule type="expression" dxfId="61" priority="217">
      <formula>$AD$2=5</formula>
    </cfRule>
  </conditionalFormatting>
  <conditionalFormatting sqref="AD33">
    <cfRule type="expression" dxfId="60" priority="216">
      <formula>$AD$2=0</formula>
    </cfRule>
  </conditionalFormatting>
  <conditionalFormatting sqref="AD29">
    <cfRule type="expression" dxfId="59" priority="208">
      <formula>$AD$2=2</formula>
    </cfRule>
    <cfRule type="expression" dxfId="58" priority="209">
      <formula>$AD$2=5</formula>
    </cfRule>
    <cfRule type="expression" dxfId="57" priority="210">
      <formula>$AD$2=4</formula>
    </cfRule>
    <cfRule type="expression" dxfId="56" priority="211">
      <formula>$AD$2=3</formula>
    </cfRule>
    <cfRule type="expression" dxfId="55" priority="212">
      <formula>$H$2=0</formula>
    </cfRule>
  </conditionalFormatting>
  <conditionalFormatting sqref="AD30">
    <cfRule type="expression" dxfId="54" priority="203">
      <formula>$AD$2=0</formula>
    </cfRule>
    <cfRule type="expression" dxfId="53" priority="204">
      <formula>$AD$2=5</formula>
    </cfRule>
    <cfRule type="expression" dxfId="52" priority="205">
      <formula>$AD$2=4</formula>
    </cfRule>
    <cfRule type="expression" dxfId="51" priority="206">
      <formula>$AD$2=3</formula>
    </cfRule>
    <cfRule type="expression" dxfId="50" priority="207">
      <formula>$AD$2=2</formula>
    </cfRule>
  </conditionalFormatting>
  <conditionalFormatting sqref="AD31">
    <cfRule type="expression" dxfId="49" priority="199">
      <formula>$AD$2=0</formula>
    </cfRule>
    <cfRule type="expression" dxfId="48" priority="200">
      <formula>$AD$2=5</formula>
    </cfRule>
    <cfRule type="expression" dxfId="47" priority="201">
      <formula>$AD$2=4</formula>
    </cfRule>
    <cfRule type="expression" dxfId="46" priority="202">
      <formula>$AD$2=3</formula>
    </cfRule>
  </conditionalFormatting>
  <conditionalFormatting sqref="AD32:AJ32">
    <cfRule type="cellIs" dxfId="45" priority="195" operator="equal">
      <formula>0</formula>
    </cfRule>
    <cfRule type="expression" dxfId="44" priority="196">
      <formula>$AD$2=5</formula>
    </cfRule>
    <cfRule type="expression" dxfId="43" priority="197">
      <formula>$AD$2=0</formula>
    </cfRule>
    <cfRule type="expression" dxfId="42" priority="198">
      <formula>$AD$2=4</formula>
    </cfRule>
  </conditionalFormatting>
  <conditionalFormatting sqref="H32 AD32">
    <cfRule type="expression" dxfId="41" priority="194">
      <formula>$H$2=0</formula>
    </cfRule>
  </conditionalFormatting>
  <conditionalFormatting sqref="AD29:AJ29">
    <cfRule type="expression" dxfId="40" priority="193">
      <formula>$AD$2=1</formula>
    </cfRule>
  </conditionalFormatting>
  <conditionalFormatting sqref="H29:N29">
    <cfRule type="expression" dxfId="39" priority="191">
      <formula>$H$2=0</formula>
    </cfRule>
    <cfRule type="expression" dxfId="38" priority="192" stopIfTrue="1">
      <formula>(OR(H2="1",H2="2",H2="3"))</formula>
    </cfRule>
  </conditionalFormatting>
  <conditionalFormatting sqref="H30:N30">
    <cfRule type="expression" dxfId="37" priority="190">
      <formula>(OR(H2="2",H2="3"))</formula>
    </cfRule>
  </conditionalFormatting>
  <conditionalFormatting sqref="H31:N31">
    <cfRule type="cellIs" dxfId="36" priority="188" operator="equal">
      <formula>0</formula>
    </cfRule>
    <cfRule type="expression" dxfId="35" priority="189">
      <formula>(H2="3")</formula>
    </cfRule>
  </conditionalFormatting>
  <conditionalFormatting sqref="AD29:AJ29">
    <cfRule type="expression" dxfId="34" priority="186">
      <formula>$H$2=0</formula>
    </cfRule>
    <cfRule type="expression" dxfId="33" priority="187" stopIfTrue="1">
      <formula>(OR(AD2="1",AD2="2",AD2="3"))</formula>
    </cfRule>
  </conditionalFormatting>
  <conditionalFormatting sqref="AD30:AJ30">
    <cfRule type="expression" dxfId="32" priority="185">
      <formula>(OR(AD2="2",AD2="3"))</formula>
    </cfRule>
  </conditionalFormatting>
  <conditionalFormatting sqref="AD31">
    <cfRule type="expression" dxfId="31" priority="184">
      <formula>(AD2="3")</formula>
    </cfRule>
  </conditionalFormatting>
  <conditionalFormatting sqref="C8:F9 AF8:AF9 AG8:AI8">
    <cfRule type="expression" dxfId="30" priority="58">
      <formula>(OR($E$2=3,$E$2=4,$E$2=5))</formula>
    </cfRule>
  </conditionalFormatting>
  <pageMargins left="0.7" right="0.7" top="0.75" bottom="0.75" header="0.3" footer="0.3"/>
  <pageSetup paperSize="9" scale="81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S40"/>
  <sheetViews>
    <sheetView zoomScale="80" zoomScaleNormal="80" workbookViewId="0">
      <selection activeCell="AE40" sqref="AE40"/>
    </sheetView>
  </sheetViews>
  <sheetFormatPr baseColWidth="10" defaultRowHeight="15"/>
  <cols>
    <col min="1" max="1" width="5.5703125" style="72" customWidth="1"/>
    <col min="2" max="2" width="11.42578125" style="72"/>
    <col min="3" max="3" width="4.7109375" style="72" customWidth="1"/>
    <col min="4" max="4" width="11.42578125" style="72"/>
    <col min="5" max="5" width="7.42578125" style="72" customWidth="1"/>
    <col min="6" max="6" width="9" style="72" customWidth="1"/>
    <col min="7" max="7" width="7.140625" style="72" customWidth="1"/>
    <col min="8" max="8" width="9.85546875" style="72" customWidth="1"/>
    <col min="9" max="9" width="6.28515625" style="72" customWidth="1"/>
    <col min="10" max="10" width="11.42578125" style="72" customWidth="1"/>
    <col min="11" max="11" width="6.42578125" style="72" customWidth="1"/>
    <col min="12" max="12" width="5.42578125" style="72" customWidth="1"/>
    <col min="13" max="13" width="7.5703125" style="72" customWidth="1"/>
    <col min="14" max="14" width="11.42578125" style="72"/>
    <col min="15" max="15" width="6.42578125" style="72" customWidth="1"/>
    <col min="16" max="16" width="11.42578125" style="72"/>
    <col min="17" max="17" width="7.140625" style="72" customWidth="1"/>
    <col min="18" max="18" width="4" style="72" customWidth="1"/>
    <col min="19" max="19" width="6.28515625" style="72" customWidth="1"/>
    <col min="20" max="20" width="8.28515625" style="72" customWidth="1"/>
    <col min="21" max="21" width="4" style="72" customWidth="1"/>
    <col min="22" max="22" width="7.5703125" style="72" customWidth="1"/>
    <col min="23" max="23" width="7.42578125" style="72" customWidth="1"/>
    <col min="24" max="24" width="6.5703125" style="72" customWidth="1"/>
    <col min="25" max="25" width="6.7109375" style="72" customWidth="1"/>
    <col min="26" max="26" width="7.85546875" style="72" customWidth="1"/>
    <col min="27" max="27" width="5" style="72" customWidth="1"/>
    <col min="28" max="28" width="9" style="72" customWidth="1"/>
    <col min="29" max="29" width="7.28515625" style="72" customWidth="1"/>
    <col min="30" max="30" width="5.7109375" style="72" customWidth="1"/>
    <col min="31" max="31" width="6.5703125" style="72" customWidth="1"/>
    <col min="32" max="32" width="8.85546875" style="72" customWidth="1"/>
    <col min="33" max="33" width="6.42578125" style="72" customWidth="1"/>
    <col min="34" max="34" width="8.5703125" style="72" customWidth="1"/>
    <col min="35" max="35" width="7" style="72" customWidth="1"/>
    <col min="36" max="36" width="9.85546875" style="72" customWidth="1"/>
    <col min="37" max="37" width="8.42578125" style="72" customWidth="1"/>
    <col min="38" max="38" width="6.85546875" style="72" customWidth="1"/>
    <col min="39" max="39" width="8.5703125" style="72" customWidth="1"/>
    <col min="40" max="40" width="8.7109375" style="72" customWidth="1"/>
    <col min="41" max="41" width="6.5703125" style="72" customWidth="1"/>
    <col min="42" max="42" width="8.42578125" style="72" customWidth="1"/>
    <col min="43" max="43" width="6.7109375" style="72" customWidth="1"/>
    <col min="44" max="44" width="7" style="72" customWidth="1"/>
    <col min="45" max="16384" width="11.42578125" style="72"/>
  </cols>
  <sheetData>
    <row r="1" spans="1:45" ht="24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133"/>
      <c r="L1" s="133"/>
      <c r="M1" s="859" t="s">
        <v>58</v>
      </c>
      <c r="N1" s="832"/>
      <c r="O1" s="832"/>
      <c r="P1" s="832"/>
      <c r="Q1" s="832"/>
      <c r="R1" s="833"/>
      <c r="S1" s="859" t="s">
        <v>59</v>
      </c>
      <c r="T1" s="832"/>
      <c r="U1" s="832">
        <f>[1]Renseignements!$E$6</f>
        <v>0</v>
      </c>
      <c r="V1" s="833"/>
      <c r="W1" s="859" t="s">
        <v>60</v>
      </c>
      <c r="X1" s="832"/>
      <c r="Y1" s="832"/>
      <c r="Z1" s="832" t="str">
        <f>[1]Renseignements!$K$6</f>
        <v>Quadrettes</v>
      </c>
      <c r="AA1" s="832"/>
      <c r="AB1" s="833"/>
      <c r="AC1" s="859" t="s">
        <v>61</v>
      </c>
      <c r="AD1" s="832"/>
      <c r="AE1" s="832"/>
      <c r="AF1" s="832"/>
      <c r="AG1" s="832"/>
      <c r="AH1" s="832" t="str">
        <f>[1]Renseignements!$E$9</f>
        <v xml:space="preserve"> Div.</v>
      </c>
      <c r="AI1" s="833"/>
      <c r="AJ1" s="47"/>
    </row>
    <row r="2" spans="1:45" ht="31.5" customHeight="1" thickBot="1">
      <c r="A2" s="860" t="s">
        <v>162</v>
      </c>
      <c r="B2" s="860"/>
      <c r="C2" s="860"/>
      <c r="D2" s="860"/>
      <c r="E2" s="47"/>
      <c r="F2" s="134">
        <f>+Données!J10</f>
        <v>0</v>
      </c>
      <c r="G2" s="135" t="s">
        <v>160</v>
      </c>
      <c r="H2" s="131">
        <f>+Données!L12</f>
        <v>0</v>
      </c>
      <c r="I2" s="47"/>
      <c r="J2" s="47"/>
      <c r="K2" s="136"/>
      <c r="L2" s="136"/>
      <c r="M2" s="834" t="s">
        <v>7</v>
      </c>
      <c r="N2" s="835"/>
      <c r="O2" s="835"/>
      <c r="P2" s="835"/>
      <c r="Q2" s="835"/>
      <c r="R2" s="835"/>
      <c r="S2" s="835"/>
      <c r="T2" s="835"/>
      <c r="U2" s="835"/>
      <c r="V2" s="137"/>
      <c r="W2" s="136"/>
      <c r="X2" s="136"/>
      <c r="Y2" s="136"/>
      <c r="Z2" s="136"/>
      <c r="AA2" s="136"/>
      <c r="AB2" s="136"/>
      <c r="AC2" s="137"/>
      <c r="AD2" s="137"/>
      <c r="AE2" s="138"/>
      <c r="AF2" s="138"/>
      <c r="AG2" s="138"/>
      <c r="AH2" s="138"/>
      <c r="AI2" s="139"/>
      <c r="AJ2" s="47"/>
    </row>
    <row r="3" spans="1:45" ht="34.5" customHeight="1" thickBot="1">
      <c r="A3" s="140"/>
      <c r="B3" s="140"/>
      <c r="C3" s="140"/>
      <c r="D3" s="140"/>
      <c r="E3" s="140"/>
      <c r="F3" s="140"/>
      <c r="G3" s="141" t="s">
        <v>161</v>
      </c>
      <c r="H3" s="142">
        <f>+Données!D18</f>
        <v>0</v>
      </c>
      <c r="I3" s="47"/>
      <c r="J3" s="140"/>
      <c r="K3" s="140"/>
      <c r="L3" s="143"/>
      <c r="M3" s="836"/>
      <c r="N3" s="837"/>
      <c r="O3" s="837"/>
      <c r="P3" s="837"/>
      <c r="Q3" s="837"/>
      <c r="R3" s="837"/>
      <c r="S3" s="837"/>
      <c r="T3" s="837"/>
      <c r="U3" s="837"/>
      <c r="V3" s="838" t="s">
        <v>57</v>
      </c>
      <c r="W3" s="839"/>
      <c r="X3" s="839"/>
      <c r="Y3" s="839"/>
      <c r="Z3" s="839"/>
      <c r="AA3" s="839"/>
      <c r="AB3" s="839"/>
      <c r="AC3" s="839"/>
      <c r="AD3" s="839"/>
      <c r="AE3" s="839"/>
      <c r="AF3" s="840"/>
      <c r="AG3" s="144">
        <f>Données!$L$13</f>
        <v>0</v>
      </c>
      <c r="AH3" s="87"/>
      <c r="AI3" s="88"/>
      <c r="AJ3" s="47"/>
      <c r="AK3"/>
      <c r="AL3"/>
      <c r="AM3"/>
      <c r="AN3"/>
      <c r="AO3"/>
      <c r="AP3"/>
      <c r="AQ3"/>
      <c r="AR3"/>
      <c r="AS3"/>
    </row>
    <row r="4" spans="1:45" ht="2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Y4" s="47"/>
      <c r="Z4" s="841" t="s">
        <v>10</v>
      </c>
      <c r="AA4" s="842"/>
      <c r="AB4" s="842"/>
      <c r="AC4" s="842"/>
      <c r="AD4" s="842"/>
      <c r="AE4" s="842"/>
      <c r="AF4" s="842"/>
      <c r="AG4" s="842"/>
      <c r="AH4" s="842"/>
      <c r="AI4" s="843"/>
      <c r="AK4"/>
      <c r="AL4"/>
      <c r="AM4"/>
      <c r="AN4"/>
      <c r="AO4"/>
      <c r="AP4"/>
      <c r="AQ4"/>
      <c r="AR4"/>
      <c r="AS4"/>
    </row>
    <row r="5" spans="1:45" s="101" customFormat="1" ht="19.5" thickBot="1">
      <c r="A5" s="102"/>
      <c r="B5" s="844" t="s">
        <v>15</v>
      </c>
      <c r="C5" s="845"/>
      <c r="D5" s="846"/>
      <c r="E5" s="102"/>
      <c r="F5" s="102"/>
      <c r="G5" s="102"/>
      <c r="H5" s="844" t="s">
        <v>15</v>
      </c>
      <c r="I5" s="845"/>
      <c r="J5" s="846"/>
      <c r="K5" s="102"/>
      <c r="L5" s="102"/>
      <c r="M5" s="102"/>
      <c r="N5" s="847" t="s">
        <v>8</v>
      </c>
      <c r="O5" s="848"/>
      <c r="P5" s="849"/>
      <c r="Q5" s="102"/>
      <c r="S5" s="102"/>
      <c r="T5" s="850" t="s">
        <v>9</v>
      </c>
      <c r="U5" s="851"/>
      <c r="V5" s="852"/>
      <c r="W5" s="102"/>
      <c r="X5" s="102"/>
      <c r="Y5" s="102"/>
      <c r="Z5" s="853" t="s">
        <v>11</v>
      </c>
      <c r="AA5" s="854"/>
      <c r="AB5" s="855"/>
      <c r="AC5" s="102"/>
      <c r="AD5" s="102"/>
      <c r="AE5" s="102"/>
      <c r="AF5" s="856" t="s">
        <v>13</v>
      </c>
      <c r="AG5" s="857"/>
      <c r="AH5" s="858"/>
      <c r="AI5" s="102"/>
      <c r="AR5"/>
      <c r="AS5"/>
    </row>
    <row r="6" spans="1:45" ht="15.75" thickBot="1">
      <c r="A6" s="145" t="s">
        <v>6</v>
      </c>
      <c r="B6" s="47"/>
      <c r="C6" s="146" t="s">
        <v>16</v>
      </c>
      <c r="D6" s="47"/>
      <c r="E6" s="145" t="s">
        <v>5</v>
      </c>
      <c r="F6" s="145"/>
      <c r="G6" s="145" t="s">
        <v>6</v>
      </c>
      <c r="H6" s="47"/>
      <c r="I6" s="146" t="s">
        <v>17</v>
      </c>
      <c r="J6" s="47"/>
      <c r="K6" s="145" t="s">
        <v>5</v>
      </c>
      <c r="L6" s="145"/>
      <c r="M6" s="145" t="s">
        <v>6</v>
      </c>
      <c r="N6" s="47"/>
      <c r="O6" s="146" t="s">
        <v>16</v>
      </c>
      <c r="P6" s="47"/>
      <c r="Q6" s="145" t="s">
        <v>5</v>
      </c>
      <c r="S6" s="145" t="s">
        <v>6</v>
      </c>
      <c r="T6" s="47"/>
      <c r="U6" s="146" t="s">
        <v>16</v>
      </c>
      <c r="V6" s="47"/>
      <c r="W6" s="145" t="s">
        <v>5</v>
      </c>
      <c r="X6" s="47"/>
      <c r="Y6" s="145" t="s">
        <v>6</v>
      </c>
      <c r="Z6" s="47"/>
      <c r="AA6" s="146" t="s">
        <v>16</v>
      </c>
      <c r="AB6" s="47"/>
      <c r="AC6" s="145" t="s">
        <v>5</v>
      </c>
      <c r="AD6" s="47"/>
      <c r="AE6" s="47"/>
      <c r="AF6" s="47"/>
      <c r="AG6" s="47"/>
      <c r="AH6" s="47"/>
      <c r="AI6" s="47"/>
      <c r="AR6"/>
      <c r="AS6"/>
    </row>
    <row r="7" spans="1:45" ht="19.5" thickBot="1">
      <c r="A7" s="732"/>
      <c r="B7" s="876" t="b">
        <f>IF(H3=32,'Poule 1 et 2'!$H29)</f>
        <v>0</v>
      </c>
      <c r="C7" s="877"/>
      <c r="D7" s="878"/>
      <c r="E7" s="77">
        <v>1</v>
      </c>
      <c r="F7" s="59"/>
      <c r="G7" s="732"/>
      <c r="H7" s="876" t="b">
        <f>IF($H$3=32,'Poule 9 et 10'!$H29)</f>
        <v>0</v>
      </c>
      <c r="I7" s="877"/>
      <c r="J7" s="878"/>
      <c r="K7" s="77">
        <v>1</v>
      </c>
      <c r="L7" s="59"/>
      <c r="M7" s="732"/>
      <c r="N7" s="881" t="str">
        <f>IF(OR(H3=0,H3=0),"&amp;",IF(AND(H3&gt;16,E7=E8),"Gagnant 1/16 A",IF(AND(H3&gt;31,E7&gt;E8),B7,IF(AND(H3&gt;31,E7&lt;E8),B8))))</f>
        <v>&amp;</v>
      </c>
      <c r="O7" s="879"/>
      <c r="P7" s="880"/>
      <c r="Q7" s="67">
        <v>1</v>
      </c>
      <c r="S7" s="732"/>
      <c r="T7" s="765" t="str">
        <f>IF(OR(H3=4,H3&gt;65,H3=0,H3=0),"&amp;",IF(AND(H3&gt;15,Q7=Q8),"Gagnant 1/8 A",IF(AND(H3&gt;15,Q7&gt;Q8),N7,IF(AND(H3&gt;15,Q7&lt;Q8),N8,IF(AND(H3&lt;9,H3&gt;7),'Poule 1 et 2'!H29,0)))))</f>
        <v>&amp;</v>
      </c>
      <c r="U7" s="885"/>
      <c r="V7" s="886"/>
      <c r="W7" s="77">
        <v>1</v>
      </c>
      <c r="X7" s="250" t="str">
        <f>IF(W7=W8,"&amp;",IF(W7&gt;W8,T7,T8))</f>
        <v>&amp;</v>
      </c>
      <c r="Y7" s="732"/>
      <c r="Z7" s="882" t="str">
        <f>IF(OR(H3=0,H3=0),"&amp;",IF(AND(H3&gt;4,W7=W8),"Gagnant 1/4 A",IF(AND(H3&gt;4,W7&gt;W8),T7,IF(AND(H3&gt;4,W7&lt;W8),T8))))</f>
        <v>&amp;</v>
      </c>
      <c r="AA7" s="883"/>
      <c r="AB7" s="884"/>
      <c r="AC7" s="67">
        <v>1</v>
      </c>
      <c r="AD7" s="253" t="str">
        <f>IF(AC7=AC8,"&amp;",IF(AC7&gt;AC8,Z7,Z8))</f>
        <v>&amp;</v>
      </c>
      <c r="AE7" s="47"/>
      <c r="AG7" s="47"/>
      <c r="AH7" s="47"/>
      <c r="AI7" s="47"/>
      <c r="AK7" s="922" t="s">
        <v>14</v>
      </c>
      <c r="AL7" s="923"/>
      <c r="AM7" s="923"/>
      <c r="AN7" s="923"/>
      <c r="AO7" s="923"/>
      <c r="AP7" s="923"/>
      <c r="AQ7" s="924"/>
      <c r="AR7"/>
      <c r="AS7"/>
    </row>
    <row r="8" spans="1:45" ht="15.75" thickBot="1">
      <c r="A8" s="733"/>
      <c r="B8" s="870" t="b">
        <f>IF($H$3=32,'Poule 15 et 16'!$AD30)</f>
        <v>0</v>
      </c>
      <c r="C8" s="871"/>
      <c r="D8" s="872"/>
      <c r="E8" s="77"/>
      <c r="F8" s="59"/>
      <c r="G8" s="733"/>
      <c r="H8" s="870" t="b">
        <f>IF($H$3=32,'Poule 7 et 8'!$AD30)</f>
        <v>0</v>
      </c>
      <c r="I8" s="871"/>
      <c r="J8" s="872"/>
      <c r="K8" s="147"/>
      <c r="L8" s="59"/>
      <c r="M8" s="733"/>
      <c r="N8" s="861" t="str">
        <f>IF(OR(H3=0,H3&lt;9,H3=0),"&amp;",IF(AND(H3&gt;31,K7=K8),"Gagnant 1/16 B",IF(AND(H3&gt;31,K7&gt;K8),H7,IF(AND(H3&gt;31,K7&lt;K8),H8))))</f>
        <v>&amp;</v>
      </c>
      <c r="O8" s="862"/>
      <c r="P8" s="863"/>
      <c r="Q8" s="132">
        <v>2</v>
      </c>
      <c r="S8" s="733"/>
      <c r="T8" s="887" t="str">
        <f>IF(OR(H3=4,H3&gt;65,H3=0,H3=0),"&amp;",IF(AND(H3&gt;15,Q10=Q11),"Gagnant 1/8 B",IF(AND(H3&gt;15,Q10&gt;Q11),N10,IF(AND(H3&gt;15,Q10&lt;Q11),N11,IF(AND(H3&lt;9,H3&gt;4),'Poule 1 et 2'!AD30,'Poule 3 et 4'!AD30)))))</f>
        <v>&amp;</v>
      </c>
      <c r="U8" s="766"/>
      <c r="V8" s="767"/>
      <c r="W8" s="147">
        <v>0</v>
      </c>
      <c r="X8" s="251" t="str">
        <f>IF(W7=W8,"&amp;",IF(W7&lt;W8,T7,T8))</f>
        <v>&amp;</v>
      </c>
      <c r="Y8" s="733"/>
      <c r="Z8" s="864" t="str">
        <f>IF(OR(H3=0,H3=0),"&amp;",IF(AND(H3&gt;4,W13=W14),"Gagnant 1/4 B",IF(AND(H3&gt;4,W13&gt;W14),T13,IF(AND(H3&gt;4,W13&lt;W14),T14))))</f>
        <v>&amp;</v>
      </c>
      <c r="AA8" s="865"/>
      <c r="AB8" s="866"/>
      <c r="AC8" s="154">
        <v>0</v>
      </c>
      <c r="AD8" s="253" t="str">
        <f>IF(AC7=AC8,"&amp;",IF(AC7&lt;AC8,Z7,Z8))</f>
        <v>&amp;</v>
      </c>
      <c r="AE8" s="47"/>
      <c r="AF8" s="47"/>
      <c r="AG8" s="47"/>
      <c r="AH8" s="47"/>
      <c r="AI8" s="47"/>
      <c r="AR8"/>
      <c r="AS8"/>
    </row>
    <row r="9" spans="1:45" ht="15.75" thickBot="1">
      <c r="A9" s="54"/>
      <c r="B9" s="47"/>
      <c r="C9" s="146" t="s">
        <v>64</v>
      </c>
      <c r="D9" s="47"/>
      <c r="E9" s="148"/>
      <c r="F9" s="62"/>
      <c r="G9" s="54"/>
      <c r="H9" s="47"/>
      <c r="I9" s="146" t="s">
        <v>55</v>
      </c>
      <c r="J9" s="47"/>
      <c r="K9" s="148"/>
      <c r="L9" s="62"/>
      <c r="M9" s="54"/>
      <c r="N9" s="149"/>
      <c r="O9" s="146" t="s">
        <v>17</v>
      </c>
      <c r="P9" s="47"/>
      <c r="Q9" s="54"/>
      <c r="S9" s="54"/>
      <c r="T9" s="47"/>
      <c r="U9" s="47"/>
      <c r="V9" s="47"/>
      <c r="W9" s="54"/>
      <c r="X9" s="252"/>
      <c r="Y9" s="54"/>
      <c r="Z9" s="47"/>
      <c r="AA9" s="47"/>
      <c r="AB9" s="47"/>
      <c r="AC9" s="54"/>
      <c r="AD9" s="254"/>
      <c r="AE9" s="145" t="s">
        <v>6</v>
      </c>
      <c r="AF9" s="47"/>
      <c r="AG9" s="47"/>
      <c r="AH9" s="47"/>
      <c r="AI9" s="145" t="s">
        <v>5</v>
      </c>
      <c r="AR9"/>
      <c r="AS9"/>
    </row>
    <row r="10" spans="1:45" ht="15.75" thickBot="1">
      <c r="A10" s="732"/>
      <c r="B10" s="876" t="b">
        <f>IF($H$3=32,'Poule 1 et 2'!$AD29)</f>
        <v>0</v>
      </c>
      <c r="C10" s="877"/>
      <c r="D10" s="878"/>
      <c r="E10" s="77">
        <v>1</v>
      </c>
      <c r="F10" s="59"/>
      <c r="G10" s="732"/>
      <c r="H10" s="876" t="b">
        <f>IF($H$3=32,'Poule 9 et 10'!$AD29)</f>
        <v>0</v>
      </c>
      <c r="I10" s="877"/>
      <c r="J10" s="878"/>
      <c r="K10" s="77">
        <v>1</v>
      </c>
      <c r="L10" s="59"/>
      <c r="M10" s="732"/>
      <c r="N10" s="879" t="str">
        <f>IF(OR(H3=0,H3=0),"&amp;",IF(AND(H3&gt;31,E10=E11),"Gagnant 1/16 C",IF(AND(H3&gt;31,E10&gt;E11),B10,IF(AND(H3&gt;31,E10&lt;E11),B11))))</f>
        <v>&amp;</v>
      </c>
      <c r="O10" s="879"/>
      <c r="P10" s="880"/>
      <c r="Q10" s="67">
        <v>1</v>
      </c>
      <c r="S10" s="54"/>
      <c r="T10" s="47"/>
      <c r="U10" s="47"/>
      <c r="V10" s="47"/>
      <c r="W10" s="54"/>
      <c r="X10" s="252"/>
      <c r="Y10" s="54"/>
      <c r="Z10" s="47"/>
      <c r="AA10" s="47"/>
      <c r="AB10" s="47"/>
      <c r="AC10" s="54"/>
      <c r="AD10" s="254"/>
      <c r="AE10" s="732"/>
      <c r="AF10" s="867" t="str">
        <f>+AD7</f>
        <v>&amp;</v>
      </c>
      <c r="AG10" s="868"/>
      <c r="AH10" s="869"/>
      <c r="AI10" s="67">
        <v>1</v>
      </c>
      <c r="AJ10" s="252" t="str">
        <f>IF(AI10=AI11,"&amp;",IF(AI10&gt;AI11,AF10,AF11))</f>
        <v>&amp;</v>
      </c>
      <c r="AR10"/>
      <c r="AS10"/>
    </row>
    <row r="11" spans="1:45" ht="15.75" thickBot="1">
      <c r="A11" s="733"/>
      <c r="B11" s="870" t="b">
        <f>IF($H$3=32,'Poule 15 et 16'!$H30)</f>
        <v>0</v>
      </c>
      <c r="C11" s="871"/>
      <c r="D11" s="872"/>
      <c r="E11" s="77"/>
      <c r="F11" s="59"/>
      <c r="G11" s="733"/>
      <c r="H11" s="870" t="b">
        <f>IF($H$3=32,'Poule 7 et 8'!$H30)</f>
        <v>0</v>
      </c>
      <c r="I11" s="871"/>
      <c r="J11" s="872"/>
      <c r="K11" s="147"/>
      <c r="L11" s="59"/>
      <c r="M11" s="733"/>
      <c r="N11" s="862" t="str">
        <f>IF(OR(H3=0,H3=0),"0",IF(AND(H3&gt;31,K10=K11),"Gagnant 1/16 D",IF(AND(H3&gt;31,K10&gt;K11),H10,IF(AND(H3&gt;31,K10&lt;K11),H11))))</f>
        <v>0</v>
      </c>
      <c r="O11" s="862"/>
      <c r="P11" s="863"/>
      <c r="Q11" s="132">
        <v>2</v>
      </c>
      <c r="S11" s="54"/>
      <c r="T11" s="47"/>
      <c r="U11" s="47"/>
      <c r="V11" s="47"/>
      <c r="W11" s="54"/>
      <c r="X11" s="252"/>
      <c r="Y11" s="54"/>
      <c r="Z11" s="47"/>
      <c r="AA11" s="47"/>
      <c r="AB11" s="47"/>
      <c r="AC11" s="54"/>
      <c r="AD11" s="254"/>
      <c r="AE11" s="733"/>
      <c r="AF11" s="873" t="str">
        <f>+AD13</f>
        <v>&amp;</v>
      </c>
      <c r="AG11" s="874"/>
      <c r="AH11" s="875"/>
      <c r="AI11" s="154">
        <v>0</v>
      </c>
      <c r="AJ11" s="254" t="str">
        <f>IF(AI10=AI11,"&amp;",IF(AI10&lt;AI11,AF10,AF11))</f>
        <v>&amp;</v>
      </c>
      <c r="AR11"/>
      <c r="AS11"/>
    </row>
    <row r="12" spans="1:45" ht="15.75" thickBot="1">
      <c r="A12" s="54"/>
      <c r="B12" s="47"/>
      <c r="C12" s="146" t="s">
        <v>56</v>
      </c>
      <c r="D12" s="47"/>
      <c r="E12" s="148"/>
      <c r="F12" s="62"/>
      <c r="G12" s="54"/>
      <c r="H12" s="47"/>
      <c r="I12" s="146" t="s">
        <v>65</v>
      </c>
      <c r="J12" s="47"/>
      <c r="K12" s="148"/>
      <c r="L12" s="62"/>
      <c r="M12" s="54"/>
      <c r="N12" s="47"/>
      <c r="O12" s="146" t="s">
        <v>64</v>
      </c>
      <c r="P12" s="47"/>
      <c r="Q12" s="54"/>
      <c r="S12" s="54"/>
      <c r="T12" s="47"/>
      <c r="U12" s="146" t="s">
        <v>17</v>
      </c>
      <c r="V12" s="47"/>
      <c r="W12" s="54"/>
      <c r="X12" s="252"/>
      <c r="Y12" s="150"/>
      <c r="Z12" s="47"/>
      <c r="AA12" s="146" t="s">
        <v>17</v>
      </c>
      <c r="AB12" s="47"/>
      <c r="AC12" s="150"/>
      <c r="AD12" s="254"/>
      <c r="AE12" s="47"/>
      <c r="AF12" s="47"/>
      <c r="AG12" s="47"/>
      <c r="AH12" s="47"/>
      <c r="AI12" s="47"/>
      <c r="AJ12" s="256"/>
      <c r="AR12"/>
      <c r="AS12"/>
    </row>
    <row r="13" spans="1:45" ht="15.75" thickBot="1">
      <c r="A13" s="732"/>
      <c r="B13" s="876" t="b">
        <f>IF($H$3=32,'Poule 3 et 4'!$H29)</f>
        <v>0</v>
      </c>
      <c r="C13" s="877"/>
      <c r="D13" s="878"/>
      <c r="E13" s="77">
        <v>1</v>
      </c>
      <c r="F13" s="59"/>
      <c r="G13" s="732"/>
      <c r="H13" s="876" t="b">
        <f>IF($H$3=32,'Poule 11 et 12'!$H29)</f>
        <v>0</v>
      </c>
      <c r="I13" s="877"/>
      <c r="J13" s="878"/>
      <c r="K13" s="77">
        <v>1</v>
      </c>
      <c r="L13" s="59"/>
      <c r="M13" s="732"/>
      <c r="N13" s="879" t="str">
        <f>IF(OR(H3=0),"&amp;",IF(AND(H3&gt;31,E13=E14),"Gagnant 1/16 E",IF(AND(H3&gt;31,E13&gt;E14),B13,IF(AND(H3&gt;31,E13&lt;E14),B14))))</f>
        <v>&amp;</v>
      </c>
      <c r="O13" s="879"/>
      <c r="P13" s="880"/>
      <c r="Q13" s="67">
        <v>1</v>
      </c>
      <c r="S13" s="732"/>
      <c r="T13" s="887" t="str">
        <f>IF(OR(H3=4,H3&gt;65,H3=0,H3=0),"&amp;",IF(AND(H3&gt;15,Q13=Q14),"Gagnant 1/8 C",IF(AND(H3&gt;15,Q13&gt;Q14),N13,IF(AND(H3&gt;15,Q13&lt;Q14),N14,IF(AND(H3=7),"OFFICE",IF(AND(H3&lt;9,H3&gt;4),'Poule 1 et 2'!AD29,"OFFICE"))))))</f>
        <v>&amp;</v>
      </c>
      <c r="U13" s="766"/>
      <c r="V13" s="767"/>
      <c r="W13" s="67">
        <v>1</v>
      </c>
      <c r="X13" s="251" t="str">
        <f>IF(W13=W14,"&amp;",IF(W13&gt;W14,T13,T14))</f>
        <v>&amp;</v>
      </c>
      <c r="Y13" s="732"/>
      <c r="Z13" s="864" t="str">
        <f>IF(OR(H3=0,H3=0,H3=0),"&amp;",IF(AND(H3&gt;4,W19=W20),"Gagnant 1/4 C",IF(AND(H3&gt;4,W19&gt;W20),T19,IF(AND(H3&gt;4,W19&lt;W20),T20))))</f>
        <v>&amp;</v>
      </c>
      <c r="AA13" s="865"/>
      <c r="AB13" s="866"/>
      <c r="AC13" s="67">
        <v>1</v>
      </c>
      <c r="AD13" s="253" t="str">
        <f>IF(AC13=AC14,"&amp;",IF(AC13&gt;AC14,Z13,Z14))</f>
        <v>&amp;</v>
      </c>
      <c r="AE13" s="47"/>
      <c r="AF13" s="47"/>
      <c r="AG13" s="47"/>
      <c r="AH13" s="47"/>
      <c r="AI13" s="47"/>
      <c r="AJ13" s="256"/>
    </row>
    <row r="14" spans="1:45" ht="18" customHeight="1" thickBot="1">
      <c r="A14" s="733"/>
      <c r="B14" s="870" t="b">
        <f>IF($H$3=32,'Poule 13 et 14'!$AD30)</f>
        <v>0</v>
      </c>
      <c r="C14" s="871"/>
      <c r="D14" s="872"/>
      <c r="E14" s="147"/>
      <c r="F14" s="59"/>
      <c r="G14" s="733"/>
      <c r="H14" s="870" t="b">
        <f>IF($H$3=32,'Poule 5 et 6'!$AD30)</f>
        <v>0</v>
      </c>
      <c r="I14" s="871"/>
      <c r="J14" s="872"/>
      <c r="K14" s="147"/>
      <c r="L14" s="59"/>
      <c r="M14" s="733"/>
      <c r="N14" s="888" t="str">
        <f>IF(OR(H3=0,H3=0),"&amp;",IF(AND(H3&gt;31,K13=K14),"Gagnant 1/16 F",IF(AND(H3&gt;31,K13&gt;K14),H13,IF(AND(H3&gt;31,K13&lt;K14),H14))))</f>
        <v>&amp;</v>
      </c>
      <c r="O14" s="862"/>
      <c r="P14" s="863"/>
      <c r="Q14" s="132">
        <v>2</v>
      </c>
      <c r="S14" s="733"/>
      <c r="T14" s="889" t="str">
        <f>IF(OR(H3&lt;8,H3&gt;65,H3=0,H3=0),"&amp;",IF(AND(H3&gt;15,Q16=Q17),"Gagnant 1/8 D",IF(AND(H3&gt;15,Q16&gt;Q17),N16,IF(AND(H3&gt;15,Q16&lt;Q17),N17,IF(AND(H3=5),"OFFICE",IF(AND(H2=8,H3=6),'Poule 1 et 2'!H30,IF(AND(H3&lt;9,H3&gt;5),'Poule 3 et 4'!H30,"OFFICE")))))))</f>
        <v>&amp;</v>
      </c>
      <c r="U14" s="890"/>
      <c r="V14" s="891"/>
      <c r="W14" s="132">
        <v>0</v>
      </c>
      <c r="X14" s="251" t="str">
        <f>IF(W13=W14,"&amp;",IF(W13&lt;W14,T13,T14))</f>
        <v>&amp;</v>
      </c>
      <c r="Y14" s="733"/>
      <c r="Z14" s="864" t="str">
        <f>IF(OR(H3=0,H3=0),"&amp;",IF(AND(H3&gt;4,W25=W26),"Gagnant 1/4 D",IF(AND(H3&gt;4,W25&gt;W26),T25,IF(AND(H3&gt;4,W25&lt;W26),T26))))</f>
        <v>&amp;</v>
      </c>
      <c r="AA14" s="865"/>
      <c r="AB14" s="866"/>
      <c r="AC14" s="154">
        <v>0</v>
      </c>
      <c r="AD14" s="255" t="str">
        <f>IF(AC13=AC14,"&amp;",IF(AC13&lt;AC14,Z13,Z14))</f>
        <v>&amp;</v>
      </c>
      <c r="AE14" s="47"/>
      <c r="AF14" s="47"/>
      <c r="AG14" s="47"/>
      <c r="AH14" s="47"/>
      <c r="AI14" s="47"/>
      <c r="AJ14" s="256"/>
      <c r="AK14" s="130">
        <v>1</v>
      </c>
      <c r="AL14" s="47"/>
      <c r="AM14" s="683" t="str">
        <f>IF(OR(AND($AG$3&gt;1,$AG$3&lt;9),AND($AG$3&gt;1,$AG$3&lt;9)),AJ10,IF(OR(AND($AG$3&gt;0,$AG$3&lt;0)),AJ10,IF(OR(AND(AG3&gt;0,AG3&lt;0)),AJ10,"0")))</f>
        <v>0</v>
      </c>
      <c r="AN14" s="684"/>
      <c r="AO14" s="684"/>
      <c r="AP14" s="684"/>
      <c r="AQ14" s="685"/>
    </row>
    <row r="15" spans="1:45" ht="15.75" thickBot="1">
      <c r="A15" s="54"/>
      <c r="B15" s="151"/>
      <c r="C15" s="146" t="s">
        <v>66</v>
      </c>
      <c r="D15" s="151"/>
      <c r="E15" s="148"/>
      <c r="F15" s="62"/>
      <c r="G15" s="54"/>
      <c r="H15" s="47"/>
      <c r="I15" s="146" t="s">
        <v>67</v>
      </c>
      <c r="J15" s="47"/>
      <c r="K15" s="148"/>
      <c r="L15" s="62"/>
      <c r="M15" s="54"/>
      <c r="N15" s="47"/>
      <c r="O15" s="146" t="s">
        <v>55</v>
      </c>
      <c r="P15" s="47"/>
      <c r="Q15" s="54"/>
      <c r="S15" s="47"/>
      <c r="T15" s="47"/>
      <c r="U15" s="47"/>
      <c r="V15" s="47"/>
      <c r="W15" s="47"/>
      <c r="X15" s="252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256"/>
      <c r="AK15" s="157">
        <v>2</v>
      </c>
      <c r="AL15" s="47"/>
      <c r="AM15" s="654" t="str">
        <f>IF(OR(AND($AG$3&gt;1,$AG$3&lt;9),AND($AG$3&gt;0,$AG$3&lt;0)),AJ11,"0")</f>
        <v>0</v>
      </c>
      <c r="AN15" s="655"/>
      <c r="AO15" s="655"/>
      <c r="AP15" s="655"/>
      <c r="AQ15" s="656"/>
    </row>
    <row r="16" spans="1:45" ht="15.75" customHeight="1" thickBot="1">
      <c r="A16" s="732"/>
      <c r="B16" s="876" t="b">
        <f>IF($H$3=32,'Poule 3 et 4'!$AD29)</f>
        <v>0</v>
      </c>
      <c r="C16" s="877"/>
      <c r="D16" s="878"/>
      <c r="E16" s="77">
        <v>1</v>
      </c>
      <c r="F16" s="59"/>
      <c r="G16" s="732"/>
      <c r="H16" s="876" t="b">
        <f>IF($H$3=32,'Poule 11 et 12'!$AD29)</f>
        <v>0</v>
      </c>
      <c r="I16" s="877"/>
      <c r="J16" s="878"/>
      <c r="K16" s="77">
        <v>1</v>
      </c>
      <c r="L16" s="59"/>
      <c r="M16" s="732"/>
      <c r="N16" s="879" t="str">
        <f>IF(OR(H3=0,,H3=0),"&amp;",IF(AND(H3&gt;31,E16=E17),"Gagnant 1/16 G",IF(AND(H3&gt;31,E16&gt;E17),B16,IF(AND(H3&gt;31,E16&lt;E17),B17))))</f>
        <v>&amp;</v>
      </c>
      <c r="O16" s="879"/>
      <c r="P16" s="880"/>
      <c r="Q16" s="67">
        <v>1</v>
      </c>
      <c r="S16" s="47"/>
      <c r="T16" s="47"/>
      <c r="U16" s="47"/>
      <c r="V16" s="47"/>
      <c r="W16" s="47"/>
      <c r="X16" s="252"/>
      <c r="Y16" s="47"/>
      <c r="Z16" s="919" t="s">
        <v>12</v>
      </c>
      <c r="AA16" s="920"/>
      <c r="AB16" s="920"/>
      <c r="AC16" s="920"/>
      <c r="AD16" s="920"/>
      <c r="AE16" s="920"/>
      <c r="AF16" s="920"/>
      <c r="AG16" s="920"/>
      <c r="AH16" s="920"/>
      <c r="AI16" s="921"/>
      <c r="AJ16" s="256"/>
      <c r="AK16" s="157">
        <v>3</v>
      </c>
      <c r="AL16" s="47"/>
      <c r="AM16" s="654">
        <f>IF(OR(AND($AG$3&gt;2,$AG$3&lt;4)),AJ25,IF(OR(AND($AG$3&gt;3,$AG$3&lt;7)),AD8,IF(OR(AND(AG3&gt;6,AG3&lt;9)),AD8,0)))</f>
        <v>0</v>
      </c>
      <c r="AN16" s="655"/>
      <c r="AO16" s="655"/>
      <c r="AP16" s="655"/>
      <c r="AQ16" s="656"/>
    </row>
    <row r="17" spans="1:43" ht="15.75" thickBot="1">
      <c r="A17" s="733"/>
      <c r="B17" s="870" t="b">
        <f>IF($H$3=32,'Poule 13 et 14'!$H30)</f>
        <v>0</v>
      </c>
      <c r="C17" s="871"/>
      <c r="D17" s="872"/>
      <c r="E17" s="147"/>
      <c r="F17" s="59"/>
      <c r="G17" s="733"/>
      <c r="H17" s="870" t="b">
        <f>IF($H$3=32,'Poule 5 et 6'!$H30)</f>
        <v>0</v>
      </c>
      <c r="I17" s="871"/>
      <c r="J17" s="872"/>
      <c r="K17" s="147"/>
      <c r="L17" s="59"/>
      <c r="M17" s="733"/>
      <c r="N17" s="861" t="str">
        <f>IF(OR(H3=0,,H3=0),"&amp;",IF(AND(H3&gt;31,K16=K17),"Gagnant 1/16 H",IF(AND(H3&gt;31,K16&gt;K17),H16,IF(AND(H3&gt;31,K16&lt;K17),H17))))</f>
        <v>&amp;</v>
      </c>
      <c r="O17" s="862"/>
      <c r="P17" s="863"/>
      <c r="Q17" s="132">
        <v>2</v>
      </c>
      <c r="S17" s="47"/>
      <c r="T17" s="47"/>
      <c r="U17" s="47"/>
      <c r="V17" s="47"/>
      <c r="W17" s="47"/>
      <c r="X17" s="252"/>
      <c r="Y17" s="47"/>
      <c r="Z17" s="893" t="s">
        <v>62</v>
      </c>
      <c r="AA17" s="894"/>
      <c r="AB17" s="895"/>
      <c r="AC17" s="47"/>
      <c r="AD17" s="47"/>
      <c r="AE17" s="47"/>
      <c r="AF17" s="896" t="s">
        <v>63</v>
      </c>
      <c r="AG17" s="897"/>
      <c r="AH17" s="898"/>
      <c r="AI17" s="47"/>
      <c r="AJ17" s="256"/>
      <c r="AK17" s="157">
        <v>4</v>
      </c>
      <c r="AL17" s="47"/>
      <c r="AM17" s="654" t="str">
        <f>IF(OR(AND($AG$3&gt;0,$AG$3&lt;0),AND($AG$3&gt;4,$AG$3&lt;6)),AD14,IF(OR(AND($AG$3&gt;6,$AG$3&lt;9)),AD14,IF(OR(AND($AG$3&gt;5,$AG$3&lt;7),AD14,AND($AG$3&gt;3,$AG$3&lt;5)),AD14,"0")))</f>
        <v>0</v>
      </c>
      <c r="AN17" s="655"/>
      <c r="AO17" s="655"/>
      <c r="AP17" s="655"/>
      <c r="AQ17" s="656"/>
    </row>
    <row r="18" spans="1:43" ht="15.75" thickBot="1">
      <c r="A18" s="54"/>
      <c r="B18" s="47"/>
      <c r="C18" s="146" t="s">
        <v>68</v>
      </c>
      <c r="D18" s="47"/>
      <c r="E18" s="148"/>
      <c r="F18" s="62"/>
      <c r="G18" s="54"/>
      <c r="H18" s="47"/>
      <c r="I18" s="146" t="s">
        <v>69</v>
      </c>
      <c r="J18" s="47"/>
      <c r="K18" s="148"/>
      <c r="L18" s="62"/>
      <c r="M18" s="54"/>
      <c r="N18" s="47"/>
      <c r="O18" s="146" t="s">
        <v>56</v>
      </c>
      <c r="P18" s="47"/>
      <c r="Q18" s="54"/>
      <c r="S18" s="145" t="s">
        <v>6</v>
      </c>
      <c r="T18" s="47"/>
      <c r="U18" s="146" t="s">
        <v>64</v>
      </c>
      <c r="V18" s="47"/>
      <c r="W18" s="145" t="s">
        <v>5</v>
      </c>
      <c r="X18" s="252"/>
      <c r="Y18" s="145" t="s">
        <v>6</v>
      </c>
      <c r="Z18" s="47"/>
      <c r="AA18" s="146" t="s">
        <v>16</v>
      </c>
      <c r="AB18" s="47"/>
      <c r="AC18" s="145" t="s">
        <v>5</v>
      </c>
      <c r="AD18" s="47"/>
      <c r="AE18" s="145" t="s">
        <v>6</v>
      </c>
      <c r="AF18" s="47"/>
      <c r="AG18" s="47"/>
      <c r="AH18" s="47"/>
      <c r="AI18" s="145" t="s">
        <v>5</v>
      </c>
      <c r="AJ18" s="256"/>
      <c r="AK18" s="157">
        <v>5</v>
      </c>
      <c r="AL18" s="47"/>
      <c r="AM18" s="654">
        <f>IF(OR(AND($AG$3&gt;5,$AG$3&lt;7),AND($AG$3&gt;0,$AG$3&lt;0)),AD19,IF(OR(AND($AG$3&gt;0,$AG$3&lt;0)),AJ20,IF(OR(AND(AG3&gt;6,AG3&lt;8)),AD19,IF(OR(AND(AG3&gt;7,AG3&lt;9)),AD19,IF(OR(AND($AG$3&gt;4,$AG$3&lt;6)),AJ19,0)))))</f>
        <v>0</v>
      </c>
      <c r="AN18" s="655"/>
      <c r="AO18" s="655"/>
      <c r="AP18" s="655"/>
      <c r="AQ18" s="656"/>
    </row>
    <row r="19" spans="1:43" ht="15.75" thickBot="1">
      <c r="A19" s="732"/>
      <c r="B19" s="876" t="b">
        <f>IF($H$3=32,'Poule 5 et 6'!$H29)</f>
        <v>0</v>
      </c>
      <c r="C19" s="877"/>
      <c r="D19" s="878"/>
      <c r="E19" s="170">
        <v>1</v>
      </c>
      <c r="F19" s="59"/>
      <c r="G19" s="732"/>
      <c r="H19" s="876" t="b">
        <f>IF($H$3=32,'Poule 13 et 14'!$H29)</f>
        <v>0</v>
      </c>
      <c r="I19" s="877"/>
      <c r="J19" s="878"/>
      <c r="K19" s="77">
        <v>1</v>
      </c>
      <c r="L19" s="59"/>
      <c r="M19" s="732"/>
      <c r="N19" s="879" t="str">
        <f>IF(OR(H3=0,H3=0),"&amp;",IF(AND(H3&gt;31,E19=E20),"Gagnant 1/16 K",IF(AND(H3&gt;31,E19&gt;E20),B19,IF(AND(H3&gt;31,E19&lt;E20),B20))))</f>
        <v>&amp;</v>
      </c>
      <c r="O19" s="879"/>
      <c r="P19" s="880"/>
      <c r="Q19" s="67">
        <v>1</v>
      </c>
      <c r="S19" s="732"/>
      <c r="T19" s="765" t="str">
        <f>IF(OR(H3&lt;8,H3&gt;65,H3=0,H3=0),"&amp;",IF(AND(H3&gt;15,Q19=Q20),"Gagnant 1/8 E",IF(AND(H3&gt;15,Q19&gt;Q20),N19,IF(AND(H3&gt;15,Q19&lt;Q20),N20,IF(AND(H3&gt;4,H2=8),'Poule 1 et 2'!H29,IF(AND(H3&gt;5,H3&lt;9),'Poule 3 et 4'!H29,"OFFICE"))))))</f>
        <v>&amp;</v>
      </c>
      <c r="U19" s="885"/>
      <c r="V19" s="886"/>
      <c r="W19" s="67">
        <v>1</v>
      </c>
      <c r="X19" s="251" t="str">
        <f>IF(W19=W20,"&amp;",IF(W19&gt;W20,T19,T20))</f>
        <v>&amp;</v>
      </c>
      <c r="Y19" s="732"/>
      <c r="Z19" s="887" t="str">
        <f>IF(OR(AG3=4,AG3=3,AG3=2,AG3=0),"OFFICE",IF(W7=W8,"Perdant 1/4 A",IF(W7&lt;W8,T7,T8)))</f>
        <v>OFFICE</v>
      </c>
      <c r="AA19" s="766"/>
      <c r="AB19" s="767"/>
      <c r="AC19" s="67">
        <v>1</v>
      </c>
      <c r="AD19" s="256" t="str">
        <f>IF(AC19=AC20,"&amp;",IF(AC19&gt;AC20,Z19,Z20))</f>
        <v>OFFICE</v>
      </c>
      <c r="AE19" s="732"/>
      <c r="AF19" s="910" t="str">
        <f>IF(OR(AG3=8,AG3=6,AG3=4,AG3=3,AG3=2,AG3=1),"OFFICE",IF(AND(H3&gt;9,AG3=5,AC19=AC20),"Perdant 1ère Partie Repêchage A",IF(AND(H3&gt;9,AG3=5,AC19&lt;AC20),AD20,IF(AND(H3&gt;9,AG3=5,AC20&lt;AC19),AD19,IF(AND(H3&gt;9,AG3=7,AC19=AC20),"Gagnant 1ère Partie Repêchage A",IF(AND(H3&gt;9,AG3=7,AC19&gt;AC20),Z20,IF(AND(H3&gt;9,AG3=7,AC20&gt;AC19),Z19,"")))))))</f>
        <v/>
      </c>
      <c r="AG19" s="911"/>
      <c r="AH19" s="912"/>
      <c r="AI19" s="67">
        <v>1</v>
      </c>
      <c r="AJ19" s="256" t="str">
        <f>IF(AI19=AI20,"&amp;",IF(AI19&gt;AI20,AF19,AF20))</f>
        <v/>
      </c>
      <c r="AK19" s="157">
        <v>6</v>
      </c>
      <c r="AL19" s="47"/>
      <c r="AM19" s="654" t="str">
        <f>IF(OR(AND($AG$3&gt;4,$AG$3&lt;5),AND($AG$3&gt;0,$AG$3&lt;0)),AJ20,IF(OR(AND($AG$3&gt;5,$AG$3&lt;8)),AD25,IF(OR(AND($AG$3&gt;7,$AG$3&lt;9)),AD25,"0")))</f>
        <v>0</v>
      </c>
      <c r="AN19" s="655"/>
      <c r="AO19" s="655"/>
      <c r="AP19" s="655"/>
      <c r="AQ19" s="656"/>
    </row>
    <row r="20" spans="1:43" ht="15.75" thickBot="1">
      <c r="A20" s="733"/>
      <c r="B20" s="870" t="b">
        <f>IF($H$3=32,'Poule 11 et 12'!$AD30)</f>
        <v>0</v>
      </c>
      <c r="C20" s="871"/>
      <c r="D20" s="872"/>
      <c r="E20" s="152"/>
      <c r="F20" s="59"/>
      <c r="G20" s="733"/>
      <c r="H20" s="870" t="b">
        <f>IF($H$3=32,'Poule 3 et 4'!$AD30)</f>
        <v>0</v>
      </c>
      <c r="I20" s="871"/>
      <c r="J20" s="872"/>
      <c r="K20" s="147"/>
      <c r="L20" s="59"/>
      <c r="M20" s="733"/>
      <c r="N20" s="861" t="str">
        <f>IF(OR(H3=0,H3=0),"&amp;",IF(AND(H3&gt;31,K19=K20),"Gagnant 1/16 L",IF(AND(H3&gt;31,K19&gt;K20),H19,IF(AND(H3&gt;31,K19&lt;K20),H20))))</f>
        <v>&amp;</v>
      </c>
      <c r="O20" s="862"/>
      <c r="P20" s="863"/>
      <c r="Q20" s="132">
        <v>2</v>
      </c>
      <c r="S20" s="733"/>
      <c r="T20" s="887" t="str">
        <f>IF(OR(H3&lt;8,H3&gt;65,H3=0,H3=0),"&amp;",IF(AND(H3&gt;15,Q22=Q23),"Gagnant 1/8 F",IF(AND(H3&gt;15,Q22&gt;Q23),N22,IF(AND(H3&gt;15,Q22&lt;Q23),N23,IF(AND(H3=8),'Poule 3 et 4'!AD30,"OFFICE")))))</f>
        <v>&amp;</v>
      </c>
      <c r="U20" s="766"/>
      <c r="V20" s="767"/>
      <c r="W20" s="132">
        <v>0</v>
      </c>
      <c r="X20" s="251" t="str">
        <f>IF(W19=W20,"&amp;",IF(W19&lt;W20,T19,T20))</f>
        <v>&amp;</v>
      </c>
      <c r="Y20" s="733"/>
      <c r="Z20" s="887" t="str">
        <f>IF(OR(AG3=4,AG3=3,AG3=2,AG3=0),"OFFICE",IF(W13=W14,"Perdant 1/4 B ",IF(W13&lt;W14,T13,T14)))</f>
        <v>OFFICE</v>
      </c>
      <c r="AA20" s="766"/>
      <c r="AB20" s="767"/>
      <c r="AC20" s="154">
        <v>0</v>
      </c>
      <c r="AD20" s="256" t="str">
        <f>IF(AC19=AC20,"&amp;",IF(AC19&lt;AC20,Z19,Z20))</f>
        <v>OFFICE</v>
      </c>
      <c r="AE20" s="733"/>
      <c r="AF20" s="913" t="str">
        <f>IF(OR(AG3=8,AG3=6,AG3=4,AG3=3,AG3=2,AG3=1),"OFFICE",IF(AND(H3&gt;9,AG3=5,AC25=AC26),"Perdant 1ère Partie Repêchage B",IF(AND(H3&gt;9,AG3=5,AC25&lt;AC26),AD26,IF(AND(H3&gt;9,AG3=5,AC26&lt;AC25),AD25,IF(AND(H3&gt;9,AG3=5,AC25=AC26),"Gagnant 1ère Partie Repêchage B",IF(AND(H3&gt;9,AG3=7,AC25&gt;AC26),Z26,IF(AND(H3&gt;9,AG3=7,AC26&gt;AC25),Z25,"")))))))</f>
        <v/>
      </c>
      <c r="AG20" s="914"/>
      <c r="AH20" s="915"/>
      <c r="AI20" s="154">
        <v>0</v>
      </c>
      <c r="AJ20" s="256" t="str">
        <f>IF(AI19=AI20,"&amp;",IF(AI19&lt;AI20,AF19,AF20))</f>
        <v/>
      </c>
      <c r="AK20" s="157">
        <v>7</v>
      </c>
      <c r="AL20" s="47"/>
      <c r="AM20" s="654" t="str">
        <f>IF(OR(AND($AG$3&gt;4,$AG$3&lt;5),AND($AG$3&gt;0,$AG$3&lt;0)),0,IF(OR(AND($AG$3&gt;7,$AG$3&lt;9)),AD20,IF(OR(AND($AG$3&gt;6,$AG$3&lt;8)),AJ19,"0")))</f>
        <v>0</v>
      </c>
      <c r="AN20" s="655"/>
      <c r="AO20" s="655"/>
      <c r="AP20" s="655"/>
      <c r="AQ20" s="656"/>
    </row>
    <row r="21" spans="1:43" ht="15.75" thickBot="1">
      <c r="A21" s="54"/>
      <c r="B21" s="47"/>
      <c r="C21" s="146" t="s">
        <v>70</v>
      </c>
      <c r="D21" s="47"/>
      <c r="E21" s="148"/>
      <c r="F21" s="62"/>
      <c r="G21" s="54"/>
      <c r="H21" s="47"/>
      <c r="I21" s="146" t="s">
        <v>71</v>
      </c>
      <c r="J21" s="47"/>
      <c r="K21" s="148"/>
      <c r="L21" s="62"/>
      <c r="M21" s="54"/>
      <c r="N21" s="47"/>
      <c r="O21" s="146" t="s">
        <v>65</v>
      </c>
      <c r="P21" s="47"/>
      <c r="Q21" s="54"/>
      <c r="S21" s="54"/>
      <c r="T21" s="47"/>
      <c r="U21" s="47"/>
      <c r="V21" s="47"/>
      <c r="W21" s="54"/>
      <c r="X21" s="252"/>
      <c r="Y21" s="54"/>
      <c r="Z21" s="47"/>
      <c r="AA21" s="47"/>
      <c r="AB21" s="47"/>
      <c r="AC21" s="54"/>
      <c r="AD21" s="256"/>
      <c r="AF21" s="47"/>
      <c r="AG21" s="47"/>
      <c r="AH21" s="47"/>
      <c r="AJ21" s="256"/>
      <c r="AK21" s="158">
        <v>8</v>
      </c>
      <c r="AL21" s="47"/>
      <c r="AM21" s="657" t="str">
        <f>IF(OR(AND($AG$3&gt;4,$AG$3&lt;5),AND($AG$3&gt;0,$AG$3&lt;0)),0,IF(OR(AND($AG$3&gt;7,$AG$3&lt;9)),AD26,IF(OR(AND($AG$3&gt;0,$AG$3&lt;0)),0,"0")))</f>
        <v>0</v>
      </c>
      <c r="AN21" s="658"/>
      <c r="AO21" s="658"/>
      <c r="AP21" s="658"/>
      <c r="AQ21" s="659"/>
    </row>
    <row r="22" spans="1:43" ht="15.75" thickBot="1">
      <c r="A22" s="732"/>
      <c r="B22" s="876" t="b">
        <f>IF(H$3=32,'Poule 5 et 6'!$AD29)</f>
        <v>0</v>
      </c>
      <c r="C22" s="877"/>
      <c r="D22" s="878"/>
      <c r="E22" s="77">
        <v>1</v>
      </c>
      <c r="F22" s="59"/>
      <c r="G22" s="732"/>
      <c r="H22" s="876" t="b">
        <f>IF($H$3=32,'Poule 13 et 14'!$AD29)</f>
        <v>0</v>
      </c>
      <c r="I22" s="877"/>
      <c r="J22" s="878"/>
      <c r="K22" s="77">
        <v>1</v>
      </c>
      <c r="L22" s="59"/>
      <c r="M22" s="732"/>
      <c r="N22" s="906" t="str">
        <f>IF(OR(H3=0,H3=0),"&amp;",IF(AND(H3&gt;31,E22=E23),"Gagnant 1/16 M",IF(AND(H3&gt;31,E22&gt;E23),B22,IF(AND(H3&gt;31,E22&lt;E23),B23))))</f>
        <v>&amp;</v>
      </c>
      <c r="O22" s="879"/>
      <c r="P22" s="880"/>
      <c r="Q22" s="67">
        <v>1</v>
      </c>
      <c r="S22" s="54"/>
      <c r="T22" s="47"/>
      <c r="U22" s="47"/>
      <c r="V22" s="47"/>
      <c r="W22" s="54"/>
      <c r="X22" s="252"/>
      <c r="Y22" s="909"/>
      <c r="Z22" s="899"/>
      <c r="AA22" s="899"/>
      <c r="AB22" s="899"/>
      <c r="AC22" s="153"/>
      <c r="AD22" s="256"/>
      <c r="AE22" s="916" t="s">
        <v>158</v>
      </c>
      <c r="AF22" s="917"/>
      <c r="AG22" s="917"/>
      <c r="AH22" s="917"/>
      <c r="AI22" s="918"/>
      <c r="AJ22" s="256"/>
      <c r="AK22"/>
    </row>
    <row r="23" spans="1:43" ht="15.75" thickBot="1">
      <c r="A23" s="733"/>
      <c r="B23" s="870" t="b">
        <f>IF($H$3=32,'Poule 11 et 12'!$H30)</f>
        <v>0</v>
      </c>
      <c r="C23" s="871"/>
      <c r="D23" s="872"/>
      <c r="E23" s="147"/>
      <c r="F23" s="59"/>
      <c r="G23" s="733"/>
      <c r="H23" s="870" t="b">
        <f>IF($H$3=32,'Poule 3 et 4'!$H30)</f>
        <v>0</v>
      </c>
      <c r="I23" s="871"/>
      <c r="J23" s="872"/>
      <c r="K23" s="147"/>
      <c r="L23" s="59"/>
      <c r="M23" s="733"/>
      <c r="N23" s="862" t="str">
        <f>IF(OR(H3=0,H3=0),"&amp;",IF(AND(H3&gt;31,K22=K23),"Gagnant 1/16 N",IF(AND(H3&gt;31,K22&gt;K23),H22,IF(AND(H3&gt;K3122&lt;K23),H23))))</f>
        <v>&amp;</v>
      </c>
      <c r="O23" s="862"/>
      <c r="P23" s="863"/>
      <c r="Q23" s="132">
        <v>2</v>
      </c>
      <c r="S23" s="54"/>
      <c r="T23" s="47"/>
      <c r="U23" s="47"/>
      <c r="V23" s="47"/>
      <c r="W23" s="54"/>
      <c r="X23" s="252"/>
      <c r="Y23" s="909"/>
      <c r="Z23" s="899"/>
      <c r="AA23" s="899"/>
      <c r="AB23" s="899"/>
      <c r="AC23" s="155"/>
      <c r="AD23" s="256"/>
      <c r="AJ23" s="256"/>
    </row>
    <row r="24" spans="1:43" ht="15.75" thickBot="1">
      <c r="A24" s="54"/>
      <c r="B24" s="47"/>
      <c r="C24" s="146" t="s">
        <v>72</v>
      </c>
      <c r="D24" s="47"/>
      <c r="E24" s="148"/>
      <c r="F24" s="62"/>
      <c r="G24" s="54"/>
      <c r="H24" s="47"/>
      <c r="I24" s="146" t="s">
        <v>73</v>
      </c>
      <c r="J24" s="47"/>
      <c r="K24" s="148"/>
      <c r="L24" s="62"/>
      <c r="M24" s="54"/>
      <c r="N24" s="47"/>
      <c r="O24" s="146" t="s">
        <v>66</v>
      </c>
      <c r="P24" s="47"/>
      <c r="Q24" s="54"/>
      <c r="S24" s="54"/>
      <c r="T24" s="47"/>
      <c r="U24" s="146" t="s">
        <v>55</v>
      </c>
      <c r="V24" s="47"/>
      <c r="W24" s="54"/>
      <c r="X24" s="252"/>
      <c r="Y24" s="54"/>
      <c r="Z24" s="47"/>
      <c r="AA24" s="146" t="s">
        <v>17</v>
      </c>
      <c r="AB24" s="47"/>
      <c r="AC24" s="54"/>
      <c r="AD24" s="256"/>
      <c r="AE24" s="145" t="s">
        <v>6</v>
      </c>
      <c r="AF24" s="47"/>
      <c r="AG24" s="47"/>
      <c r="AH24" s="47"/>
      <c r="AI24" s="145"/>
      <c r="AJ24" s="256"/>
    </row>
    <row r="25" spans="1:43" ht="15.75" thickBot="1">
      <c r="A25" s="732"/>
      <c r="B25" s="876" t="b">
        <f>IF($H$3=32,'Poule 7 et 8'!$H29)</f>
        <v>0</v>
      </c>
      <c r="C25" s="877"/>
      <c r="D25" s="878"/>
      <c r="E25" s="77">
        <v>1</v>
      </c>
      <c r="F25" s="59"/>
      <c r="G25" s="732"/>
      <c r="H25" s="876" t="b">
        <f>IF($H$3=32,'Poule 15 et 16'!$H29)</f>
        <v>0</v>
      </c>
      <c r="I25" s="877"/>
      <c r="J25" s="878"/>
      <c r="K25" s="77">
        <v>1</v>
      </c>
      <c r="L25" s="59"/>
      <c r="M25" s="732"/>
      <c r="N25" s="906" t="str">
        <f>IF(OR(H3=0,H3=0),"&amp;",IF(AND(H3&gt;31,E25=E26),"Gagnant 1/16 P",IF(AND(H3&gt;31,E25&gt;E26),B25,IF(AND(H3&gt;31,E25&lt;E26),B26))))</f>
        <v>&amp;</v>
      </c>
      <c r="O25" s="879"/>
      <c r="P25" s="880"/>
      <c r="Q25" s="67">
        <v>1</v>
      </c>
      <c r="S25" s="732"/>
      <c r="T25" s="887" t="str">
        <f>IF(OR(H3=0,H3=0),"&amp;",IF(AND(H3&gt;31,Q25=Q26),"Gagnant 1/8 G",IF(AND(H3&gt;31,Q25&gt;Q26),N25,IF(AND(H3&gt;31,Q25&lt;Q26),N26))))</f>
        <v>&amp;</v>
      </c>
      <c r="U25" s="766"/>
      <c r="V25" s="767"/>
      <c r="W25" s="67">
        <v>1</v>
      </c>
      <c r="X25" s="251" t="str">
        <f>IF(W25=W26,"&amp;",IF(W25&gt;W26,T25,T26))</f>
        <v>&amp;</v>
      </c>
      <c r="Y25" s="732"/>
      <c r="Z25" s="903" t="str">
        <f>IF(OR(AG3=4,AG3=3,AG3=2,AG3=0),"OFFICE",IF(W19=W20,"Perdant 1/4 C",IF(W19&lt;W20,T19,T20)))</f>
        <v>OFFICE</v>
      </c>
      <c r="AA25" s="904"/>
      <c r="AB25" s="905"/>
      <c r="AC25" s="67">
        <v>1</v>
      </c>
      <c r="AD25" s="256" t="str">
        <f>IF(AC25=AC26,"&amp;",IF(AC25&gt;AC26,Z25,Z26))</f>
        <v>OFFICE</v>
      </c>
      <c r="AE25" s="732"/>
      <c r="AF25" s="900" t="str">
        <f>IF(AND(H3&gt;4,AG3=3,AG3=3,AC7=AC8),"Perdant 1/2 Finale A",IF(AND(H3&gt;4,AG3=3,AC7&gt;AC8),Z8,IF(AND(H3&gt;4,AG3=3,AC7&lt;AC8),Z7,"OFFICE")))</f>
        <v>OFFICE</v>
      </c>
      <c r="AG25" s="907"/>
      <c r="AH25" s="908"/>
      <c r="AI25" s="67">
        <v>0</v>
      </c>
      <c r="AJ25" s="256" t="str">
        <f>IF(AI25=AI26,"&amp;",IF(AI25&gt;AI26,AF25,AF26))</f>
        <v>&amp;</v>
      </c>
    </row>
    <row r="26" spans="1:43" ht="15.75" thickBot="1">
      <c r="A26" s="733"/>
      <c r="B26" s="870" t="b">
        <f>IF($H$3=32,'Poule 9 et 10'!$AD30)</f>
        <v>0</v>
      </c>
      <c r="C26" s="871"/>
      <c r="D26" s="872"/>
      <c r="E26" s="147"/>
      <c r="F26" s="59"/>
      <c r="G26" s="733"/>
      <c r="H26" s="870" t="str">
        <f>IF($H$2&gt;16,IF($H$3&gt;=10,'Poule 1 et 2'!$AD30),IF($H$2&lt;17,"OFFICE"))</f>
        <v>OFFICE</v>
      </c>
      <c r="I26" s="871"/>
      <c r="J26" s="872"/>
      <c r="K26" s="147"/>
      <c r="L26" s="59"/>
      <c r="M26" s="733"/>
      <c r="N26" s="862" t="str">
        <f>IF(OR(H3=0,H3=0),"&amp;",IF(AND(H3&gt;31,K25=K26),"Gagnant 1/16 R",IF(AND(H3&gt;31,K25&gt;K26),H25,IF(AND(H3&gt;31,K25&lt;K26),H26))))</f>
        <v>&amp;</v>
      </c>
      <c r="O26" s="862"/>
      <c r="P26" s="863"/>
      <c r="Q26" s="132">
        <v>0</v>
      </c>
      <c r="S26" s="733"/>
      <c r="T26" s="887" t="str">
        <f>IF(OR(H3&lt;5,H3&gt;65,H3=0,H3=0),"&amp;",IF(AND(H3&gt;15,Q28=Q29),"Gagnant 1/8 F",IF(AND(H3&gt;15,Q28&gt;Q29),N28,IF(AND(H3&gt;15,Q28&lt;Q29),N29,IF(AND(H3=8),'Poule 1 et 2'!H30,"OFFICE")))))</f>
        <v>&amp;</v>
      </c>
      <c r="U26" s="766"/>
      <c r="V26" s="767"/>
      <c r="W26" s="132">
        <v>0</v>
      </c>
      <c r="X26" s="251" t="str">
        <f>IF(W25=W26,"&amp;",IF(W25&lt;W26,T25,T26))</f>
        <v>&amp;</v>
      </c>
      <c r="Y26" s="733"/>
      <c r="Z26" s="887" t="str">
        <f>IF(OR(AG3=4,AG3=3,AG3=2,AG3=0),"OFFICE",IF(W25=W26,"Perdant 1/4 D ",IF(W25&lt;W26,T25,T26)))</f>
        <v>OFFICE</v>
      </c>
      <c r="AA26" s="885"/>
      <c r="AB26" s="886"/>
      <c r="AC26" s="154">
        <v>0</v>
      </c>
      <c r="AD26" s="256" t="str">
        <f>IF(AC25=AC26,"&amp;",IF(AC25&lt;AC26,Z25,Z26))</f>
        <v>OFFICE</v>
      </c>
      <c r="AE26" s="733"/>
      <c r="AF26" s="900" t="str">
        <f>IF(AND(H3&gt;4,AG3=3,AG3=3,AC13=AC14),"Perdant 1/2 Finale B",IF(AND(H3&gt;4,AG3=3,AC13&gt;AC14),Z14,IF(AND(H3&gt;4,AG3=3,AC13&lt;AC14),Z13,"OFFICE")))</f>
        <v>OFFICE</v>
      </c>
      <c r="AG26" s="901"/>
      <c r="AH26" s="902"/>
      <c r="AI26" s="67">
        <v>0</v>
      </c>
      <c r="AJ26" s="256" t="str">
        <f>IF(AI25=AI26,"&amp;",IF(AI25&lt;AI26,AF25,AF26))</f>
        <v>&amp;</v>
      </c>
    </row>
    <row r="27" spans="1:43" ht="19.5" thickBot="1">
      <c r="A27" s="54"/>
      <c r="B27" s="47"/>
      <c r="C27" s="146" t="s">
        <v>74</v>
      </c>
      <c r="D27" s="47"/>
      <c r="E27" s="148"/>
      <c r="F27" s="62"/>
      <c r="G27" s="54"/>
      <c r="H27" s="47"/>
      <c r="I27" s="146" t="s">
        <v>75</v>
      </c>
      <c r="J27" s="47"/>
      <c r="K27" s="148"/>
      <c r="L27" s="62"/>
      <c r="M27" s="54"/>
      <c r="N27" s="47"/>
      <c r="O27" s="146" t="s">
        <v>67</v>
      </c>
      <c r="P27" s="47"/>
      <c r="Q27" s="54"/>
      <c r="R27" s="101"/>
      <c r="V27" s="47"/>
      <c r="W27" s="47"/>
      <c r="AJ27" s="249"/>
    </row>
    <row r="28" spans="1:43" ht="15.75" thickBot="1">
      <c r="A28" s="732"/>
      <c r="B28" s="876" t="b">
        <f>IF($H$3=32,'Poule 7 et 8'!$AD29)</f>
        <v>0</v>
      </c>
      <c r="C28" s="877"/>
      <c r="D28" s="878"/>
      <c r="E28" s="77">
        <v>1</v>
      </c>
      <c r="F28" s="59"/>
      <c r="G28" s="732"/>
      <c r="H28" s="876" t="b">
        <f>IF($H$3=32,'Poule 15 et 16'!$AD29)</f>
        <v>0</v>
      </c>
      <c r="I28" s="877"/>
      <c r="J28" s="878"/>
      <c r="K28" s="77">
        <v>1</v>
      </c>
      <c r="L28" s="59"/>
      <c r="M28" s="732"/>
      <c r="N28" s="906" t="str">
        <f>IF(OR(H3=0,H3=0),"&amp;",IF(AND(H3&gt;31,E28=E29),"Gagnant 1/16 S",IF(AND(H3&gt;31,E28&gt;E29),B28,IF(AND(H3&gt;31,E28&lt;E29),B29))))</f>
        <v>&amp;</v>
      </c>
      <c r="O28" s="879"/>
      <c r="P28" s="880"/>
      <c r="Q28" s="67">
        <v>1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43" ht="15.75" thickBot="1">
      <c r="A29" s="733"/>
      <c r="B29" s="870" t="b">
        <f>IF($H$3=32,'Poule 9 et 10'!$H30)</f>
        <v>0</v>
      </c>
      <c r="C29" s="871"/>
      <c r="D29" s="872"/>
      <c r="E29" s="147"/>
      <c r="F29" s="59"/>
      <c r="G29" s="733"/>
      <c r="H29" s="870" t="b">
        <f>IF($H$3=32,'Poule 1 et 2'!$H30)</f>
        <v>0</v>
      </c>
      <c r="I29" s="871"/>
      <c r="J29" s="872"/>
      <c r="K29" s="147"/>
      <c r="L29" s="59"/>
      <c r="M29" s="733"/>
      <c r="N29" s="892" t="str">
        <f>IF(OR(H3=0,H3=0),"&amp;",IF(AND(H3&gt;31,K28=K29),"Gagnant 1/16 T",IF(AND(H3&gt;31,K28&gt;K29),H28,IF(AND(H3&gt;31,K28&lt;K29),H29))))</f>
        <v>&amp;</v>
      </c>
      <c r="O29" s="862"/>
      <c r="P29" s="863"/>
      <c r="Q29" s="132">
        <v>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4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43" ht="21" customHeight="1">
      <c r="A31" s="47"/>
      <c r="AD31" s="47"/>
    </row>
    <row r="32" spans="1:43">
      <c r="A32" s="47"/>
      <c r="AD32" s="47"/>
    </row>
    <row r="33" spans="1:36">
      <c r="A33" s="47"/>
      <c r="AD33" s="47"/>
    </row>
    <row r="34" spans="1:36" ht="19.5" customHeight="1">
      <c r="A34" s="47"/>
      <c r="AD34" s="47"/>
    </row>
    <row r="35" spans="1:36">
      <c r="A35" s="47"/>
      <c r="AD35" s="47"/>
    </row>
    <row r="36" spans="1:36">
      <c r="A36" s="47"/>
      <c r="AD36" s="47"/>
    </row>
    <row r="37" spans="1:36">
      <c r="A37" s="47"/>
      <c r="AD37" s="47"/>
    </row>
    <row r="38" spans="1:36">
      <c r="A38" s="47"/>
      <c r="AD38" s="47"/>
    </row>
    <row r="39" spans="1:36">
      <c r="A39" s="47"/>
      <c r="AD39" s="47"/>
    </row>
    <row r="40" spans="1:36">
      <c r="A40" s="47"/>
      <c r="AD40" s="47"/>
      <c r="AE40" s="47"/>
      <c r="AF40" s="47"/>
      <c r="AG40" s="47"/>
      <c r="AH40" s="47"/>
      <c r="AI40" s="47"/>
      <c r="AJ40" s="47"/>
    </row>
  </sheetData>
  <sheetProtection password="CFC3" sheet="1" objects="1" scenarios="1" formatCells="0" formatColumns="0" formatRows="0" insertColumns="0" insertRows="0" insertHyperlinks="0" deleteColumns="0" deleteRows="0" sort="0"/>
  <mergeCells count="138">
    <mergeCell ref="AM14:AQ14"/>
    <mergeCell ref="AM15:AQ15"/>
    <mergeCell ref="AM16:AQ16"/>
    <mergeCell ref="AM17:AQ17"/>
    <mergeCell ref="AM18:AQ18"/>
    <mergeCell ref="AM19:AQ19"/>
    <mergeCell ref="AM20:AQ20"/>
    <mergeCell ref="AM21:AQ21"/>
    <mergeCell ref="AK7:AQ7"/>
    <mergeCell ref="AE19:AE20"/>
    <mergeCell ref="AF19:AH19"/>
    <mergeCell ref="AF20:AH20"/>
    <mergeCell ref="A19:A20"/>
    <mergeCell ref="B23:D23"/>
    <mergeCell ref="H23:J23"/>
    <mergeCell ref="N23:P23"/>
    <mergeCell ref="B8:D8"/>
    <mergeCell ref="B10:D10"/>
    <mergeCell ref="B11:D11"/>
    <mergeCell ref="B13:D13"/>
    <mergeCell ref="B14:D14"/>
    <mergeCell ref="B16:D16"/>
    <mergeCell ref="B17:D17"/>
    <mergeCell ref="AE22:AI22"/>
    <mergeCell ref="N20:P20"/>
    <mergeCell ref="Z20:AB20"/>
    <mergeCell ref="N19:P19"/>
    <mergeCell ref="S19:S20"/>
    <mergeCell ref="Y19:Y20"/>
    <mergeCell ref="Z19:AB19"/>
    <mergeCell ref="T19:V19"/>
    <mergeCell ref="T20:V20"/>
    <mergeCell ref="Z16:AI16"/>
    <mergeCell ref="B7:D7"/>
    <mergeCell ref="A10:A11"/>
    <mergeCell ref="A13:A14"/>
    <mergeCell ref="A7:A8"/>
    <mergeCell ref="A28:A29"/>
    <mergeCell ref="B28:D28"/>
    <mergeCell ref="G28:G29"/>
    <mergeCell ref="H28:J28"/>
    <mergeCell ref="M28:M29"/>
    <mergeCell ref="B20:D20"/>
    <mergeCell ref="H20:J20"/>
    <mergeCell ref="B19:D19"/>
    <mergeCell ref="G19:G20"/>
    <mergeCell ref="H19:J19"/>
    <mergeCell ref="M19:M20"/>
    <mergeCell ref="H17:J17"/>
    <mergeCell ref="B26:D26"/>
    <mergeCell ref="H26:J26"/>
    <mergeCell ref="H22:J22"/>
    <mergeCell ref="M22:M23"/>
    <mergeCell ref="B29:D29"/>
    <mergeCell ref="H29:J29"/>
    <mergeCell ref="AF25:AH25"/>
    <mergeCell ref="Y22:Y23"/>
    <mergeCell ref="Z22:AB22"/>
    <mergeCell ref="N26:P26"/>
    <mergeCell ref="N28:P28"/>
    <mergeCell ref="G25:G26"/>
    <mergeCell ref="H25:J25"/>
    <mergeCell ref="M25:M26"/>
    <mergeCell ref="N25:P25"/>
    <mergeCell ref="N29:P29"/>
    <mergeCell ref="N17:P17"/>
    <mergeCell ref="Z17:AB17"/>
    <mergeCell ref="AF17:AH17"/>
    <mergeCell ref="A16:A17"/>
    <mergeCell ref="G16:G17"/>
    <mergeCell ref="H16:J16"/>
    <mergeCell ref="M16:M17"/>
    <mergeCell ref="N16:P16"/>
    <mergeCell ref="Z23:AB23"/>
    <mergeCell ref="A25:A26"/>
    <mergeCell ref="B25:D25"/>
    <mergeCell ref="Z26:AB26"/>
    <mergeCell ref="AF26:AH26"/>
    <mergeCell ref="S25:S26"/>
    <mergeCell ref="Y25:Y26"/>
    <mergeCell ref="Z25:AB25"/>
    <mergeCell ref="A22:A23"/>
    <mergeCell ref="B22:D22"/>
    <mergeCell ref="G22:G23"/>
    <mergeCell ref="N22:P22"/>
    <mergeCell ref="T25:V25"/>
    <mergeCell ref="T26:V26"/>
    <mergeCell ref="AE25:AE26"/>
    <mergeCell ref="S13:S14"/>
    <mergeCell ref="Z13:AB13"/>
    <mergeCell ref="H14:J14"/>
    <mergeCell ref="N14:P14"/>
    <mergeCell ref="Z14:AB14"/>
    <mergeCell ref="G13:G14"/>
    <mergeCell ref="H13:J13"/>
    <mergeCell ref="M13:M14"/>
    <mergeCell ref="N13:P13"/>
    <mergeCell ref="T13:V13"/>
    <mergeCell ref="T14:V14"/>
    <mergeCell ref="Y13:Y14"/>
    <mergeCell ref="N8:P8"/>
    <mergeCell ref="Z8:AB8"/>
    <mergeCell ref="AE10:AE11"/>
    <mergeCell ref="AF10:AH10"/>
    <mergeCell ref="H11:J11"/>
    <mergeCell ref="N11:P11"/>
    <mergeCell ref="AF11:AH11"/>
    <mergeCell ref="G10:G11"/>
    <mergeCell ref="H10:J10"/>
    <mergeCell ref="M10:M11"/>
    <mergeCell ref="N10:P10"/>
    <mergeCell ref="G7:G8"/>
    <mergeCell ref="H7:J7"/>
    <mergeCell ref="M7:M8"/>
    <mergeCell ref="N7:P7"/>
    <mergeCell ref="S7:S8"/>
    <mergeCell ref="Y7:Y8"/>
    <mergeCell ref="Z7:AB7"/>
    <mergeCell ref="H8:J8"/>
    <mergeCell ref="T7:V7"/>
    <mergeCell ref="T8:V8"/>
    <mergeCell ref="AH1:AI1"/>
    <mergeCell ref="M2:U3"/>
    <mergeCell ref="V3:AF3"/>
    <mergeCell ref="Z4:AI4"/>
    <mergeCell ref="B5:D5"/>
    <mergeCell ref="H5:J5"/>
    <mergeCell ref="N5:P5"/>
    <mergeCell ref="T5:V5"/>
    <mergeCell ref="Z5:AB5"/>
    <mergeCell ref="AF5:AH5"/>
    <mergeCell ref="M1:R1"/>
    <mergeCell ref="S1:T1"/>
    <mergeCell ref="U1:V1"/>
    <mergeCell ref="W1:Y1"/>
    <mergeCell ref="Z1:AB1"/>
    <mergeCell ref="AC1:AG1"/>
    <mergeCell ref="A2:D2"/>
  </mergeCells>
  <conditionalFormatting sqref="B8:D8 B11:D11 B14:D14">
    <cfRule type="containsText" dxfId="29" priority="38" operator="containsText" text="OFFICE">
      <formula>NOT(ISERROR(SEARCH("OFFICE",B8)))</formula>
    </cfRule>
  </conditionalFormatting>
  <conditionalFormatting sqref="AM14:AQ14">
    <cfRule type="expression" dxfId="28" priority="27">
      <formula>(OR(AG3=9,AG3=8,AG3=7,AG3=6,AG3=5,AG3=4,AG3=3,AG3=2))</formula>
    </cfRule>
  </conditionalFormatting>
  <conditionalFormatting sqref="AM15:AQ15">
    <cfRule type="expression" dxfId="27" priority="26">
      <formula>(OR($AG$3=9,$AG$3=8,$AG$3=7,$AG$3=6,$AG$3=5,$AG$3=4,$AG$3=3,$AG$3=2))</formula>
    </cfRule>
  </conditionalFormatting>
  <conditionalFormatting sqref="AM17">
    <cfRule type="expression" dxfId="26" priority="25">
      <formula>(OR(AG3=9,AG3=8,AG3=7,AG3=6,AG3=5,AG3=4))</formula>
    </cfRule>
  </conditionalFormatting>
  <conditionalFormatting sqref="AM18">
    <cfRule type="expression" dxfId="25" priority="24">
      <formula>(OR(AG3=9,AG3=8,AG3=7,AG3=6,AG3=5))</formula>
    </cfRule>
  </conditionalFormatting>
  <conditionalFormatting sqref="AM19">
    <cfRule type="expression" dxfId="24" priority="23">
      <formula>(OR(AG3=9,AG3=8,AG3=7,AG3=6))</formula>
    </cfRule>
  </conditionalFormatting>
  <conditionalFormatting sqref="AM20">
    <cfRule type="expression" dxfId="23" priority="22">
      <formula>(OR(AG3=9,AG3=8,AG3=7))</formula>
    </cfRule>
  </conditionalFormatting>
  <conditionalFormatting sqref="AM21">
    <cfRule type="expression" dxfId="22" priority="21">
      <formula>(OR(AG3=9,AG3=8))</formula>
    </cfRule>
  </conditionalFormatting>
  <conditionalFormatting sqref="AM16:AQ16">
    <cfRule type="expression" dxfId="21" priority="20">
      <formula>-(OR(AG3=9,AG3=8,AG3=7,AG3=6,AG3=5,AG3=4,AG3=3))</formula>
    </cfRule>
  </conditionalFormatting>
  <conditionalFormatting sqref="AM14:AQ14">
    <cfRule type="expression" dxfId="20" priority="19">
      <formula>(OR(AG3=9,AG3=8,AG3=7,AG3=6,AG3=5,AG3=4,AG3=3,AG3=2))</formula>
    </cfRule>
  </conditionalFormatting>
  <conditionalFormatting sqref="AM15:AQ15">
    <cfRule type="expression" dxfId="19" priority="18">
      <formula>(OR($AG$3=9,$AG$3=8,$AG$3=7,$AG$3=6,$AG$3=5,$AG$3=4,$AG$3=3,$AG$3=2))</formula>
    </cfRule>
  </conditionalFormatting>
  <conditionalFormatting sqref="AM17">
    <cfRule type="expression" dxfId="18" priority="17">
      <formula>(OR(AG3=9,AG3=8,AG3=7,AG3=6,AG3=5,AG3=4))</formula>
    </cfRule>
  </conditionalFormatting>
  <conditionalFormatting sqref="AM18">
    <cfRule type="expression" dxfId="17" priority="16">
      <formula>(OR(AG3=9,AG3=8,AG3=7,AG3=6,AG3=5))</formula>
    </cfRule>
  </conditionalFormatting>
  <conditionalFormatting sqref="AM19">
    <cfRule type="expression" dxfId="16" priority="15">
      <formula>(OR(AG3=9,AG3=8,AG3=7,AG3=6))</formula>
    </cfRule>
  </conditionalFormatting>
  <conditionalFormatting sqref="AM20">
    <cfRule type="expression" dxfId="15" priority="14">
      <formula>(OR(AG3=9,AG3=8,AG3=7))</formula>
    </cfRule>
  </conditionalFormatting>
  <conditionalFormatting sqref="AM21">
    <cfRule type="expression" dxfId="14" priority="13">
      <formula>(OR(AG3=9,AG3=8))</formula>
    </cfRule>
  </conditionalFormatting>
  <conditionalFormatting sqref="Z7:AB14 Z19:AB26 AF10:AH11 AF19:AH20">
    <cfRule type="containsText" dxfId="13" priority="12" operator="containsText" text="OFFICE">
      <formula>NOT(ISERROR(SEARCH("OFFICE",Z7)))</formula>
    </cfRule>
  </conditionalFormatting>
  <conditionalFormatting sqref="AM16:AQ16">
    <cfRule type="expression" dxfId="12" priority="11">
      <formula>-(OR(AG3=9,AG3=8,AG3=7,AG3=6,AG3=5,AG3=4,AG3=3))</formula>
    </cfRule>
  </conditionalFormatting>
  <conditionalFormatting sqref="AF25:AH26">
    <cfRule type="containsText" dxfId="11" priority="10" operator="containsText" text="OFFICE">
      <formula>NOT(ISERROR(SEARCH("OFFICE",AF25)))</formula>
    </cfRule>
  </conditionalFormatting>
  <conditionalFormatting sqref="AK14:AK21">
    <cfRule type="expression" dxfId="10" priority="9">
      <formula>"SI(OU(AG3=9;AG3=8;AG3=7;AG3=6;AG3=5;AG3=4;AG3=3;AG3=2))"</formula>
    </cfRule>
  </conditionalFormatting>
  <conditionalFormatting sqref="AK14">
    <cfRule type="expression" dxfId="9" priority="8">
      <formula>(OR(AG3=9,AG3=8,AG3=7,AG3=6,AG3=5,AG3=4,AG3=3,AG3=2,AG3=1))</formula>
    </cfRule>
  </conditionalFormatting>
  <conditionalFormatting sqref="AK15">
    <cfRule type="expression" dxfId="8" priority="7">
      <formula>(OR(AG3=9,AG3=8,AG3=7,AG3=6,AG3=5,AG3=4,AG3=3,AG3=2))</formula>
    </cfRule>
  </conditionalFormatting>
  <conditionalFormatting sqref="AK16">
    <cfRule type="expression" dxfId="7" priority="6">
      <formula>(OR(AG3=9,AG3=8,AG3=7,AG3=6,AG3=5,AG3=4,AG3=3))</formula>
    </cfRule>
  </conditionalFormatting>
  <conditionalFormatting sqref="AK17">
    <cfRule type="expression" dxfId="6" priority="5">
      <formula>(OR(AG3=9,AG3=8,AG3=7,AG3=6,AG3=5,AG3=4))</formula>
    </cfRule>
  </conditionalFormatting>
  <conditionalFormatting sqref="AK18">
    <cfRule type="expression" dxfId="5" priority="4">
      <formula>(OR(AG3=9,AG3=8,AG3=7,AG3=6,AG3=5))</formula>
    </cfRule>
  </conditionalFormatting>
  <conditionalFormatting sqref="AK19">
    <cfRule type="expression" dxfId="4" priority="3">
      <formula>(OR(AG3=9,AG3=8,AG3=7,AG3=6))</formula>
    </cfRule>
  </conditionalFormatting>
  <conditionalFormatting sqref="AK20">
    <cfRule type="expression" dxfId="3" priority="2">
      <formula>(OR(AG3=9,AG3=8,AG3=7))</formula>
    </cfRule>
  </conditionalFormatting>
  <conditionalFormatting sqref="AK21">
    <cfRule type="expression" dxfId="2" priority="1">
      <formula>(OR(AG3=9,AG3=8))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80" zoomScaleNormal="80" zoomScaleSheetLayoutView="80" workbookViewId="0">
      <selection activeCell="Q45" sqref="Q45"/>
    </sheetView>
  </sheetViews>
  <sheetFormatPr baseColWidth="10" defaultRowHeight="15"/>
  <cols>
    <col min="1" max="1" width="5.140625" customWidth="1"/>
    <col min="2" max="2" width="5" customWidth="1"/>
    <col min="3" max="3" width="7.140625" customWidth="1"/>
    <col min="4" max="4" width="6.42578125" customWidth="1"/>
    <col min="5" max="5" width="6.28515625" customWidth="1"/>
    <col min="6" max="6" width="2.7109375" customWidth="1"/>
    <col min="7" max="7" width="5.85546875" customWidth="1"/>
    <col min="8" max="8" width="5.42578125" customWidth="1"/>
    <col min="9" max="9" width="5.5703125" customWidth="1"/>
    <col min="10" max="10" width="6.42578125" customWidth="1"/>
    <col min="11" max="11" width="7.42578125" customWidth="1"/>
    <col min="12" max="12" width="3.28515625" customWidth="1"/>
    <col min="13" max="13" width="6.7109375" customWidth="1"/>
    <col min="14" max="14" width="7.140625" customWidth="1"/>
    <col min="15" max="15" width="6" customWidth="1"/>
    <col min="16" max="16" width="6.42578125" customWidth="1"/>
    <col min="17" max="17" width="7.7109375" customWidth="1"/>
    <col min="18" max="18" width="2.85546875" customWidth="1"/>
    <col min="19" max="19" width="6.42578125" customWidth="1"/>
    <col min="20" max="20" width="6.5703125" customWidth="1"/>
    <col min="21" max="21" width="6.7109375" customWidth="1"/>
    <col min="22" max="22" width="5.85546875" customWidth="1"/>
    <col min="23" max="23" width="7.140625" customWidth="1"/>
  </cols>
  <sheetData>
    <row r="1" spans="1:23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3" ht="19.5" thickBot="1">
      <c r="A2" s="113"/>
      <c r="B2" s="944" t="s">
        <v>15</v>
      </c>
      <c r="C2" s="945"/>
      <c r="D2" s="946"/>
      <c r="E2" s="113"/>
      <c r="F2" s="113"/>
      <c r="G2" s="113"/>
      <c r="H2" s="944" t="s">
        <v>15</v>
      </c>
      <c r="I2" s="945"/>
      <c r="J2" s="946"/>
      <c r="K2" s="113"/>
      <c r="L2" s="113"/>
      <c r="M2" s="113"/>
      <c r="N2" s="947" t="s">
        <v>8</v>
      </c>
      <c r="O2" s="948"/>
      <c r="P2" s="949"/>
      <c r="Q2" s="113"/>
      <c r="R2" s="114"/>
      <c r="S2" s="113"/>
      <c r="T2" s="950" t="s">
        <v>9</v>
      </c>
      <c r="U2" s="951"/>
      <c r="V2" s="952"/>
      <c r="W2" s="113"/>
    </row>
    <row r="3" spans="1:23" ht="15.75" thickBot="1">
      <c r="A3" s="5" t="s">
        <v>6</v>
      </c>
      <c r="B3" s="3"/>
      <c r="C3" s="15" t="s">
        <v>16</v>
      </c>
      <c r="D3" s="3"/>
      <c r="E3" s="5" t="s">
        <v>5</v>
      </c>
      <c r="F3" s="5"/>
      <c r="G3" s="5" t="s">
        <v>6</v>
      </c>
      <c r="H3" s="3"/>
      <c r="I3" s="15" t="s">
        <v>17</v>
      </c>
      <c r="J3" s="3"/>
      <c r="K3" s="5" t="s">
        <v>5</v>
      </c>
      <c r="L3" s="5"/>
      <c r="M3" s="5" t="s">
        <v>6</v>
      </c>
      <c r="N3" s="3"/>
      <c r="O3" s="15" t="s">
        <v>16</v>
      </c>
      <c r="P3" s="3"/>
      <c r="Q3" s="5" t="s">
        <v>5</v>
      </c>
      <c r="S3" s="5" t="s">
        <v>6</v>
      </c>
      <c r="T3" s="3"/>
      <c r="U3" s="15" t="s">
        <v>16</v>
      </c>
      <c r="V3" s="3"/>
      <c r="W3" s="5" t="s">
        <v>5</v>
      </c>
    </row>
    <row r="4" spans="1:23" ht="15.75" thickBot="1">
      <c r="A4" s="925"/>
      <c r="B4" s="119"/>
      <c r="C4" s="120"/>
      <c r="D4" s="121"/>
      <c r="E4" s="24"/>
      <c r="F4" s="116"/>
      <c r="G4" s="929"/>
      <c r="H4" s="939"/>
      <c r="I4" s="927"/>
      <c r="J4" s="928"/>
      <c r="K4" s="24"/>
      <c r="L4" s="116"/>
      <c r="M4" s="929"/>
      <c r="N4" s="939"/>
      <c r="O4" s="927"/>
      <c r="P4" s="928"/>
      <c r="Q4" s="24"/>
      <c r="R4" s="44"/>
      <c r="S4" s="929"/>
      <c r="T4" s="953"/>
      <c r="U4" s="953"/>
      <c r="V4" s="954"/>
      <c r="W4" s="2"/>
    </row>
    <row r="5" spans="1:23" ht="15.75" thickBot="1">
      <c r="A5" s="926"/>
      <c r="B5" s="118"/>
      <c r="C5" s="122"/>
      <c r="D5" s="123"/>
      <c r="E5" s="24"/>
      <c r="F5" s="116"/>
      <c r="G5" s="930"/>
      <c r="H5" s="933"/>
      <c r="I5" s="933"/>
      <c r="J5" s="934"/>
      <c r="K5" s="26"/>
      <c r="L5" s="116"/>
      <c r="M5" s="930"/>
      <c r="N5" s="938"/>
      <c r="O5" s="933"/>
      <c r="P5" s="934"/>
      <c r="Q5" s="26"/>
      <c r="R5" s="44"/>
      <c r="S5" s="930"/>
      <c r="T5" s="935"/>
      <c r="U5" s="936"/>
      <c r="V5" s="937"/>
      <c r="W5" s="115"/>
    </row>
    <row r="6" spans="1:23" ht="15.75" thickBot="1">
      <c r="A6" s="1"/>
      <c r="B6" s="45"/>
      <c r="C6" s="46" t="s">
        <v>64</v>
      </c>
      <c r="D6" s="45"/>
      <c r="E6" s="25"/>
      <c r="F6" s="10"/>
      <c r="G6" s="25"/>
      <c r="H6" s="45"/>
      <c r="I6" s="46" t="s">
        <v>55</v>
      </c>
      <c r="J6" s="45"/>
      <c r="K6" s="25"/>
      <c r="L6" s="10"/>
      <c r="M6" s="25"/>
      <c r="N6" s="124"/>
      <c r="O6" s="46" t="s">
        <v>17</v>
      </c>
      <c r="P6" s="45"/>
      <c r="Q6" s="25"/>
      <c r="R6" s="44"/>
      <c r="S6" s="25"/>
      <c r="T6" s="45"/>
      <c r="U6" s="45"/>
      <c r="V6" s="45"/>
      <c r="W6" s="1"/>
    </row>
    <row r="7" spans="1:23" ht="15.75" thickBot="1">
      <c r="A7" s="925"/>
      <c r="B7" s="119"/>
      <c r="C7" s="120"/>
      <c r="D7" s="121"/>
      <c r="E7" s="24"/>
      <c r="F7" s="116"/>
      <c r="G7" s="929"/>
      <c r="H7" s="927"/>
      <c r="I7" s="927"/>
      <c r="J7" s="928"/>
      <c r="K7" s="24"/>
      <c r="L7" s="116"/>
      <c r="M7" s="929"/>
      <c r="N7" s="927"/>
      <c r="O7" s="927"/>
      <c r="P7" s="928"/>
      <c r="Q7" s="24"/>
      <c r="R7" s="44"/>
      <c r="S7" s="25"/>
      <c r="T7" s="45"/>
      <c r="U7" s="45"/>
      <c r="V7" s="45"/>
      <c r="W7" s="1"/>
    </row>
    <row r="8" spans="1:23" ht="15.75" thickBot="1">
      <c r="A8" s="926"/>
      <c r="B8" s="125"/>
      <c r="C8" s="122"/>
      <c r="D8" s="123"/>
      <c r="E8" s="24"/>
      <c r="F8" s="116"/>
      <c r="G8" s="930"/>
      <c r="H8" s="933"/>
      <c r="I8" s="933"/>
      <c r="J8" s="934"/>
      <c r="K8" s="26"/>
      <c r="L8" s="116"/>
      <c r="M8" s="930"/>
      <c r="N8" s="933"/>
      <c r="O8" s="933"/>
      <c r="P8" s="934"/>
      <c r="Q8" s="26"/>
      <c r="R8" s="44"/>
      <c r="S8" s="25"/>
      <c r="T8" s="45"/>
      <c r="U8" s="45"/>
      <c r="V8" s="45"/>
      <c r="W8" s="1"/>
    </row>
    <row r="9" spans="1:23" ht="15.75" thickBot="1">
      <c r="A9" s="1"/>
      <c r="B9" s="45"/>
      <c r="C9" s="46" t="s">
        <v>56</v>
      </c>
      <c r="D9" s="45"/>
      <c r="E9" s="25"/>
      <c r="F9" s="10"/>
      <c r="G9" s="25"/>
      <c r="H9" s="45"/>
      <c r="I9" s="46" t="s">
        <v>65</v>
      </c>
      <c r="J9" s="45"/>
      <c r="K9" s="25"/>
      <c r="L9" s="10"/>
      <c r="M9" s="25"/>
      <c r="N9" s="45"/>
      <c r="O9" s="46" t="s">
        <v>64</v>
      </c>
      <c r="P9" s="45"/>
      <c r="Q9" s="25"/>
      <c r="R9" s="44"/>
      <c r="S9" s="25"/>
      <c r="T9" s="45"/>
      <c r="U9" s="46" t="s">
        <v>17</v>
      </c>
      <c r="V9" s="45"/>
      <c r="W9" s="1"/>
    </row>
    <row r="10" spans="1:23" ht="15.75" thickBot="1">
      <c r="A10" s="925"/>
      <c r="B10" s="119"/>
      <c r="C10" s="120"/>
      <c r="D10" s="121"/>
      <c r="E10" s="24"/>
      <c r="F10" s="116"/>
      <c r="G10" s="929"/>
      <c r="H10" s="941"/>
      <c r="I10" s="942"/>
      <c r="J10" s="943"/>
      <c r="K10" s="24"/>
      <c r="L10" s="116"/>
      <c r="M10" s="929"/>
      <c r="N10" s="927"/>
      <c r="O10" s="927"/>
      <c r="P10" s="928"/>
      <c r="Q10" s="24"/>
      <c r="R10" s="44"/>
      <c r="S10" s="929"/>
      <c r="T10" s="935"/>
      <c r="U10" s="936"/>
      <c r="V10" s="937"/>
      <c r="W10" s="2"/>
    </row>
    <row r="11" spans="1:23" ht="15.75" thickBot="1">
      <c r="A11" s="926"/>
      <c r="B11" s="126"/>
      <c r="C11" s="122"/>
      <c r="D11" s="123"/>
      <c r="E11" s="26"/>
      <c r="F11" s="116"/>
      <c r="G11" s="930"/>
      <c r="H11" s="940"/>
      <c r="I11" s="933"/>
      <c r="J11" s="934"/>
      <c r="K11" s="26"/>
      <c r="L11" s="116"/>
      <c r="M11" s="930"/>
      <c r="N11" s="940"/>
      <c r="O11" s="933"/>
      <c r="P11" s="934"/>
      <c r="Q11" s="26"/>
      <c r="R11" s="44"/>
      <c r="S11" s="930"/>
      <c r="T11" s="935"/>
      <c r="U11" s="936"/>
      <c r="V11" s="937"/>
      <c r="W11" s="115"/>
    </row>
    <row r="12" spans="1:23" ht="15.75" thickBot="1">
      <c r="A12" s="1"/>
      <c r="B12" s="127"/>
      <c r="C12" s="46" t="s">
        <v>66</v>
      </c>
      <c r="D12" s="127"/>
      <c r="E12" s="25"/>
      <c r="F12" s="10"/>
      <c r="G12" s="25"/>
      <c r="H12" s="45"/>
      <c r="I12" s="46" t="s">
        <v>67</v>
      </c>
      <c r="J12" s="45"/>
      <c r="K12" s="25"/>
      <c r="L12" s="10"/>
      <c r="M12" s="25"/>
      <c r="N12" s="45"/>
      <c r="O12" s="46" t="s">
        <v>55</v>
      </c>
      <c r="P12" s="45"/>
      <c r="Q12" s="25"/>
      <c r="R12" s="44"/>
      <c r="S12" s="45"/>
      <c r="T12" s="45"/>
      <c r="U12" s="45"/>
      <c r="V12" s="45"/>
      <c r="W12" s="3"/>
    </row>
    <row r="13" spans="1:23" ht="15.75" thickBot="1">
      <c r="A13" s="925"/>
      <c r="B13" s="119"/>
      <c r="C13" s="120"/>
      <c r="D13" s="121"/>
      <c r="E13" s="24"/>
      <c r="F13" s="116"/>
      <c r="G13" s="929"/>
      <c r="H13" s="931"/>
      <c r="I13" s="927"/>
      <c r="J13" s="928"/>
      <c r="K13" s="24"/>
      <c r="L13" s="116"/>
      <c r="M13" s="929"/>
      <c r="N13" s="927"/>
      <c r="O13" s="927"/>
      <c r="P13" s="928"/>
      <c r="Q13" s="24"/>
      <c r="R13" s="44"/>
      <c r="S13" s="45"/>
      <c r="T13" s="45"/>
      <c r="U13" s="45"/>
      <c r="V13" s="45"/>
      <c r="W13" s="3"/>
    </row>
    <row r="14" spans="1:23" ht="15.75" thickBot="1">
      <c r="A14" s="926"/>
      <c r="B14" s="126"/>
      <c r="C14" s="122"/>
      <c r="D14" s="123"/>
      <c r="E14" s="26"/>
      <c r="F14" s="116"/>
      <c r="G14" s="930"/>
      <c r="H14" s="933"/>
      <c r="I14" s="933"/>
      <c r="J14" s="934"/>
      <c r="K14" s="26"/>
      <c r="L14" s="116"/>
      <c r="M14" s="930"/>
      <c r="N14" s="938"/>
      <c r="O14" s="933"/>
      <c r="P14" s="934"/>
      <c r="Q14" s="26"/>
      <c r="R14" s="44"/>
      <c r="S14" s="45"/>
      <c r="T14" s="45"/>
      <c r="U14" s="45"/>
      <c r="V14" s="45"/>
      <c r="W14" s="3"/>
    </row>
    <row r="15" spans="1:23" ht="15.75" thickBot="1">
      <c r="A15" s="1"/>
      <c r="B15" s="45"/>
      <c r="C15" s="46" t="s">
        <v>68</v>
      </c>
      <c r="D15" s="45"/>
      <c r="E15" s="25"/>
      <c r="F15" s="10"/>
      <c r="G15" s="25"/>
      <c r="H15" s="45"/>
      <c r="I15" s="46" t="s">
        <v>69</v>
      </c>
      <c r="J15" s="45"/>
      <c r="K15" s="25"/>
      <c r="L15" s="10"/>
      <c r="M15" s="25"/>
      <c r="N15" s="45"/>
      <c r="O15" s="46" t="s">
        <v>56</v>
      </c>
      <c r="P15" s="45"/>
      <c r="Q15" s="25"/>
      <c r="R15" s="44"/>
      <c r="S15" s="128" t="s">
        <v>6</v>
      </c>
      <c r="T15" s="45"/>
      <c r="U15" s="46" t="s">
        <v>64</v>
      </c>
      <c r="V15" s="45"/>
      <c r="W15" s="5" t="s">
        <v>5</v>
      </c>
    </row>
    <row r="16" spans="1:23" ht="15.75" thickBot="1">
      <c r="A16" s="925"/>
      <c r="B16" s="939"/>
      <c r="C16" s="927"/>
      <c r="D16" s="928"/>
      <c r="E16" s="24"/>
      <c r="F16" s="116"/>
      <c r="G16" s="929"/>
      <c r="H16" s="927"/>
      <c r="I16" s="927"/>
      <c r="J16" s="928"/>
      <c r="K16" s="24"/>
      <c r="L16" s="116"/>
      <c r="M16" s="929"/>
      <c r="N16" s="927"/>
      <c r="O16" s="927"/>
      <c r="P16" s="928"/>
      <c r="Q16" s="24"/>
      <c r="R16" s="44"/>
      <c r="S16" s="929"/>
      <c r="T16" s="935"/>
      <c r="U16" s="936"/>
      <c r="V16" s="937"/>
      <c r="W16" s="2"/>
    </row>
    <row r="17" spans="1:23" ht="15.75" thickBot="1">
      <c r="A17" s="926"/>
      <c r="B17" s="933"/>
      <c r="C17" s="933"/>
      <c r="D17" s="934"/>
      <c r="E17" s="26"/>
      <c r="F17" s="116"/>
      <c r="G17" s="930"/>
      <c r="H17" s="933"/>
      <c r="I17" s="933"/>
      <c r="J17" s="934"/>
      <c r="K17" s="26"/>
      <c r="L17" s="116"/>
      <c r="M17" s="930"/>
      <c r="N17" s="938"/>
      <c r="O17" s="933"/>
      <c r="P17" s="934"/>
      <c r="Q17" s="26"/>
      <c r="R17" s="44"/>
      <c r="S17" s="930"/>
      <c r="T17" s="935"/>
      <c r="U17" s="936"/>
      <c r="V17" s="937"/>
      <c r="W17" s="115"/>
    </row>
    <row r="18" spans="1:23" ht="15.75" thickBot="1">
      <c r="A18" s="1"/>
      <c r="B18" s="45"/>
      <c r="C18" s="46" t="s">
        <v>70</v>
      </c>
      <c r="D18" s="45"/>
      <c r="E18" s="25"/>
      <c r="F18" s="10"/>
      <c r="G18" s="25"/>
      <c r="H18" s="45"/>
      <c r="I18" s="46" t="s">
        <v>71</v>
      </c>
      <c r="J18" s="45"/>
      <c r="K18" s="25"/>
      <c r="L18" s="10"/>
      <c r="M18" s="25"/>
      <c r="N18" s="45"/>
      <c r="O18" s="46" t="s">
        <v>65</v>
      </c>
      <c r="P18" s="45"/>
      <c r="Q18" s="25"/>
      <c r="R18" s="44"/>
      <c r="S18" s="25"/>
      <c r="T18" s="45"/>
      <c r="U18" s="45"/>
      <c r="V18" s="45"/>
      <c r="W18" s="1"/>
    </row>
    <row r="19" spans="1:23" ht="15.75" thickBot="1">
      <c r="A19" s="925"/>
      <c r="B19" s="927"/>
      <c r="C19" s="927"/>
      <c r="D19" s="928"/>
      <c r="E19" s="24"/>
      <c r="F19" s="116"/>
      <c r="G19" s="929"/>
      <c r="H19" s="927"/>
      <c r="I19" s="927"/>
      <c r="J19" s="928"/>
      <c r="K19" s="24"/>
      <c r="L19" s="116"/>
      <c r="M19" s="929"/>
      <c r="N19" s="931"/>
      <c r="O19" s="927"/>
      <c r="P19" s="928"/>
      <c r="Q19" s="24"/>
      <c r="R19" s="44"/>
      <c r="S19" s="25"/>
      <c r="T19" s="45"/>
      <c r="U19" s="45"/>
      <c r="V19" s="45"/>
      <c r="W19" s="1"/>
    </row>
    <row r="20" spans="1:23" ht="15.75" thickBot="1">
      <c r="A20" s="926"/>
      <c r="B20" s="933"/>
      <c r="C20" s="933"/>
      <c r="D20" s="934"/>
      <c r="E20" s="26"/>
      <c r="F20" s="116"/>
      <c r="G20" s="930"/>
      <c r="H20" s="933"/>
      <c r="I20" s="933"/>
      <c r="J20" s="934"/>
      <c r="K20" s="26"/>
      <c r="L20" s="116"/>
      <c r="M20" s="930"/>
      <c r="N20" s="933"/>
      <c r="O20" s="933"/>
      <c r="P20" s="934"/>
      <c r="Q20" s="26"/>
      <c r="R20" s="44"/>
      <c r="S20" s="25"/>
      <c r="T20" s="45"/>
      <c r="U20" s="45"/>
      <c r="V20" s="45"/>
      <c r="W20" s="1"/>
    </row>
    <row r="21" spans="1:23" ht="15.75" thickBot="1">
      <c r="A21" s="1"/>
      <c r="B21" s="45"/>
      <c r="C21" s="46" t="s">
        <v>72</v>
      </c>
      <c r="D21" s="45"/>
      <c r="E21" s="25"/>
      <c r="F21" s="10"/>
      <c r="G21" s="25"/>
      <c r="H21" s="45"/>
      <c r="I21" s="46" t="s">
        <v>73</v>
      </c>
      <c r="J21" s="45"/>
      <c r="K21" s="25"/>
      <c r="L21" s="10"/>
      <c r="M21" s="25"/>
      <c r="N21" s="45"/>
      <c r="O21" s="46" t="s">
        <v>66</v>
      </c>
      <c r="P21" s="45"/>
      <c r="Q21" s="25"/>
      <c r="R21" s="44"/>
      <c r="S21" s="25"/>
      <c r="T21" s="45"/>
      <c r="U21" s="46" t="s">
        <v>55</v>
      </c>
      <c r="V21" s="45"/>
      <c r="W21" s="1"/>
    </row>
    <row r="22" spans="1:23" ht="15.75" thickBot="1">
      <c r="A22" s="925"/>
      <c r="B22" s="927"/>
      <c r="C22" s="927"/>
      <c r="D22" s="928"/>
      <c r="E22" s="24"/>
      <c r="F22" s="116"/>
      <c r="G22" s="929"/>
      <c r="H22" s="927"/>
      <c r="I22" s="927"/>
      <c r="J22" s="928"/>
      <c r="K22" s="24"/>
      <c r="L22" s="116"/>
      <c r="M22" s="929"/>
      <c r="N22" s="931"/>
      <c r="O22" s="927"/>
      <c r="P22" s="928"/>
      <c r="Q22" s="24"/>
      <c r="R22" s="44"/>
      <c r="S22" s="929"/>
      <c r="T22" s="935"/>
      <c r="U22" s="936"/>
      <c r="V22" s="937"/>
      <c r="W22" s="2"/>
    </row>
    <row r="23" spans="1:23" ht="15.75" thickBot="1">
      <c r="A23" s="926"/>
      <c r="B23" s="933"/>
      <c r="C23" s="933"/>
      <c r="D23" s="934"/>
      <c r="E23" s="26"/>
      <c r="F23" s="116"/>
      <c r="G23" s="930"/>
      <c r="H23" s="933"/>
      <c r="I23" s="933"/>
      <c r="J23" s="934"/>
      <c r="K23" s="26"/>
      <c r="L23" s="116"/>
      <c r="M23" s="930"/>
      <c r="N23" s="933"/>
      <c r="O23" s="933"/>
      <c r="P23" s="934"/>
      <c r="Q23" s="26"/>
      <c r="R23" s="44"/>
      <c r="S23" s="930"/>
      <c r="T23" s="935"/>
      <c r="U23" s="936"/>
      <c r="V23" s="937"/>
      <c r="W23" s="115"/>
    </row>
    <row r="24" spans="1:23" ht="19.5" thickBot="1">
      <c r="A24" s="1"/>
      <c r="B24" s="45"/>
      <c r="C24" s="46" t="s">
        <v>74</v>
      </c>
      <c r="D24" s="45"/>
      <c r="E24" s="25"/>
      <c r="F24" s="10"/>
      <c r="G24" s="25"/>
      <c r="H24" s="45"/>
      <c r="I24" s="46" t="s">
        <v>75</v>
      </c>
      <c r="J24" s="45"/>
      <c r="K24" s="25"/>
      <c r="L24" s="10"/>
      <c r="M24" s="25"/>
      <c r="N24" s="45"/>
      <c r="O24" s="46" t="s">
        <v>67</v>
      </c>
      <c r="P24" s="45"/>
      <c r="Q24" s="25"/>
      <c r="R24" s="129"/>
      <c r="S24" s="45"/>
      <c r="T24" s="45"/>
      <c r="U24" s="45"/>
      <c r="V24" s="45"/>
      <c r="W24" s="3"/>
    </row>
    <row r="25" spans="1:23" ht="15.75" thickBot="1">
      <c r="A25" s="925"/>
      <c r="B25" s="927"/>
      <c r="C25" s="927"/>
      <c r="D25" s="928"/>
      <c r="E25" s="24"/>
      <c r="F25" s="116"/>
      <c r="G25" s="929"/>
      <c r="H25" s="927"/>
      <c r="I25" s="927"/>
      <c r="J25" s="928"/>
      <c r="K25" s="24"/>
      <c r="L25" s="116"/>
      <c r="M25" s="929"/>
      <c r="N25" s="931"/>
      <c r="O25" s="927"/>
      <c r="P25" s="928"/>
      <c r="Q25" s="24"/>
      <c r="R25" s="44"/>
      <c r="S25" s="45"/>
      <c r="T25" s="45"/>
      <c r="U25" s="45"/>
      <c r="V25" s="45"/>
      <c r="W25" s="3"/>
    </row>
    <row r="26" spans="1:23" ht="15.75" thickBot="1">
      <c r="A26" s="926"/>
      <c r="B26" s="932"/>
      <c r="C26" s="933"/>
      <c r="D26" s="934"/>
      <c r="E26" s="26"/>
      <c r="F26" s="116"/>
      <c r="G26" s="930"/>
      <c r="H26" s="932"/>
      <c r="I26" s="933"/>
      <c r="J26" s="934"/>
      <c r="K26" s="26"/>
      <c r="L26" s="116"/>
      <c r="M26" s="930"/>
      <c r="N26" s="932"/>
      <c r="O26" s="933"/>
      <c r="P26" s="934"/>
      <c r="Q26" s="26"/>
      <c r="R26" s="44"/>
      <c r="S26" s="45"/>
      <c r="T26" s="45"/>
      <c r="U26" s="45"/>
      <c r="V26" s="45"/>
      <c r="W26" s="3"/>
    </row>
  </sheetData>
  <mergeCells count="80">
    <mergeCell ref="B2:D2"/>
    <mergeCell ref="H2:J2"/>
    <mergeCell ref="N2:P2"/>
    <mergeCell ref="T2:V2"/>
    <mergeCell ref="A4:A5"/>
    <mergeCell ref="G4:G5"/>
    <mergeCell ref="H4:J4"/>
    <mergeCell ref="M4:M5"/>
    <mergeCell ref="N4:P4"/>
    <mergeCell ref="S4:S5"/>
    <mergeCell ref="T4:V4"/>
    <mergeCell ref="H5:J5"/>
    <mergeCell ref="N5:P5"/>
    <mergeCell ref="T5:V5"/>
    <mergeCell ref="A7:A8"/>
    <mergeCell ref="G7:G8"/>
    <mergeCell ref="H7:J7"/>
    <mergeCell ref="M7:M8"/>
    <mergeCell ref="N7:P7"/>
    <mergeCell ref="H8:J8"/>
    <mergeCell ref="N8:P8"/>
    <mergeCell ref="A10:A11"/>
    <mergeCell ref="G10:G11"/>
    <mergeCell ref="H10:J10"/>
    <mergeCell ref="M10:M11"/>
    <mergeCell ref="N10:P10"/>
    <mergeCell ref="S10:S11"/>
    <mergeCell ref="T10:V10"/>
    <mergeCell ref="H11:J11"/>
    <mergeCell ref="N11:P11"/>
    <mergeCell ref="T11:V11"/>
    <mergeCell ref="H14:J14"/>
    <mergeCell ref="N14:P14"/>
    <mergeCell ref="A16:A17"/>
    <mergeCell ref="B16:D16"/>
    <mergeCell ref="G16:G17"/>
    <mergeCell ref="H16:J16"/>
    <mergeCell ref="M16:M17"/>
    <mergeCell ref="N16:P16"/>
    <mergeCell ref="A13:A14"/>
    <mergeCell ref="G13:G14"/>
    <mergeCell ref="H13:J13"/>
    <mergeCell ref="M13:M14"/>
    <mergeCell ref="N13:P13"/>
    <mergeCell ref="T16:V16"/>
    <mergeCell ref="B17:D17"/>
    <mergeCell ref="H17:J17"/>
    <mergeCell ref="N17:P17"/>
    <mergeCell ref="T17:V17"/>
    <mergeCell ref="N19:P19"/>
    <mergeCell ref="B20:D20"/>
    <mergeCell ref="H20:J20"/>
    <mergeCell ref="N20:P20"/>
    <mergeCell ref="S16:S17"/>
    <mergeCell ref="A19:A20"/>
    <mergeCell ref="B19:D19"/>
    <mergeCell ref="G19:G20"/>
    <mergeCell ref="H19:J19"/>
    <mergeCell ref="M19:M20"/>
    <mergeCell ref="A22:A23"/>
    <mergeCell ref="B22:D22"/>
    <mergeCell ref="G22:G23"/>
    <mergeCell ref="H22:J22"/>
    <mergeCell ref="M22:M23"/>
    <mergeCell ref="T22:V22"/>
    <mergeCell ref="B23:D23"/>
    <mergeCell ref="H23:J23"/>
    <mergeCell ref="N23:P23"/>
    <mergeCell ref="T23:V23"/>
    <mergeCell ref="N22:P22"/>
    <mergeCell ref="N25:P25"/>
    <mergeCell ref="B26:D26"/>
    <mergeCell ref="H26:J26"/>
    <mergeCell ref="N26:P26"/>
    <mergeCell ref="S22:S23"/>
    <mergeCell ref="A25:A26"/>
    <mergeCell ref="B25:D25"/>
    <mergeCell ref="G25:G26"/>
    <mergeCell ref="H25:J25"/>
    <mergeCell ref="M25:M26"/>
  </mergeCells>
  <pageMargins left="0.21" right="0.19" top="0.74803149606299213" bottom="0.61" header="0.2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/>
  <dimension ref="A3:Q26"/>
  <sheetViews>
    <sheetView view="pageBreakPreview" zoomScale="60" workbookViewId="0">
      <selection activeCell="D13" sqref="D13"/>
    </sheetView>
  </sheetViews>
  <sheetFormatPr baseColWidth="10" defaultRowHeight="15"/>
  <cols>
    <col min="4" max="4" width="61.140625" customWidth="1"/>
  </cols>
  <sheetData>
    <row r="3" spans="1:17" ht="69" customHeight="1">
      <c r="A3" s="955" t="s">
        <v>157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</row>
    <row r="11" spans="1:17">
      <c r="Q11" s="226"/>
    </row>
    <row r="20" spans="1:5" ht="16.5" thickBot="1">
      <c r="A20" s="175" t="s">
        <v>170</v>
      </c>
      <c r="B20" s="175" t="s">
        <v>90</v>
      </c>
      <c r="C20" s="175"/>
      <c r="D20" s="176" t="s">
        <v>171</v>
      </c>
    </row>
    <row r="21" spans="1:5" ht="60.75" customHeight="1" thickTop="1">
      <c r="A21" s="541">
        <v>1</v>
      </c>
      <c r="B21" s="956">
        <v>4</v>
      </c>
      <c r="C21" s="212"/>
      <c r="D21" s="225" t="s">
        <v>180</v>
      </c>
    </row>
    <row r="22" spans="1:5" ht="77.25" customHeight="1" thickBot="1">
      <c r="A22" s="542"/>
      <c r="B22" s="957"/>
      <c r="C22" s="213"/>
      <c r="D22" s="224" t="s">
        <v>179</v>
      </c>
    </row>
    <row r="23" spans="1:5" ht="36.75" customHeight="1">
      <c r="A23" s="542"/>
      <c r="B23" s="958">
        <v>5</v>
      </c>
      <c r="C23" s="214"/>
      <c r="D23" s="227" t="s">
        <v>181</v>
      </c>
    </row>
    <row r="24" spans="1:5" ht="31.5" customHeight="1" thickBot="1">
      <c r="A24" s="542"/>
      <c r="B24" s="959"/>
      <c r="C24" s="215"/>
      <c r="D24" s="228" t="s">
        <v>182</v>
      </c>
      <c r="E24">
        <v>63</v>
      </c>
    </row>
    <row r="25" spans="1:5" ht="48" thickBot="1">
      <c r="A25" s="543"/>
      <c r="B25" s="221" t="s">
        <v>178</v>
      </c>
      <c r="C25" s="222" t="s">
        <v>56</v>
      </c>
      <c r="D25" s="223" t="s">
        <v>183</v>
      </c>
    </row>
    <row r="26" spans="1:5" ht="15.75" thickTop="1"/>
  </sheetData>
  <mergeCells count="4">
    <mergeCell ref="A3:L3"/>
    <mergeCell ref="A21:A25"/>
    <mergeCell ref="B21:B22"/>
    <mergeCell ref="B23:B24"/>
  </mergeCells>
  <conditionalFormatting sqref="D21:D25">
    <cfRule type="containsText" dxfId="1" priority="1" operator="containsText" text="résultat">
      <formula>NOT(ISERROR(SEARCH("résultat",D21)))</formula>
    </cfRule>
    <cfRule type="containsText" dxfId="0" priority="2" operator="containsText" text="OFFICE">
      <formula>NOT(ISERROR(SEARCH("OFFICE",D21)))</formula>
    </cfRule>
  </conditionalFormatting>
  <pageMargins left="0.33" right="0.2" top="0.45" bottom="0.74803149606299213" header="0.25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selection activeCell="P17" sqref="P17"/>
    </sheetView>
  </sheetViews>
  <sheetFormatPr baseColWidth="10" defaultRowHeight="15"/>
  <cols>
    <col min="7" max="7" width="2.5703125" customWidth="1"/>
  </cols>
  <sheetData>
    <row r="1" spans="1:13" ht="36" customHeight="1" thickBot="1">
      <c r="B1" s="972" t="s">
        <v>358</v>
      </c>
      <c r="C1" s="973"/>
      <c r="D1" s="973"/>
      <c r="E1" s="973"/>
      <c r="F1" s="974"/>
      <c r="G1" s="975" t="s">
        <v>361</v>
      </c>
      <c r="H1" s="976"/>
      <c r="I1" s="976"/>
      <c r="J1" s="977"/>
    </row>
    <row r="2" spans="1:13" ht="20.25">
      <c r="B2" s="363"/>
      <c r="C2" s="363"/>
      <c r="D2" s="363"/>
      <c r="E2" s="363"/>
      <c r="F2" s="363"/>
    </row>
    <row r="3" spans="1:13" ht="15.75">
      <c r="A3" s="94">
        <v>970</v>
      </c>
      <c r="B3" s="94">
        <v>935</v>
      </c>
      <c r="C3" s="94">
        <v>895</v>
      </c>
      <c r="D3" s="94">
        <v>855</v>
      </c>
      <c r="E3" s="94">
        <v>815</v>
      </c>
      <c r="F3" s="94">
        <v>805</v>
      </c>
      <c r="H3" s="180">
        <v>970</v>
      </c>
      <c r="I3" s="180">
        <v>935</v>
      </c>
      <c r="J3" s="180">
        <v>895</v>
      </c>
      <c r="K3" s="180">
        <v>855</v>
      </c>
      <c r="L3" s="94">
        <v>815</v>
      </c>
      <c r="M3" s="94">
        <v>805</v>
      </c>
    </row>
    <row r="4" spans="1:13">
      <c r="A4" s="964" t="s">
        <v>257</v>
      </c>
      <c r="B4" s="964"/>
      <c r="C4" s="964"/>
      <c r="D4" s="964"/>
      <c r="E4" s="964"/>
      <c r="F4" s="978"/>
      <c r="H4" s="966" t="s">
        <v>282</v>
      </c>
      <c r="I4" s="966"/>
      <c r="J4" s="966"/>
      <c r="K4" s="966"/>
      <c r="L4" s="966"/>
      <c r="M4" s="967"/>
    </row>
    <row r="5" spans="1:13">
      <c r="A5" s="970" t="s">
        <v>258</v>
      </c>
      <c r="B5" s="970"/>
      <c r="C5" s="970"/>
      <c r="D5" s="970"/>
      <c r="E5" s="970"/>
      <c r="F5" s="971"/>
      <c r="H5" s="960" t="s">
        <v>307</v>
      </c>
      <c r="I5" s="960"/>
      <c r="J5" s="960"/>
      <c r="K5" s="960"/>
      <c r="L5" s="960"/>
      <c r="M5" s="961"/>
    </row>
    <row r="6" spans="1:13">
      <c r="A6" s="966" t="s">
        <v>264</v>
      </c>
      <c r="B6" s="966"/>
      <c r="C6" s="966"/>
      <c r="D6" s="966"/>
      <c r="E6" s="966"/>
      <c r="F6" s="967"/>
      <c r="H6" s="966" t="s">
        <v>283</v>
      </c>
      <c r="I6" s="966"/>
      <c r="J6" s="966"/>
      <c r="K6" s="966"/>
      <c r="L6" s="966"/>
      <c r="M6" s="967"/>
    </row>
    <row r="7" spans="1:13">
      <c r="A7" s="970" t="s">
        <v>259</v>
      </c>
      <c r="B7" s="970"/>
      <c r="C7" s="970"/>
      <c r="D7" s="970"/>
      <c r="E7" s="970"/>
      <c r="F7" s="971"/>
      <c r="H7" s="960" t="s">
        <v>306</v>
      </c>
      <c r="I7" s="960"/>
      <c r="J7" s="960"/>
      <c r="K7" s="960"/>
      <c r="L7" s="960"/>
      <c r="M7" s="961"/>
    </row>
    <row r="8" spans="1:13">
      <c r="A8" s="966" t="s">
        <v>265</v>
      </c>
      <c r="B8" s="966"/>
      <c r="C8" s="966"/>
      <c r="D8" s="966"/>
      <c r="E8" s="966"/>
      <c r="F8" s="967"/>
      <c r="H8" s="966" t="s">
        <v>284</v>
      </c>
      <c r="I8" s="966"/>
      <c r="J8" s="966"/>
      <c r="K8" s="966"/>
      <c r="L8" s="966"/>
      <c r="M8" s="967"/>
    </row>
    <row r="9" spans="1:13">
      <c r="A9" s="970" t="s">
        <v>260</v>
      </c>
      <c r="B9" s="970"/>
      <c r="C9" s="970"/>
      <c r="D9" s="970"/>
      <c r="E9" s="970"/>
      <c r="F9" s="971"/>
      <c r="H9" s="960" t="s">
        <v>305</v>
      </c>
      <c r="I9" s="960"/>
      <c r="J9" s="960"/>
      <c r="K9" s="960"/>
      <c r="L9" s="960"/>
      <c r="M9" s="961"/>
    </row>
    <row r="10" spans="1:13">
      <c r="A10" s="966" t="s">
        <v>266</v>
      </c>
      <c r="B10" s="966"/>
      <c r="C10" s="966"/>
      <c r="D10" s="966"/>
      <c r="E10" s="966"/>
      <c r="F10" s="967"/>
      <c r="H10" s="966" t="s">
        <v>285</v>
      </c>
      <c r="I10" s="966"/>
      <c r="J10" s="966"/>
      <c r="K10" s="966"/>
      <c r="L10" s="966"/>
      <c r="M10" s="967"/>
    </row>
    <row r="11" spans="1:13">
      <c r="A11" s="962" t="s">
        <v>308</v>
      </c>
      <c r="B11" s="962"/>
      <c r="C11" s="962"/>
      <c r="D11" s="962"/>
      <c r="E11" s="962"/>
      <c r="F11" s="963"/>
      <c r="H11" s="960" t="s">
        <v>304</v>
      </c>
      <c r="I11" s="960"/>
      <c r="J11" s="960"/>
      <c r="K11" s="960"/>
      <c r="L11" s="960"/>
      <c r="M11" s="961"/>
    </row>
    <row r="12" spans="1:13">
      <c r="A12" s="966" t="s">
        <v>267</v>
      </c>
      <c r="B12" s="966"/>
      <c r="C12" s="966"/>
      <c r="D12" s="966"/>
      <c r="E12" s="966"/>
      <c r="F12" s="967"/>
      <c r="H12" s="968" t="s">
        <v>261</v>
      </c>
      <c r="I12" s="968"/>
      <c r="J12" s="968"/>
      <c r="K12" s="968"/>
      <c r="L12" s="968"/>
      <c r="M12" s="969"/>
    </row>
    <row r="13" spans="1:13">
      <c r="A13" s="962" t="s">
        <v>309</v>
      </c>
      <c r="B13" s="962"/>
      <c r="C13" s="962"/>
      <c r="D13" s="962"/>
      <c r="E13" s="962"/>
      <c r="F13" s="963"/>
      <c r="H13" s="960" t="s">
        <v>303</v>
      </c>
      <c r="I13" s="960"/>
      <c r="J13" s="960"/>
      <c r="K13" s="960"/>
      <c r="L13" s="960"/>
      <c r="M13" s="961"/>
    </row>
    <row r="14" spans="1:13">
      <c r="A14" s="966" t="s">
        <v>268</v>
      </c>
      <c r="B14" s="966"/>
      <c r="C14" s="966"/>
      <c r="D14" s="966"/>
      <c r="E14" s="966"/>
      <c r="F14" s="967"/>
      <c r="H14" s="968" t="s">
        <v>262</v>
      </c>
      <c r="I14" s="968"/>
      <c r="J14" s="968"/>
      <c r="K14" s="968"/>
      <c r="L14" s="968"/>
      <c r="M14" s="969"/>
    </row>
    <row r="15" spans="1:13">
      <c r="A15" s="962" t="s">
        <v>310</v>
      </c>
      <c r="B15" s="962"/>
      <c r="C15" s="962"/>
      <c r="D15" s="962"/>
      <c r="E15" s="962"/>
      <c r="F15" s="963"/>
      <c r="H15" s="960" t="s">
        <v>302</v>
      </c>
      <c r="I15" s="960"/>
      <c r="J15" s="960"/>
      <c r="K15" s="960"/>
      <c r="L15" s="960"/>
      <c r="M15" s="961"/>
    </row>
    <row r="16" spans="1:13">
      <c r="A16" s="966" t="s">
        <v>269</v>
      </c>
      <c r="B16" s="966"/>
      <c r="C16" s="966"/>
      <c r="D16" s="966"/>
      <c r="E16" s="966"/>
      <c r="F16" s="967"/>
      <c r="H16" s="968" t="s">
        <v>263</v>
      </c>
      <c r="I16" s="968"/>
      <c r="J16" s="968"/>
      <c r="K16" s="968"/>
      <c r="L16" s="968"/>
      <c r="M16" s="969"/>
    </row>
    <row r="17" spans="1:13">
      <c r="A17" s="962" t="s">
        <v>311</v>
      </c>
      <c r="B17" s="962"/>
      <c r="C17" s="962"/>
      <c r="D17" s="962"/>
      <c r="E17" s="962"/>
      <c r="F17" s="963"/>
      <c r="H17" s="960" t="s">
        <v>301</v>
      </c>
      <c r="I17" s="960"/>
      <c r="J17" s="960"/>
      <c r="K17" s="960"/>
      <c r="L17" s="960"/>
      <c r="M17" s="961"/>
    </row>
    <row r="18" spans="1:13">
      <c r="A18" s="966" t="s">
        <v>270</v>
      </c>
      <c r="B18" s="966"/>
      <c r="C18" s="966"/>
      <c r="D18" s="966"/>
      <c r="E18" s="966"/>
      <c r="F18" s="967"/>
      <c r="H18" s="960" t="s">
        <v>300</v>
      </c>
      <c r="I18" s="960"/>
      <c r="J18" s="960"/>
      <c r="K18" s="960"/>
      <c r="L18" s="960"/>
      <c r="M18" s="961"/>
    </row>
    <row r="19" spans="1:13">
      <c r="A19" s="962" t="s">
        <v>312</v>
      </c>
      <c r="B19" s="962"/>
      <c r="C19" s="962"/>
      <c r="D19" s="962"/>
      <c r="E19" s="962"/>
      <c r="F19" s="963"/>
      <c r="H19" s="962" t="s">
        <v>316</v>
      </c>
      <c r="I19" s="962"/>
      <c r="J19" s="962"/>
      <c r="K19" s="962"/>
      <c r="L19" s="962"/>
      <c r="M19" s="963"/>
    </row>
    <row r="20" spans="1:13">
      <c r="A20" s="966" t="s">
        <v>271</v>
      </c>
      <c r="B20" s="966"/>
      <c r="C20" s="966"/>
      <c r="D20" s="966"/>
      <c r="E20" s="966"/>
      <c r="F20" s="967"/>
      <c r="H20" s="960" t="s">
        <v>299</v>
      </c>
      <c r="I20" s="960"/>
      <c r="J20" s="960"/>
      <c r="K20" s="960"/>
      <c r="L20" s="960"/>
      <c r="M20" s="961"/>
    </row>
    <row r="21" spans="1:13" ht="15.75">
      <c r="A21" s="962" t="s">
        <v>313</v>
      </c>
      <c r="B21" s="962"/>
      <c r="C21" s="962"/>
      <c r="D21" s="962"/>
      <c r="E21" s="962"/>
      <c r="F21" s="963"/>
      <c r="H21" s="643" t="s">
        <v>326</v>
      </c>
      <c r="I21" s="643"/>
      <c r="J21" s="962" t="s">
        <v>317</v>
      </c>
      <c r="K21" s="962"/>
      <c r="L21" s="962"/>
      <c r="M21" s="963"/>
    </row>
    <row r="22" spans="1:13">
      <c r="A22" s="966" t="s">
        <v>272</v>
      </c>
      <c r="B22" s="966"/>
      <c r="C22" s="966"/>
      <c r="D22" s="966"/>
      <c r="E22" s="966"/>
      <c r="F22" s="967"/>
      <c r="H22" s="960" t="s">
        <v>298</v>
      </c>
      <c r="I22" s="960"/>
      <c r="J22" s="960"/>
      <c r="K22" s="960"/>
      <c r="L22" s="960"/>
      <c r="M22" s="961"/>
    </row>
    <row r="23" spans="1:13" ht="15.75">
      <c r="A23" s="962" t="s">
        <v>314</v>
      </c>
      <c r="B23" s="962"/>
      <c r="C23" s="962"/>
      <c r="D23" s="962"/>
      <c r="E23" s="962"/>
      <c r="F23" s="963"/>
      <c r="H23" s="965" t="s">
        <v>327</v>
      </c>
      <c r="I23" s="965"/>
      <c r="J23" s="962" t="s">
        <v>318</v>
      </c>
      <c r="K23" s="962"/>
      <c r="L23" s="962"/>
      <c r="M23" s="963"/>
    </row>
    <row r="24" spans="1:13">
      <c r="A24" s="966" t="s">
        <v>273</v>
      </c>
      <c r="B24" s="966"/>
      <c r="C24" s="966"/>
      <c r="D24" s="966"/>
      <c r="E24" s="966"/>
      <c r="F24" s="967"/>
      <c r="H24" s="960" t="s">
        <v>297</v>
      </c>
      <c r="I24" s="960"/>
      <c r="J24" s="960"/>
      <c r="K24" s="960"/>
      <c r="L24" s="960"/>
      <c r="M24" s="961"/>
    </row>
    <row r="25" spans="1:13" ht="15.75">
      <c r="A25" s="962" t="s">
        <v>315</v>
      </c>
      <c r="B25" s="962"/>
      <c r="C25" s="962"/>
      <c r="D25" s="962"/>
      <c r="E25" s="962"/>
      <c r="F25" s="963"/>
      <c r="H25" s="643" t="s">
        <v>324</v>
      </c>
      <c r="I25" s="643"/>
      <c r="J25" s="643"/>
      <c r="K25" s="962" t="s">
        <v>319</v>
      </c>
      <c r="L25" s="962"/>
      <c r="M25" s="963"/>
    </row>
    <row r="26" spans="1:13">
      <c r="A26" s="966" t="s">
        <v>274</v>
      </c>
      <c r="B26" s="966"/>
      <c r="C26" s="966"/>
      <c r="D26" s="966"/>
      <c r="E26" s="966"/>
      <c r="F26" s="967"/>
      <c r="H26" s="960" t="s">
        <v>296</v>
      </c>
      <c r="I26" s="960"/>
      <c r="J26" s="960"/>
      <c r="K26" s="960"/>
      <c r="L26" s="960"/>
      <c r="M26" s="961"/>
    </row>
    <row r="27" spans="1:13" ht="15.75">
      <c r="A27" s="962" t="s">
        <v>290</v>
      </c>
      <c r="B27" s="962"/>
      <c r="C27" s="962"/>
      <c r="D27" s="962"/>
      <c r="E27" s="962"/>
      <c r="F27" s="963"/>
      <c r="H27" s="702" t="s">
        <v>325</v>
      </c>
      <c r="I27" s="702"/>
      <c r="J27" s="702"/>
      <c r="K27" s="962" t="s">
        <v>276</v>
      </c>
      <c r="L27" s="962"/>
      <c r="M27" s="963"/>
    </row>
    <row r="28" spans="1:13">
      <c r="A28" s="966" t="s">
        <v>275</v>
      </c>
      <c r="B28" s="966"/>
      <c r="C28" s="966"/>
      <c r="D28" s="966"/>
      <c r="E28" s="966"/>
      <c r="F28" s="967"/>
      <c r="H28" s="960" t="s">
        <v>295</v>
      </c>
      <c r="I28" s="960"/>
      <c r="J28" s="960"/>
      <c r="K28" s="960"/>
      <c r="L28" s="960"/>
      <c r="M28" s="961"/>
    </row>
    <row r="29" spans="1:13" ht="15.75">
      <c r="A29" s="960" t="s">
        <v>291</v>
      </c>
      <c r="B29" s="960"/>
      <c r="C29" s="960"/>
      <c r="D29" s="960"/>
      <c r="E29" s="960"/>
      <c r="F29" s="961"/>
      <c r="H29" s="643" t="s">
        <v>322</v>
      </c>
      <c r="I29" s="643"/>
      <c r="J29" s="643"/>
      <c r="K29" s="643"/>
      <c r="L29" s="962" t="s">
        <v>277</v>
      </c>
      <c r="M29" s="963"/>
    </row>
    <row r="30" spans="1:13">
      <c r="A30" s="966" t="s">
        <v>279</v>
      </c>
      <c r="B30" s="966"/>
      <c r="C30" s="966"/>
      <c r="D30" s="966"/>
      <c r="E30" s="966"/>
      <c r="F30" s="967"/>
      <c r="H30" s="960" t="s">
        <v>294</v>
      </c>
      <c r="I30" s="960"/>
      <c r="J30" s="960"/>
      <c r="K30" s="960"/>
      <c r="L30" s="960"/>
      <c r="M30" s="961"/>
    </row>
    <row r="31" spans="1:13" ht="15.75">
      <c r="A31" s="960" t="s">
        <v>290</v>
      </c>
      <c r="B31" s="960"/>
      <c r="C31" s="960"/>
      <c r="D31" s="960"/>
      <c r="E31" s="960"/>
      <c r="F31" s="961"/>
      <c r="H31" s="702" t="s">
        <v>323</v>
      </c>
      <c r="I31" s="702"/>
      <c r="J31" s="702"/>
      <c r="K31" s="702"/>
      <c r="L31" s="962" t="s">
        <v>278</v>
      </c>
      <c r="M31" s="963"/>
    </row>
    <row r="32" spans="1:13">
      <c r="A32" s="966" t="s">
        <v>280</v>
      </c>
      <c r="B32" s="966"/>
      <c r="C32" s="966"/>
      <c r="D32" s="966"/>
      <c r="E32" s="966"/>
      <c r="F32" s="967"/>
      <c r="H32" s="960" t="s">
        <v>293</v>
      </c>
      <c r="I32" s="960"/>
      <c r="J32" s="960"/>
      <c r="K32" s="960"/>
      <c r="L32" s="960"/>
      <c r="M32" s="961"/>
    </row>
    <row r="33" spans="1:13">
      <c r="A33" s="960" t="s">
        <v>289</v>
      </c>
      <c r="B33" s="960"/>
      <c r="C33" s="960"/>
      <c r="D33" s="960"/>
      <c r="E33" s="960"/>
      <c r="F33" s="961"/>
      <c r="H33" s="964" t="s">
        <v>321</v>
      </c>
      <c r="I33" s="964"/>
      <c r="J33" s="964"/>
      <c r="K33" s="964"/>
      <c r="L33" s="964"/>
      <c r="M33" s="351" t="s">
        <v>287</v>
      </c>
    </row>
    <row r="34" spans="1:13">
      <c r="A34" s="966" t="s">
        <v>281</v>
      </c>
      <c r="B34" s="966"/>
      <c r="C34" s="966"/>
      <c r="D34" s="966"/>
      <c r="E34" s="966"/>
      <c r="F34" s="967"/>
      <c r="H34" s="960" t="s">
        <v>292</v>
      </c>
      <c r="I34" s="960"/>
      <c r="J34" s="960"/>
      <c r="K34" s="960"/>
      <c r="L34" s="960"/>
      <c r="M34" s="961"/>
    </row>
    <row r="35" spans="1:13">
      <c r="A35" s="960" t="s">
        <v>288</v>
      </c>
      <c r="B35" s="960"/>
      <c r="C35" s="960"/>
      <c r="D35" s="960"/>
      <c r="E35" s="960"/>
      <c r="F35" s="961"/>
      <c r="H35" s="960" t="s">
        <v>320</v>
      </c>
      <c r="I35" s="960"/>
      <c r="J35" s="960"/>
      <c r="K35" s="960"/>
      <c r="L35" s="960"/>
      <c r="M35" s="351" t="s">
        <v>286</v>
      </c>
    </row>
    <row r="37" spans="1:13" ht="15.75">
      <c r="A37" s="180">
        <v>970</v>
      </c>
      <c r="B37" s="180">
        <v>935</v>
      </c>
      <c r="C37" s="180">
        <v>895</v>
      </c>
      <c r="D37" s="180">
        <v>855</v>
      </c>
      <c r="E37" s="94">
        <v>815</v>
      </c>
      <c r="F37" s="94">
        <v>805</v>
      </c>
    </row>
    <row r="38" spans="1:13">
      <c r="A38" s="966" t="s">
        <v>282</v>
      </c>
      <c r="B38" s="966"/>
      <c r="C38" s="966"/>
      <c r="D38" s="966"/>
      <c r="E38" s="966"/>
      <c r="F38" s="967"/>
    </row>
    <row r="39" spans="1:13">
      <c r="A39" s="960" t="s">
        <v>307</v>
      </c>
      <c r="B39" s="960"/>
      <c r="C39" s="960"/>
      <c r="D39" s="960"/>
      <c r="E39" s="960"/>
      <c r="F39" s="961"/>
    </row>
    <row r="40" spans="1:13">
      <c r="A40" s="966" t="s">
        <v>283</v>
      </c>
      <c r="B40" s="966"/>
      <c r="C40" s="966"/>
      <c r="D40" s="966"/>
      <c r="E40" s="966"/>
      <c r="F40" s="967"/>
    </row>
    <row r="41" spans="1:13">
      <c r="A41" s="960" t="s">
        <v>306</v>
      </c>
      <c r="B41" s="960"/>
      <c r="C41" s="960"/>
      <c r="D41" s="960"/>
      <c r="E41" s="960"/>
      <c r="F41" s="961"/>
    </row>
    <row r="42" spans="1:13">
      <c r="A42" s="966" t="s">
        <v>284</v>
      </c>
      <c r="B42" s="966"/>
      <c r="C42" s="966"/>
      <c r="D42" s="966"/>
      <c r="E42" s="966"/>
      <c r="F42" s="967"/>
    </row>
    <row r="43" spans="1:13">
      <c r="A43" s="960" t="s">
        <v>305</v>
      </c>
      <c r="B43" s="960"/>
      <c r="C43" s="960"/>
      <c r="D43" s="960"/>
      <c r="E43" s="960"/>
      <c r="F43" s="961"/>
    </row>
    <row r="44" spans="1:13">
      <c r="A44" s="966" t="s">
        <v>285</v>
      </c>
      <c r="B44" s="966"/>
      <c r="C44" s="966"/>
      <c r="D44" s="966"/>
      <c r="E44" s="966"/>
      <c r="F44" s="967"/>
    </row>
    <row r="45" spans="1:13">
      <c r="A45" s="960" t="s">
        <v>304</v>
      </c>
      <c r="B45" s="960"/>
      <c r="C45" s="960"/>
      <c r="D45" s="960"/>
      <c r="E45" s="960"/>
      <c r="F45" s="961"/>
    </row>
    <row r="46" spans="1:13">
      <c r="A46" s="968" t="s">
        <v>261</v>
      </c>
      <c r="B46" s="968"/>
      <c r="C46" s="968"/>
      <c r="D46" s="968"/>
      <c r="E46" s="968"/>
      <c r="F46" s="969"/>
    </row>
    <row r="47" spans="1:13">
      <c r="A47" s="960" t="s">
        <v>303</v>
      </c>
      <c r="B47" s="960"/>
      <c r="C47" s="960"/>
      <c r="D47" s="960"/>
      <c r="E47" s="960"/>
      <c r="F47" s="961"/>
    </row>
    <row r="48" spans="1:13">
      <c r="A48" s="968" t="s">
        <v>262</v>
      </c>
      <c r="B48" s="968"/>
      <c r="C48" s="968"/>
      <c r="D48" s="968"/>
      <c r="E48" s="968"/>
      <c r="F48" s="969"/>
    </row>
    <row r="49" spans="1:6">
      <c r="A49" s="960" t="s">
        <v>302</v>
      </c>
      <c r="B49" s="960"/>
      <c r="C49" s="960"/>
      <c r="D49" s="960"/>
      <c r="E49" s="960"/>
      <c r="F49" s="961"/>
    </row>
    <row r="50" spans="1:6">
      <c r="A50" s="968" t="s">
        <v>263</v>
      </c>
      <c r="B50" s="968"/>
      <c r="C50" s="968"/>
      <c r="D50" s="968"/>
      <c r="E50" s="968"/>
      <c r="F50" s="969"/>
    </row>
    <row r="51" spans="1:6">
      <c r="A51" s="960" t="s">
        <v>301</v>
      </c>
      <c r="B51" s="960"/>
      <c r="C51" s="960"/>
      <c r="D51" s="960"/>
      <c r="E51" s="960"/>
      <c r="F51" s="961"/>
    </row>
    <row r="52" spans="1:6">
      <c r="A52" s="960" t="s">
        <v>300</v>
      </c>
      <c r="B52" s="960"/>
      <c r="C52" s="960"/>
      <c r="D52" s="960"/>
      <c r="E52" s="960"/>
      <c r="F52" s="961"/>
    </row>
    <row r="53" spans="1:6">
      <c r="A53" s="962" t="s">
        <v>316</v>
      </c>
      <c r="B53" s="962"/>
      <c r="C53" s="962"/>
      <c r="D53" s="962"/>
      <c r="E53" s="962"/>
      <c r="F53" s="963"/>
    </row>
    <row r="54" spans="1:6">
      <c r="A54" s="960" t="s">
        <v>299</v>
      </c>
      <c r="B54" s="960"/>
      <c r="C54" s="960"/>
      <c r="D54" s="960"/>
      <c r="E54" s="960"/>
      <c r="F54" s="961"/>
    </row>
    <row r="55" spans="1:6" ht="15.75">
      <c r="A55" s="643" t="s">
        <v>326</v>
      </c>
      <c r="B55" s="643"/>
      <c r="C55" s="962" t="s">
        <v>317</v>
      </c>
      <c r="D55" s="962"/>
      <c r="E55" s="962"/>
      <c r="F55" s="963"/>
    </row>
    <row r="56" spans="1:6">
      <c r="A56" s="960" t="s">
        <v>298</v>
      </c>
      <c r="B56" s="960"/>
      <c r="C56" s="960"/>
      <c r="D56" s="960"/>
      <c r="E56" s="960"/>
      <c r="F56" s="961"/>
    </row>
    <row r="57" spans="1:6" ht="15.75">
      <c r="A57" s="965" t="s">
        <v>327</v>
      </c>
      <c r="B57" s="965"/>
      <c r="C57" s="962" t="s">
        <v>318</v>
      </c>
      <c r="D57" s="962"/>
      <c r="E57" s="962"/>
      <c r="F57" s="963"/>
    </row>
    <row r="58" spans="1:6">
      <c r="A58" s="960" t="s">
        <v>297</v>
      </c>
      <c r="B58" s="960"/>
      <c r="C58" s="960"/>
      <c r="D58" s="960"/>
      <c r="E58" s="960"/>
      <c r="F58" s="961"/>
    </row>
    <row r="59" spans="1:6" ht="15.75">
      <c r="A59" s="643" t="s">
        <v>324</v>
      </c>
      <c r="B59" s="643"/>
      <c r="C59" s="643"/>
      <c r="D59" s="962" t="s">
        <v>319</v>
      </c>
      <c r="E59" s="962"/>
      <c r="F59" s="963"/>
    </row>
    <row r="60" spans="1:6">
      <c r="A60" s="960" t="s">
        <v>296</v>
      </c>
      <c r="B60" s="960"/>
      <c r="C60" s="960"/>
      <c r="D60" s="960"/>
      <c r="E60" s="960"/>
      <c r="F60" s="961"/>
    </row>
    <row r="61" spans="1:6" ht="15.75">
      <c r="A61" s="702" t="s">
        <v>325</v>
      </c>
      <c r="B61" s="702"/>
      <c r="C61" s="702"/>
      <c r="D61" s="962" t="s">
        <v>276</v>
      </c>
      <c r="E61" s="962"/>
      <c r="F61" s="963"/>
    </row>
    <row r="62" spans="1:6">
      <c r="A62" s="960" t="s">
        <v>295</v>
      </c>
      <c r="B62" s="960"/>
      <c r="C62" s="960"/>
      <c r="D62" s="960"/>
      <c r="E62" s="960"/>
      <c r="F62" s="961"/>
    </row>
    <row r="63" spans="1:6" ht="15.75">
      <c r="A63" s="643" t="s">
        <v>322</v>
      </c>
      <c r="B63" s="643"/>
      <c r="C63" s="643"/>
      <c r="D63" s="643"/>
      <c r="E63" s="962" t="s">
        <v>277</v>
      </c>
      <c r="F63" s="963"/>
    </row>
    <row r="64" spans="1:6">
      <c r="A64" s="960" t="s">
        <v>294</v>
      </c>
      <c r="B64" s="960"/>
      <c r="C64" s="960"/>
      <c r="D64" s="960"/>
      <c r="E64" s="960"/>
      <c r="F64" s="961"/>
    </row>
    <row r="65" spans="1:6" ht="15.75">
      <c r="A65" s="702" t="s">
        <v>323</v>
      </c>
      <c r="B65" s="702"/>
      <c r="C65" s="702"/>
      <c r="D65" s="702"/>
      <c r="E65" s="962" t="s">
        <v>278</v>
      </c>
      <c r="F65" s="963"/>
    </row>
    <row r="66" spans="1:6">
      <c r="A66" s="960" t="s">
        <v>293</v>
      </c>
      <c r="B66" s="960"/>
      <c r="C66" s="960"/>
      <c r="D66" s="960"/>
      <c r="E66" s="960"/>
      <c r="F66" s="961"/>
    </row>
    <row r="67" spans="1:6">
      <c r="A67" s="964" t="s">
        <v>321</v>
      </c>
      <c r="B67" s="964"/>
      <c r="C67" s="964"/>
      <c r="D67" s="964"/>
      <c r="E67" s="964"/>
      <c r="F67" s="351" t="s">
        <v>287</v>
      </c>
    </row>
    <row r="68" spans="1:6">
      <c r="A68" s="960" t="s">
        <v>292</v>
      </c>
      <c r="B68" s="960"/>
      <c r="C68" s="960"/>
      <c r="D68" s="960"/>
      <c r="E68" s="960"/>
      <c r="F68" s="961"/>
    </row>
    <row r="69" spans="1:6">
      <c r="A69" s="960" t="s">
        <v>320</v>
      </c>
      <c r="B69" s="960"/>
      <c r="C69" s="960"/>
      <c r="D69" s="960"/>
      <c r="E69" s="960"/>
      <c r="F69" s="351" t="s">
        <v>286</v>
      </c>
    </row>
  </sheetData>
  <mergeCells count="110">
    <mergeCell ref="B1:F1"/>
    <mergeCell ref="G1:J1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4:F4"/>
    <mergeCell ref="A5:F5"/>
    <mergeCell ref="A6:F6"/>
    <mergeCell ref="A7:F7"/>
    <mergeCell ref="A8:F8"/>
    <mergeCell ref="A21:F21"/>
    <mergeCell ref="A10:F10"/>
    <mergeCell ref="A11:F11"/>
    <mergeCell ref="A12:F12"/>
    <mergeCell ref="A13:F13"/>
    <mergeCell ref="A44:F44"/>
    <mergeCell ref="A45:F45"/>
    <mergeCell ref="A46:F46"/>
    <mergeCell ref="A9:F9"/>
    <mergeCell ref="A38:F38"/>
    <mergeCell ref="A39:F39"/>
    <mergeCell ref="A40:F40"/>
    <mergeCell ref="A41:F41"/>
    <mergeCell ref="A34:F34"/>
    <mergeCell ref="A35:F35"/>
    <mergeCell ref="A14:F14"/>
    <mergeCell ref="A15:F15"/>
    <mergeCell ref="A16:F16"/>
    <mergeCell ref="A17:F17"/>
    <mergeCell ref="A18:F18"/>
    <mergeCell ref="A19:F19"/>
    <mergeCell ref="A20:F20"/>
    <mergeCell ref="A42:F42"/>
    <mergeCell ref="A43:F43"/>
    <mergeCell ref="A52:F52"/>
    <mergeCell ref="A53:F53"/>
    <mergeCell ref="A54:F54"/>
    <mergeCell ref="A55:B55"/>
    <mergeCell ref="C55:F55"/>
    <mergeCell ref="A47:F47"/>
    <mergeCell ref="A48:F48"/>
    <mergeCell ref="A49:F49"/>
    <mergeCell ref="A50:F50"/>
    <mergeCell ref="A51:F51"/>
    <mergeCell ref="A62:F62"/>
    <mergeCell ref="A63:D63"/>
    <mergeCell ref="E63:F63"/>
    <mergeCell ref="A56:F56"/>
    <mergeCell ref="A57:B57"/>
    <mergeCell ref="C57:F57"/>
    <mergeCell ref="A58:F58"/>
    <mergeCell ref="A59:C59"/>
    <mergeCell ref="D59:F59"/>
    <mergeCell ref="A68:F68"/>
    <mergeCell ref="A69:E69"/>
    <mergeCell ref="H4:M4"/>
    <mergeCell ref="H5:M5"/>
    <mergeCell ref="H6:M6"/>
    <mergeCell ref="H7:M7"/>
    <mergeCell ref="H8:M8"/>
    <mergeCell ref="H9:M9"/>
    <mergeCell ref="H10:M10"/>
    <mergeCell ref="H11:M11"/>
    <mergeCell ref="H12:M12"/>
    <mergeCell ref="H13:M13"/>
    <mergeCell ref="H14:M14"/>
    <mergeCell ref="H15:M15"/>
    <mergeCell ref="H16:M16"/>
    <mergeCell ref="H17:M17"/>
    <mergeCell ref="A64:F64"/>
    <mergeCell ref="A65:D65"/>
    <mergeCell ref="E65:F65"/>
    <mergeCell ref="A66:F66"/>
    <mergeCell ref="A67:E67"/>
    <mergeCell ref="A60:F60"/>
    <mergeCell ref="A61:C61"/>
    <mergeCell ref="D61:F61"/>
    <mergeCell ref="H22:M22"/>
    <mergeCell ref="H23:I23"/>
    <mergeCell ref="J23:M23"/>
    <mergeCell ref="H24:M24"/>
    <mergeCell ref="H25:J25"/>
    <mergeCell ref="K25:M25"/>
    <mergeCell ref="H18:M18"/>
    <mergeCell ref="H19:M19"/>
    <mergeCell ref="H20:M20"/>
    <mergeCell ref="H21:I21"/>
    <mergeCell ref="J21:M21"/>
    <mergeCell ref="H34:M34"/>
    <mergeCell ref="H35:L35"/>
    <mergeCell ref="H30:M30"/>
    <mergeCell ref="H31:K31"/>
    <mergeCell ref="L31:M31"/>
    <mergeCell ref="H32:M32"/>
    <mergeCell ref="H33:L33"/>
    <mergeCell ref="H26:M26"/>
    <mergeCell ref="H27:J27"/>
    <mergeCell ref="K27:M27"/>
    <mergeCell ref="H28:M28"/>
    <mergeCell ref="H29:K29"/>
    <mergeCell ref="L29:M29"/>
  </mergeCells>
  <pageMargins left="0.21" right="0.2" top="0.26" bottom="0.3" header="0.17" footer="0.19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O161"/>
  <sheetViews>
    <sheetView tabSelected="1" topLeftCell="F1" zoomScale="70" zoomScaleNormal="70" workbookViewId="0">
      <selection activeCell="BH1" sqref="BH1:BM1048576"/>
    </sheetView>
  </sheetViews>
  <sheetFormatPr baseColWidth="10" defaultRowHeight="15"/>
  <cols>
    <col min="1" max="2" width="7.7109375" style="54" customWidth="1"/>
    <col min="3" max="3" width="11.85546875" style="54" customWidth="1"/>
    <col min="4" max="6" width="6.7109375" style="54" customWidth="1"/>
    <col min="7" max="7" width="5.85546875" style="54" customWidth="1"/>
    <col min="8" max="28" width="6.7109375" style="54" customWidth="1"/>
    <col min="29" max="29" width="7.28515625" style="54" customWidth="1"/>
    <col min="30" max="30" width="8.5703125" style="54" customWidth="1"/>
    <col min="31" max="31" width="6.85546875" style="54" customWidth="1"/>
    <col min="32" max="32" width="29.7109375" style="54" customWidth="1"/>
    <col min="33" max="33" width="28.28515625" style="54" customWidth="1"/>
    <col min="34" max="34" width="11.42578125" style="54"/>
    <col min="35" max="35" width="11.42578125" style="54" customWidth="1"/>
    <col min="36" max="36" width="10" style="54" customWidth="1"/>
    <col min="37" max="37" width="7.5703125" style="54" customWidth="1"/>
    <col min="38" max="38" width="10.7109375" style="54" customWidth="1"/>
    <col min="39" max="39" width="9.28515625" style="54" customWidth="1"/>
    <col min="40" max="40" width="5.5703125" style="54" customWidth="1"/>
    <col min="41" max="41" width="25.7109375" style="54" customWidth="1"/>
    <col min="42" max="42" width="9.7109375" style="54" customWidth="1"/>
    <col min="43" max="43" width="5.7109375" style="54" customWidth="1"/>
    <col min="44" max="44" width="10.42578125" style="54" customWidth="1"/>
    <col min="45" max="45" width="11.42578125" style="54"/>
    <col min="46" max="46" width="3.42578125" style="54" customWidth="1"/>
    <col min="47" max="47" width="24.42578125" style="54" customWidth="1"/>
    <col min="48" max="48" width="10.5703125" style="54" customWidth="1"/>
    <col min="49" max="49" width="6.5703125" style="54" customWidth="1"/>
    <col min="50" max="50" width="9" style="150" customWidth="1"/>
    <col min="51" max="51" width="9" style="54" customWidth="1"/>
    <col min="52" max="52" width="9.85546875" style="54" customWidth="1"/>
    <col min="53" max="53" width="27.7109375" style="54" customWidth="1"/>
    <col min="54" max="54" width="10.28515625" style="54" customWidth="1"/>
    <col min="55" max="55" width="7.85546875" style="54" customWidth="1"/>
    <col min="56" max="56" width="9" style="54" customWidth="1"/>
    <col min="57" max="57" width="3.28515625" style="148" customWidth="1"/>
    <col min="58" max="58" width="28.5703125" style="54" customWidth="1"/>
    <col min="59" max="59" width="6.42578125" style="54" customWidth="1"/>
    <col min="60" max="62" width="8.7109375" style="54" hidden="1" customWidth="1"/>
    <col min="63" max="63" width="9.28515625" style="54" hidden="1" customWidth="1"/>
    <col min="64" max="64" width="9.7109375" style="209" hidden="1" customWidth="1"/>
    <col min="65" max="65" width="6.85546875" style="209" hidden="1" customWidth="1"/>
    <col min="66" max="67" width="9.7109375" style="54" customWidth="1"/>
    <col min="68" max="68" width="9.28515625" style="54" customWidth="1"/>
    <col min="69" max="69" width="9.140625" style="54" customWidth="1"/>
    <col min="70" max="70" width="8.5703125" style="54" customWidth="1"/>
    <col min="71" max="71" width="7.140625" style="54" customWidth="1"/>
    <col min="72" max="72" width="8.5703125" style="54" hidden="1" customWidth="1"/>
    <col min="73" max="73" width="11.5703125" style="54" hidden="1" customWidth="1"/>
    <col min="74" max="74" width="11.42578125" style="54" hidden="1" customWidth="1"/>
    <col min="75" max="75" width="10.42578125" style="54" hidden="1" customWidth="1"/>
    <col min="76" max="76" width="8.7109375" style="209" hidden="1" customWidth="1"/>
    <col min="77" max="77" width="8.42578125" style="54" hidden="1" customWidth="1"/>
    <col min="78" max="82" width="8.7109375" style="54" customWidth="1"/>
    <col min="83" max="83" width="8.140625" style="54" customWidth="1"/>
    <col min="84" max="84" width="7.140625" style="1" customWidth="1"/>
    <col min="85" max="85" width="8.42578125" style="54" customWidth="1"/>
    <col min="86" max="86" width="8.7109375" style="54" customWidth="1"/>
    <col min="87" max="87" width="10" style="54" customWidth="1"/>
    <col min="88" max="88" width="9" style="209" customWidth="1"/>
    <col min="89" max="89" width="9.42578125" style="54" customWidth="1"/>
    <col min="90" max="90" width="8.85546875" style="54" customWidth="1"/>
    <col min="91" max="91" width="9" style="54" customWidth="1"/>
    <col min="92" max="93" width="9.140625" style="54" customWidth="1"/>
    <col min="94" max="94" width="9" style="54" customWidth="1"/>
    <col min="95" max="95" width="9.5703125" style="54" customWidth="1"/>
    <col min="96" max="96" width="9.140625" style="54" customWidth="1"/>
    <col min="97" max="97" width="9.42578125" style="54" customWidth="1"/>
    <col min="98" max="98" width="8.7109375" style="54" customWidth="1"/>
    <col min="99" max="99" width="8.5703125" style="54" customWidth="1"/>
    <col min="100" max="100" width="7.7109375" style="54" customWidth="1"/>
    <col min="101" max="101" width="9.140625" style="54" customWidth="1"/>
    <col min="102" max="102" width="8.5703125" style="54" customWidth="1"/>
    <col min="103" max="103" width="9.5703125" style="54" customWidth="1"/>
    <col min="104" max="104" width="10" style="54" customWidth="1"/>
    <col min="105" max="105" width="9.5703125" style="54" customWidth="1"/>
    <col min="106" max="106" width="9.140625" style="54" customWidth="1"/>
    <col min="107" max="107" width="9.42578125" style="54" customWidth="1"/>
    <col min="108" max="108" width="11.42578125" style="54"/>
    <col min="109" max="109" width="9.42578125" style="54" customWidth="1"/>
    <col min="110" max="111" width="9.85546875" style="54" customWidth="1"/>
    <col min="112" max="113" width="9.5703125" style="54" customWidth="1"/>
    <col min="114" max="114" width="8.42578125" style="54" customWidth="1"/>
    <col min="115" max="115" width="7.140625" style="54" customWidth="1"/>
    <col min="116" max="116" width="6.7109375" style="54" customWidth="1"/>
    <col min="117" max="117" width="6.28515625" style="54" customWidth="1"/>
    <col min="118" max="118" width="8.5703125" style="54" customWidth="1"/>
    <col min="119" max="119" width="7.7109375" style="54" customWidth="1"/>
    <col min="120" max="120" width="8.42578125" style="54" customWidth="1"/>
    <col min="121" max="121" width="8.140625" style="54" customWidth="1"/>
    <col min="122" max="122" width="7.42578125" style="54" customWidth="1"/>
    <col min="123" max="127" width="11.42578125" style="54"/>
    <col min="128" max="128" width="7.85546875" style="54" customWidth="1"/>
    <col min="129" max="129" width="8.28515625" style="54" customWidth="1"/>
    <col min="130" max="130" width="9.5703125" style="54" customWidth="1"/>
    <col min="131" max="131" width="4.85546875" style="54" customWidth="1"/>
    <col min="132" max="16384" width="11.42578125" style="54"/>
  </cols>
  <sheetData>
    <row r="1" spans="1:145" ht="35.25" customHeight="1" thickBot="1">
      <c r="A1" s="711" t="s">
        <v>359</v>
      </c>
      <c r="B1" s="712"/>
      <c r="C1" s="712"/>
      <c r="D1" s="712"/>
      <c r="E1" s="712"/>
      <c r="F1" s="712"/>
      <c r="G1" s="713"/>
      <c r="H1" s="714" t="s">
        <v>360</v>
      </c>
      <c r="I1" s="715"/>
      <c r="J1" s="715"/>
      <c r="K1" s="715"/>
      <c r="L1" s="715"/>
      <c r="M1" s="715"/>
      <c r="N1" s="716"/>
      <c r="AD1" s="369"/>
      <c r="AE1" s="370"/>
      <c r="AJ1" s="371"/>
      <c r="AK1" s="209"/>
      <c r="CL1" s="172"/>
      <c r="CN1" s="372"/>
      <c r="DG1" s="373"/>
      <c r="DH1" s="374"/>
      <c r="DM1" s="373"/>
      <c r="DN1" s="374"/>
      <c r="DS1" s="373"/>
      <c r="DT1" s="374"/>
    </row>
    <row r="2" spans="1:145" ht="24.95" customHeight="1" thickBot="1">
      <c r="AD2" s="296"/>
      <c r="AE2" s="297"/>
      <c r="AF2" s="598" t="s">
        <v>246</v>
      </c>
      <c r="AG2" s="600"/>
      <c r="AH2" s="599"/>
      <c r="AI2" s="298"/>
      <c r="AJ2" s="296"/>
      <c r="AN2" s="299"/>
      <c r="AO2" s="1"/>
      <c r="AP2" s="1"/>
      <c r="AQ2" s="1"/>
      <c r="AR2" s="1"/>
      <c r="AS2" s="1"/>
      <c r="AT2" s="1"/>
      <c r="AU2" s="1"/>
      <c r="AV2" s="1"/>
      <c r="AW2" s="1"/>
      <c r="AX2" s="345"/>
      <c r="AY2" s="1"/>
      <c r="AZ2" s="1"/>
      <c r="BE2" s="210"/>
      <c r="BK2" s="1"/>
      <c r="BL2" s="1"/>
      <c r="CN2" s="372"/>
      <c r="DH2" s="148"/>
      <c r="DN2" s="148"/>
      <c r="DT2" s="148"/>
    </row>
    <row r="3" spans="1:145" ht="24.95" customHeight="1" thickBot="1">
      <c r="A3" s="375" t="s">
        <v>356</v>
      </c>
      <c r="C3" s="376">
        <f ca="1">TODAY()</f>
        <v>44223</v>
      </c>
      <c r="D3" s="726">
        <f ca="1">YEAR(NOW())</f>
        <v>2021</v>
      </c>
      <c r="E3" s="727"/>
      <c r="F3" s="95"/>
      <c r="G3" s="1"/>
      <c r="H3" s="703" t="s">
        <v>332</v>
      </c>
      <c r="I3" s="704"/>
      <c r="J3" s="723" t="s">
        <v>344</v>
      </c>
      <c r="K3" s="724"/>
      <c r="L3" s="724"/>
      <c r="M3" s="725"/>
      <c r="Q3" s="95"/>
      <c r="R3" s="316"/>
      <c r="AD3" s="296"/>
      <c r="AE3" s="297"/>
      <c r="AF3" s="296"/>
      <c r="AG3" s="296"/>
      <c r="AH3" s="296"/>
      <c r="AI3" s="298"/>
      <c r="AJ3" s="296"/>
      <c r="AK3" s="299"/>
      <c r="AP3" s="299"/>
      <c r="AQ3" s="209"/>
      <c r="AY3" s="300"/>
      <c r="AZ3" s="299"/>
      <c r="BE3" s="210"/>
      <c r="BK3" s="1"/>
      <c r="BL3" s="1"/>
      <c r="BM3" s="377"/>
      <c r="BZ3" s="1"/>
      <c r="CA3" s="1"/>
      <c r="CB3" s="1"/>
      <c r="CC3" s="1"/>
      <c r="CD3" s="1"/>
      <c r="CE3" s="1"/>
      <c r="CJ3" s="54"/>
      <c r="CK3" s="209"/>
      <c r="CO3" s="372"/>
      <c r="DI3" s="148"/>
      <c r="DJ3" s="378"/>
      <c r="DP3" s="148"/>
    </row>
    <row r="4" spans="1:145" ht="24.95" customHeight="1" thickBot="1">
      <c r="AD4" s="27"/>
      <c r="AE4" s="27"/>
      <c r="AF4" s="27"/>
      <c r="AG4" s="27"/>
      <c r="AH4" s="301" t="s">
        <v>77</v>
      </c>
      <c r="AI4" s="302"/>
      <c r="AJ4" s="303"/>
      <c r="AK4" s="299"/>
      <c r="AP4" s="299"/>
      <c r="AQ4" s="209"/>
      <c r="AZ4" s="209"/>
      <c r="BK4" s="1"/>
      <c r="BL4" s="1"/>
      <c r="BM4" s="377"/>
      <c r="BZ4" s="1"/>
      <c r="CA4" s="1"/>
      <c r="CB4" s="1"/>
      <c r="CC4" s="1"/>
      <c r="CD4" s="1"/>
      <c r="CE4" s="1"/>
      <c r="CJ4" s="54"/>
      <c r="CK4" s="209"/>
      <c r="CO4" s="372"/>
      <c r="DI4" s="148"/>
      <c r="DO4" s="148"/>
      <c r="DP4" s="209"/>
      <c r="DU4" s="148"/>
    </row>
    <row r="5" spans="1:145" ht="24.95" customHeight="1" thickBot="1">
      <c r="A5" s="379"/>
      <c r="B5" s="703" t="s">
        <v>328</v>
      </c>
      <c r="C5" s="704"/>
      <c r="D5" s="705" t="s">
        <v>329</v>
      </c>
      <c r="E5" s="706"/>
      <c r="F5" s="707"/>
      <c r="G5" s="1"/>
      <c r="H5" s="703" t="s">
        <v>357</v>
      </c>
      <c r="I5" s="704"/>
      <c r="J5" s="708" t="s">
        <v>337</v>
      </c>
      <c r="K5" s="709"/>
      <c r="L5" s="71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04"/>
      <c r="AE5" s="305" t="s">
        <v>72</v>
      </c>
      <c r="AF5" s="306" t="s">
        <v>78</v>
      </c>
      <c r="AG5" s="307" t="s">
        <v>79</v>
      </c>
      <c r="AH5" s="308" t="s">
        <v>247</v>
      </c>
      <c r="AI5" s="302"/>
      <c r="AJ5" s="303"/>
      <c r="AK5" s="299"/>
      <c r="AP5" s="299"/>
      <c r="AQ5" s="209"/>
      <c r="AX5" s="180"/>
      <c r="AY5" s="309"/>
      <c r="BK5" s="1"/>
      <c r="BL5" s="1"/>
      <c r="BM5" s="377"/>
      <c r="BN5" s="1"/>
      <c r="BO5" s="1"/>
      <c r="BP5" s="1"/>
      <c r="BQ5" s="1"/>
      <c r="BR5" s="1"/>
      <c r="BS5" s="1"/>
      <c r="BT5" s="1"/>
      <c r="BU5" s="1"/>
      <c r="BV5" s="1"/>
      <c r="BW5" s="1"/>
      <c r="BX5" s="377"/>
      <c r="BY5" s="1"/>
      <c r="BZ5" s="1"/>
      <c r="CA5" s="1"/>
      <c r="CB5" s="1"/>
      <c r="CC5" s="1"/>
      <c r="CD5" s="1"/>
      <c r="CJ5" s="54"/>
      <c r="CV5" s="209"/>
      <c r="CW5" s="686" t="s">
        <v>191</v>
      </c>
      <c r="CX5" s="687"/>
      <c r="CY5" s="688"/>
      <c r="CZ5" s="381">
        <f>+BK6</f>
        <v>0</v>
      </c>
      <c r="DA5" s="357">
        <f>+CA9</f>
        <v>968</v>
      </c>
      <c r="DB5" s="379"/>
      <c r="DJ5" s="379"/>
      <c r="DK5" s="379"/>
      <c r="DL5" s="379"/>
      <c r="DM5" s="379"/>
      <c r="DN5" s="379"/>
      <c r="DO5" s="379"/>
      <c r="DP5" s="379"/>
      <c r="DQ5" s="379"/>
      <c r="DR5" s="379"/>
      <c r="DS5" s="379"/>
      <c r="DT5" s="379"/>
      <c r="DU5" s="379"/>
      <c r="DW5" s="379"/>
      <c r="DY5" s="148"/>
      <c r="ED5" s="209"/>
      <c r="EE5" s="210"/>
      <c r="EK5" s="148"/>
    </row>
    <row r="6" spans="1:145" ht="24.95" customHeight="1" thickBot="1">
      <c r="O6" s="1"/>
      <c r="P6" s="1"/>
      <c r="Q6" s="1"/>
      <c r="R6" s="1"/>
      <c r="S6" s="1"/>
      <c r="AD6" s="310">
        <v>1</v>
      </c>
      <c r="AE6" s="311"/>
      <c r="AF6" s="312" t="s">
        <v>248</v>
      </c>
      <c r="AG6" s="313"/>
      <c r="AH6" s="314">
        <v>1</v>
      </c>
      <c r="AI6" s="302"/>
      <c r="AJ6" s="303"/>
      <c r="AK6" s="299"/>
      <c r="AL6" s="242"/>
      <c r="AM6" s="242"/>
      <c r="AN6" s="180"/>
      <c r="AO6" s="180"/>
      <c r="AP6" s="315"/>
      <c r="AQ6" s="316"/>
      <c r="AR6" s="242"/>
      <c r="AS6" s="242"/>
      <c r="AT6" s="242"/>
      <c r="AU6" s="180"/>
      <c r="AV6" s="180"/>
      <c r="AW6" s="180"/>
      <c r="AX6" s="345"/>
      <c r="AY6" s="242"/>
      <c r="AZ6" s="242"/>
      <c r="BA6" s="242"/>
      <c r="BB6" s="180"/>
      <c r="BC6" s="180"/>
      <c r="BD6" s="180"/>
      <c r="BE6" s="25"/>
      <c r="BF6" s="317"/>
      <c r="BG6" s="1"/>
      <c r="BH6" s="1"/>
      <c r="BI6" s="1"/>
      <c r="BJ6" s="1"/>
      <c r="BK6" s="1"/>
      <c r="BL6" s="54"/>
      <c r="BQ6" s="1"/>
      <c r="BR6" s="1"/>
      <c r="BS6" s="1"/>
      <c r="BT6" s="1"/>
      <c r="BU6" s="1"/>
      <c r="BV6" s="1"/>
      <c r="BW6" s="1"/>
      <c r="BX6" s="377"/>
      <c r="BY6" s="1"/>
      <c r="BZ6" s="1"/>
      <c r="CA6" s="1"/>
      <c r="CB6" s="1"/>
      <c r="CC6" s="1"/>
      <c r="CD6" s="1"/>
      <c r="CJ6" s="54"/>
      <c r="DC6" s="209"/>
      <c r="DD6" s="686" t="s">
        <v>87</v>
      </c>
      <c r="DE6" s="687"/>
      <c r="DF6" s="688"/>
      <c r="DG6" s="382">
        <f>+BK7</f>
        <v>0</v>
      </c>
      <c r="DH6" s="358"/>
      <c r="DI6" s="383">
        <f>+BZ10</f>
        <v>8</v>
      </c>
      <c r="EF6" s="148"/>
      <c r="EG6" s="682" t="s">
        <v>57</v>
      </c>
      <c r="EH6" s="682"/>
      <c r="EI6" s="682"/>
      <c r="EJ6" s="682"/>
      <c r="EK6" s="682"/>
      <c r="EL6" s="682"/>
      <c r="EM6" s="682"/>
    </row>
    <row r="7" spans="1:145" ht="24.95" customHeight="1" thickBot="1">
      <c r="C7" s="384"/>
      <c r="D7" s="161"/>
      <c r="E7" s="161"/>
      <c r="F7" s="161"/>
      <c r="G7" s="161"/>
      <c r="H7" s="385"/>
      <c r="K7" s="296"/>
      <c r="AD7" s="318">
        <v>2</v>
      </c>
      <c r="AE7" s="319"/>
      <c r="AF7" s="320" t="s">
        <v>249</v>
      </c>
      <c r="AG7" s="321"/>
      <c r="AH7" s="322">
        <v>2</v>
      </c>
      <c r="AI7" s="302"/>
      <c r="AK7" s="299"/>
      <c r="AN7" s="180"/>
      <c r="AO7" s="180"/>
      <c r="AP7" s="315"/>
      <c r="AQ7" s="316"/>
      <c r="AR7" s="242"/>
      <c r="AS7" s="242"/>
      <c r="AT7" s="242"/>
      <c r="AU7" s="180"/>
      <c r="AV7" s="180"/>
      <c r="AW7" s="180"/>
      <c r="AX7" s="345"/>
      <c r="AY7" s="242"/>
      <c r="AZ7" s="242"/>
      <c r="BA7" s="242"/>
      <c r="BB7" s="180"/>
      <c r="BC7" s="180"/>
      <c r="BD7" s="386">
        <v>1</v>
      </c>
      <c r="BE7" s="387"/>
      <c r="BF7" s="346" t="str">
        <f t="shared" ref="BF7:BF12" si="0">IF(ISNA(MATCH(BD7,$AH$6:$AH$12,0)),"",INDEX($AF$6:$AF$12,MATCH(BD7,$AH$6:$AH$12,0)))</f>
        <v>CQ 1_</v>
      </c>
      <c r="BG7" s="1"/>
      <c r="BH7" s="1"/>
      <c r="BI7" s="1"/>
      <c r="BJ7" s="1"/>
      <c r="BK7" s="1"/>
      <c r="BL7" s="54"/>
      <c r="BQ7" s="1"/>
      <c r="BR7" s="1"/>
      <c r="BS7" s="1"/>
      <c r="BT7" s="1"/>
      <c r="BU7" s="1"/>
      <c r="BV7" s="1"/>
      <c r="BW7" s="1"/>
      <c r="BX7" s="377"/>
      <c r="BY7" s="1"/>
      <c r="BZ7" s="1"/>
      <c r="CA7" s="1"/>
      <c r="CB7" s="1"/>
      <c r="CC7" s="1"/>
      <c r="CD7" s="1"/>
      <c r="CJ7" s="54"/>
      <c r="CY7" s="239"/>
      <c r="CZ7" s="388"/>
      <c r="DA7" s="388"/>
      <c r="DB7" s="388"/>
      <c r="DC7" s="389"/>
      <c r="DD7" s="692" t="s">
        <v>190</v>
      </c>
      <c r="DE7" s="693"/>
      <c r="DF7" s="693"/>
      <c r="DG7" s="390">
        <f>IF(OR(AND(DG6=48)),16,IF(OR(AND(DG6=49)),15,IF(OR(AND(DG6=50)),14,IF(OR(AND(DG6=51)),13,IF(OR(AND(DG6=52)),12,IF(OR(AND(DG6=53)),11,IF(OR(AND(DG6=54)),10,IF(OR(AND(DG6=55)),9,IF(OR(AND(DG6=56)),8,IF(OR(AND(DG6=57)),7,IF(OR(AND(DG6=58)),6,IF(OR(AND(DG6=59)),5,IF(OR(AND(DG6=60)),4,0)))))))))))))</f>
        <v>0</v>
      </c>
      <c r="DH7" s="391"/>
      <c r="DI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K7" s="392">
        <f>+BZ10</f>
        <v>8</v>
      </c>
      <c r="EM7" s="148"/>
    </row>
    <row r="8" spans="1:145" ht="24.95" customHeight="1" thickBot="1">
      <c r="C8" s="384"/>
      <c r="D8" s="161"/>
      <c r="E8" s="161"/>
      <c r="F8" s="161"/>
      <c r="G8" s="161"/>
      <c r="H8" s="385"/>
      <c r="K8" s="296"/>
      <c r="AD8" s="323">
        <v>3</v>
      </c>
      <c r="AE8" s="324"/>
      <c r="AF8" s="325" t="s">
        <v>250</v>
      </c>
      <c r="AG8" s="326"/>
      <c r="AH8" s="327">
        <v>3</v>
      </c>
      <c r="AI8" s="302"/>
      <c r="AK8" s="299"/>
      <c r="AN8" s="180"/>
      <c r="AO8" s="180"/>
      <c r="AP8" s="315"/>
      <c r="AQ8" s="316"/>
      <c r="AR8" s="242"/>
      <c r="AS8" s="242"/>
      <c r="AT8" s="242"/>
      <c r="AU8" s="180"/>
      <c r="AV8" s="180"/>
      <c r="AW8" s="180"/>
      <c r="AX8" s="345"/>
      <c r="AY8" s="242"/>
      <c r="AZ8" s="680" t="s">
        <v>251</v>
      </c>
      <c r="BA8" s="680"/>
      <c r="BB8" s="680"/>
      <c r="BC8" s="680"/>
      <c r="BD8" s="393">
        <v>4</v>
      </c>
      <c r="BE8" s="53"/>
      <c r="BF8" s="328" t="str">
        <f t="shared" si="0"/>
        <v>CQ 4_</v>
      </c>
      <c r="BG8" s="1"/>
      <c r="BH8" s="1"/>
      <c r="BI8" s="1"/>
      <c r="BJ8" s="1"/>
      <c r="BK8" s="1"/>
      <c r="BL8" s="54"/>
      <c r="BQ8" s="1"/>
      <c r="BR8" s="1"/>
      <c r="BS8" s="1"/>
      <c r="BT8" s="1"/>
      <c r="BU8" s="1"/>
      <c r="BV8" s="1"/>
      <c r="BW8" s="1"/>
      <c r="BX8" s="377"/>
      <c r="BY8" s="1"/>
      <c r="BZ8" s="1"/>
      <c r="CA8" s="1"/>
      <c r="CB8" s="1"/>
      <c r="CC8" s="1"/>
      <c r="CD8" s="1"/>
      <c r="CJ8" s="54"/>
      <c r="CY8" s="239"/>
      <c r="CZ8" s="388"/>
      <c r="DA8" s="388"/>
      <c r="DB8" s="388"/>
      <c r="DC8" s="389"/>
      <c r="DD8" s="394"/>
      <c r="DE8" s="394"/>
      <c r="DF8" s="394"/>
      <c r="DG8" s="395"/>
      <c r="DH8" s="391"/>
      <c r="DI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K8" s="392"/>
      <c r="EM8" s="148"/>
    </row>
    <row r="9" spans="1:145" ht="24.95" customHeight="1" thickBot="1">
      <c r="C9" s="384"/>
      <c r="D9" s="161"/>
      <c r="E9" s="161"/>
      <c r="F9" s="161"/>
      <c r="G9" s="161"/>
      <c r="H9" s="385"/>
      <c r="K9" s="296"/>
      <c r="AD9" s="1"/>
      <c r="AE9" s="1"/>
      <c r="AF9" s="1"/>
      <c r="AG9" s="1"/>
      <c r="AH9" s="308" t="s">
        <v>252</v>
      </c>
      <c r="AI9" s="342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35"/>
      <c r="AY9" s="343"/>
      <c r="AZ9" s="343"/>
      <c r="BA9" s="343"/>
      <c r="BB9" s="343"/>
      <c r="BC9" s="344"/>
      <c r="BD9" s="396">
        <v>2</v>
      </c>
      <c r="BE9" s="397"/>
      <c r="BF9" s="346" t="str">
        <f t="shared" si="0"/>
        <v>CQ 2_</v>
      </c>
      <c r="BG9" s="1"/>
      <c r="BH9" s="1"/>
      <c r="BI9" s="1"/>
      <c r="BJ9" s="1"/>
      <c r="BK9" s="1"/>
      <c r="BL9" s="54"/>
      <c r="BN9" s="703" t="s">
        <v>23</v>
      </c>
      <c r="BO9" s="731"/>
      <c r="BP9" s="731"/>
      <c r="BQ9" s="731"/>
      <c r="BR9" s="704"/>
      <c r="BS9" s="276"/>
      <c r="BT9" s="276"/>
      <c r="BU9" s="276"/>
      <c r="BV9" s="276"/>
      <c r="BW9" s="276"/>
      <c r="BX9" s="276"/>
      <c r="BY9" s="276"/>
      <c r="BZ9" s="274">
        <f>+G15</f>
        <v>96</v>
      </c>
      <c r="CA9" s="539">
        <f>+J15</f>
        <v>968</v>
      </c>
      <c r="CB9" s="1"/>
      <c r="CC9" s="1"/>
      <c r="CD9" s="1"/>
      <c r="CE9" s="1"/>
      <c r="CJ9" s="54"/>
      <c r="DA9" s="239"/>
      <c r="DB9" s="388"/>
      <c r="DC9" s="388"/>
      <c r="DD9" s="388"/>
      <c r="DE9" s="389"/>
      <c r="DF9" s="394"/>
      <c r="DG9" s="394"/>
      <c r="DH9" s="394"/>
      <c r="DI9" s="395"/>
      <c r="DJ9" s="391"/>
      <c r="DK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M9" s="392"/>
      <c r="EO9" s="148"/>
    </row>
    <row r="10" spans="1:145" ht="24.95" customHeight="1" thickBot="1">
      <c r="C10" s="384"/>
      <c r="D10" s="161"/>
      <c r="E10" s="161"/>
      <c r="F10" s="161"/>
      <c r="G10" s="161"/>
      <c r="H10" s="385"/>
      <c r="K10" s="296"/>
      <c r="AD10" s="329">
        <v>4</v>
      </c>
      <c r="AE10" s="311"/>
      <c r="AF10" s="330" t="s">
        <v>253</v>
      </c>
      <c r="AG10" s="313"/>
      <c r="AH10" s="314">
        <v>4</v>
      </c>
      <c r="AI10" s="302"/>
      <c r="AJ10" s="1"/>
      <c r="AK10" s="299"/>
      <c r="AL10" s="242"/>
      <c r="AM10" s="242"/>
      <c r="AN10" s="180"/>
      <c r="AO10" s="180"/>
      <c r="AP10" s="315"/>
      <c r="AQ10" s="316"/>
      <c r="AR10" s="242"/>
      <c r="AS10" s="242"/>
      <c r="AT10" s="242"/>
      <c r="AU10" s="180"/>
      <c r="AV10" s="180"/>
      <c r="AW10" s="180"/>
      <c r="AX10" s="345"/>
      <c r="AY10" s="242"/>
      <c r="AZ10" s="681" t="s">
        <v>254</v>
      </c>
      <c r="BA10" s="681"/>
      <c r="BB10" s="681"/>
      <c r="BC10" s="681"/>
      <c r="BD10" s="393">
        <v>5</v>
      </c>
      <c r="BE10" s="53"/>
      <c r="BF10" s="328" t="str">
        <f>IF(ISNA(MATCH(BD10,$AH$6:$AH$12,0)),"",INDEX($AF$6:$AF$12,MATCH(BD10,$AH$6:$AH$12,0)))</f>
        <v>CQ 5_</v>
      </c>
      <c r="BG10" s="1"/>
      <c r="BH10" s="1"/>
      <c r="BI10" s="1"/>
      <c r="BJ10" s="1"/>
      <c r="BK10" s="1"/>
      <c r="BL10" s="54"/>
      <c r="BN10" s="703" t="s">
        <v>80</v>
      </c>
      <c r="BO10" s="731"/>
      <c r="BP10" s="731"/>
      <c r="BQ10" s="731"/>
      <c r="BR10" s="704"/>
      <c r="BS10" s="276"/>
      <c r="BT10" s="276"/>
      <c r="BU10" s="276"/>
      <c r="BV10" s="276"/>
      <c r="BW10" s="276"/>
      <c r="BX10" s="276"/>
      <c r="BY10" s="276"/>
      <c r="BZ10" s="275">
        <f>+G16</f>
        <v>8</v>
      </c>
      <c r="CA10" s="540"/>
      <c r="CB10" s="1"/>
      <c r="CC10" s="1"/>
      <c r="CD10" s="1"/>
      <c r="CE10" s="1"/>
      <c r="CJ10" s="54"/>
      <c r="DA10" s="239"/>
      <c r="DB10" s="388"/>
      <c r="DC10" s="388"/>
      <c r="DD10" s="388"/>
      <c r="DE10" s="389"/>
      <c r="DF10" s="394"/>
      <c r="DG10" s="394"/>
      <c r="DH10" s="394"/>
      <c r="DI10" s="395"/>
      <c r="DJ10" s="391"/>
      <c r="DK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M10" s="392"/>
      <c r="EO10" s="148"/>
    </row>
    <row r="11" spans="1:145" ht="24.95" customHeight="1" thickBot="1">
      <c r="C11" s="384"/>
      <c r="D11" s="161"/>
      <c r="E11" s="161"/>
      <c r="F11" s="161"/>
      <c r="G11" s="161"/>
      <c r="H11" s="385"/>
      <c r="I11" s="598" t="s">
        <v>358</v>
      </c>
      <c r="J11" s="600"/>
      <c r="K11" s="600"/>
      <c r="L11" s="600"/>
      <c r="M11" s="599"/>
      <c r="N11" s="728" t="s">
        <v>361</v>
      </c>
      <c r="O11" s="729"/>
      <c r="P11" s="729"/>
      <c r="Q11" s="730"/>
      <c r="AD11" s="331">
        <v>5</v>
      </c>
      <c r="AE11" s="319"/>
      <c r="AF11" s="332" t="s">
        <v>255</v>
      </c>
      <c r="AG11" s="321"/>
      <c r="AH11" s="322">
        <v>5</v>
      </c>
      <c r="AI11" s="302"/>
      <c r="AJ11" s="1"/>
      <c r="AK11" s="299"/>
      <c r="AL11" s="242"/>
      <c r="AM11" s="242"/>
      <c r="AN11" s="180"/>
      <c r="AO11" s="180"/>
      <c r="AP11" s="315"/>
      <c r="AQ11" s="316"/>
      <c r="AR11" s="242"/>
      <c r="AS11" s="242"/>
      <c r="AT11" s="242"/>
      <c r="AU11" s="180"/>
      <c r="AV11" s="180"/>
      <c r="AW11" s="180"/>
      <c r="AX11" s="345"/>
      <c r="AY11" s="242"/>
      <c r="AZ11" s="242"/>
      <c r="BA11" s="242"/>
      <c r="BB11" s="180"/>
      <c r="BC11" s="180"/>
      <c r="BD11" s="396">
        <v>3</v>
      </c>
      <c r="BE11" s="397"/>
      <c r="BF11" s="346" t="str">
        <f t="shared" si="0"/>
        <v>CQ 3_</v>
      </c>
      <c r="BG11" s="1"/>
      <c r="BH11" s="1"/>
      <c r="BI11" s="1"/>
      <c r="BJ11" s="1"/>
      <c r="BK11" s="1"/>
      <c r="BL11" s="54"/>
      <c r="BQ11" s="1"/>
      <c r="BR11" s="1"/>
      <c r="BS11" s="1"/>
      <c r="BT11" s="1"/>
      <c r="BU11" s="1"/>
      <c r="BV11" s="1"/>
      <c r="BW11" s="1"/>
      <c r="BX11" s="377"/>
      <c r="BY11" s="1"/>
      <c r="BZ11" s="1"/>
      <c r="CA11" s="1"/>
      <c r="CB11" s="1"/>
      <c r="CC11" s="1"/>
      <c r="CD11" s="1"/>
      <c r="CJ11" s="54"/>
      <c r="CY11" s="239"/>
      <c r="CZ11" s="388"/>
      <c r="DA11" s="388"/>
      <c r="DB11" s="388"/>
      <c r="DC11" s="389"/>
      <c r="DD11" s="394"/>
      <c r="DE11" s="394"/>
      <c r="DF11" s="394"/>
      <c r="DG11" s="395"/>
      <c r="DH11" s="391"/>
      <c r="DI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K11" s="392"/>
      <c r="EM11" s="148"/>
    </row>
    <row r="12" spans="1:145" ht="24.95" customHeight="1" thickBot="1">
      <c r="C12" s="384"/>
      <c r="D12" s="161"/>
      <c r="E12" s="161"/>
      <c r="F12" s="161"/>
      <c r="G12" s="161"/>
      <c r="H12" s="385"/>
      <c r="K12" s="296"/>
      <c r="AD12" s="333">
        <v>6</v>
      </c>
      <c r="AE12" s="324"/>
      <c r="AF12" s="334" t="s">
        <v>256</v>
      </c>
      <c r="AG12" s="326"/>
      <c r="AH12" s="327">
        <v>6</v>
      </c>
      <c r="AI12" s="302"/>
      <c r="AJ12" s="1"/>
      <c r="AK12" s="299"/>
      <c r="AL12" s="242"/>
      <c r="AM12" s="242"/>
      <c r="AN12" s="180"/>
      <c r="AO12" s="180"/>
      <c r="AP12" s="315"/>
      <c r="AQ12" s="316"/>
      <c r="AR12" s="242"/>
      <c r="AS12" s="242"/>
      <c r="AT12" s="242"/>
      <c r="AU12" s="180"/>
      <c r="AV12" s="180"/>
      <c r="AW12" s="180"/>
      <c r="AX12" s="345"/>
      <c r="AY12" s="242"/>
      <c r="AZ12" s="242"/>
      <c r="BA12" s="242"/>
      <c r="BB12" s="180"/>
      <c r="BC12" s="180"/>
      <c r="BD12" s="398">
        <v>6</v>
      </c>
      <c r="BE12" s="399"/>
      <c r="BF12" s="328" t="str">
        <f t="shared" si="0"/>
        <v>CQ 6_</v>
      </c>
      <c r="BG12" s="1"/>
      <c r="BH12" s="1"/>
      <c r="BI12" s="1"/>
      <c r="BJ12" s="1"/>
      <c r="BK12" s="1"/>
      <c r="BL12" s="54"/>
      <c r="BQ12" s="1"/>
      <c r="BR12" s="1"/>
      <c r="BS12" s="1"/>
      <c r="BT12" s="1"/>
      <c r="BU12" s="1"/>
      <c r="BV12" s="1"/>
      <c r="BW12" s="1"/>
      <c r="BX12" s="377"/>
      <c r="BY12" s="1"/>
      <c r="BZ12" s="1"/>
      <c r="CA12" s="1"/>
      <c r="CB12" s="1"/>
      <c r="CC12" s="1"/>
      <c r="CD12" s="1"/>
      <c r="CJ12" s="54"/>
      <c r="CY12" s="239"/>
      <c r="CZ12" s="388"/>
      <c r="DA12" s="388"/>
      <c r="DB12" s="388"/>
      <c r="DC12" s="389"/>
      <c r="DD12" s="394"/>
      <c r="DE12" s="394"/>
      <c r="DF12" s="394"/>
      <c r="DG12" s="395"/>
      <c r="DH12" s="391"/>
      <c r="DI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K12" s="392"/>
      <c r="EM12" s="148"/>
    </row>
    <row r="13" spans="1:145" ht="24.95" customHeight="1" thickBot="1">
      <c r="B13" s="161"/>
      <c r="C13" s="161"/>
      <c r="D13" s="161"/>
      <c r="G13" s="161"/>
      <c r="H13" s="385"/>
      <c r="N13" s="400"/>
      <c r="AE13" s="401"/>
      <c r="AJ13" s="372"/>
      <c r="AK13" s="209"/>
      <c r="AQ13" s="209"/>
      <c r="CI13" s="239"/>
      <c r="CJ13" s="239"/>
      <c r="CK13" s="388"/>
      <c r="CL13" s="239"/>
      <c r="CM13" s="239"/>
      <c r="CN13" s="372"/>
      <c r="DH13" s="148"/>
      <c r="DN13" s="148"/>
      <c r="DT13" s="148"/>
    </row>
    <row r="14" spans="1:145" ht="24.95" customHeight="1" thickBot="1">
      <c r="AD14" s="27"/>
      <c r="AE14" s="28"/>
      <c r="AF14" s="28"/>
      <c r="AG14" s="28"/>
      <c r="AH14" s="29" t="s">
        <v>77</v>
      </c>
      <c r="AI14" s="28"/>
      <c r="AJ14" s="402"/>
      <c r="AK14" s="209"/>
      <c r="AL14" s="717" t="s">
        <v>62</v>
      </c>
      <c r="AM14" s="718"/>
      <c r="AN14" s="718"/>
      <c r="AO14" s="718"/>
      <c r="AP14" s="719"/>
      <c r="AQ14" s="209"/>
      <c r="AR14" s="720" t="s">
        <v>63</v>
      </c>
      <c r="AS14" s="721"/>
      <c r="AT14" s="721"/>
      <c r="AU14" s="721"/>
      <c r="AV14" s="722"/>
      <c r="AY14" s="557" t="s">
        <v>184</v>
      </c>
      <c r="AZ14" s="558"/>
      <c r="BA14" s="558"/>
      <c r="BB14" s="559"/>
      <c r="BE14" s="397"/>
      <c r="BF14" s="403" t="s">
        <v>81</v>
      </c>
      <c r="BN14" s="554" t="s">
        <v>209</v>
      </c>
      <c r="BO14" s="555"/>
      <c r="BP14" s="555"/>
      <c r="BQ14" s="555"/>
      <c r="BR14" s="556"/>
      <c r="BS14" s="1"/>
      <c r="BT14" s="1"/>
      <c r="BU14" s="1"/>
      <c r="BV14" s="1"/>
      <c r="BW14" s="1"/>
      <c r="BZ14" s="554" t="s">
        <v>209</v>
      </c>
      <c r="CA14" s="555"/>
      <c r="CB14" s="555"/>
      <c r="CC14" s="555"/>
      <c r="CD14" s="556"/>
      <c r="CG14" s="689" t="s">
        <v>165</v>
      </c>
      <c r="CH14" s="690"/>
      <c r="CI14" s="690"/>
      <c r="CJ14" s="690"/>
      <c r="CK14" s="691"/>
      <c r="CL14" s="373"/>
      <c r="CM14" s="697" t="s">
        <v>166</v>
      </c>
      <c r="CN14" s="698"/>
      <c r="CO14" s="698"/>
      <c r="CP14" s="698"/>
      <c r="CQ14" s="699"/>
      <c r="CR14" s="373"/>
      <c r="CS14" s="694" t="s">
        <v>167</v>
      </c>
      <c r="CT14" s="695"/>
      <c r="CU14" s="695"/>
      <c r="CV14" s="695"/>
      <c r="CW14" s="696"/>
      <c r="CX14" s="373"/>
      <c r="CY14" s="554" t="s">
        <v>168</v>
      </c>
      <c r="CZ14" s="555"/>
      <c r="DA14" s="555"/>
      <c r="DB14" s="555"/>
      <c r="DC14" s="556"/>
      <c r="DD14" s="373"/>
      <c r="DE14" s="554" t="s">
        <v>169</v>
      </c>
      <c r="DF14" s="555"/>
      <c r="DG14" s="555"/>
      <c r="DH14" s="555"/>
      <c r="DI14" s="556"/>
    </row>
    <row r="15" spans="1:145" ht="24.95" customHeight="1" thickBot="1">
      <c r="A15" s="583" t="s">
        <v>23</v>
      </c>
      <c r="B15" s="584"/>
      <c r="C15" s="584"/>
      <c r="D15" s="584"/>
      <c r="E15" s="584"/>
      <c r="F15" s="584"/>
      <c r="G15" s="585">
        <f>VALUE(MID(J15,1,2))</f>
        <v>96</v>
      </c>
      <c r="H15" s="586"/>
      <c r="I15" s="276"/>
      <c r="J15" s="587">
        <v>968</v>
      </c>
      <c r="K15" s="587"/>
      <c r="P15" s="588">
        <f>IF(D22=80,40,IF(D22=81,33,IF(D22=82,34,IF(D22=83,35,IF(D22=84,36,IF(D22=85,37,IF(D22=86,38,IF(D22=87,39,IF(D22=88,40,IF(D22=89,41,IF(D22=90,42,IF(D22=91,43,IF(D22=92,44,IF(D22=93,45,IF(D22=94,46,IF(D22=95,47,IF(D22=96,48,IF(D22=93,45))))))))))))))))))</f>
        <v>48</v>
      </c>
      <c r="Q15" s="589"/>
      <c r="R15" s="592" t="s">
        <v>90</v>
      </c>
      <c r="S15" s="593"/>
      <c r="AD15" s="30"/>
      <c r="AE15" s="96" t="s">
        <v>72</v>
      </c>
      <c r="AF15" s="31" t="s">
        <v>78</v>
      </c>
      <c r="AG15" s="32" t="s">
        <v>79</v>
      </c>
      <c r="AH15" s="33" t="s">
        <v>133</v>
      </c>
      <c r="AI15" s="34"/>
      <c r="AJ15" s="402"/>
      <c r="AK15" s="209"/>
      <c r="AL15" s="173" t="s">
        <v>170</v>
      </c>
      <c r="AM15" s="173" t="s">
        <v>90</v>
      </c>
      <c r="AN15" s="173"/>
      <c r="AO15" s="174" t="s">
        <v>171</v>
      </c>
      <c r="AP15" s="174" t="s">
        <v>172</v>
      </c>
      <c r="AQ15" s="404"/>
      <c r="AR15" s="175" t="s">
        <v>170</v>
      </c>
      <c r="AS15" s="175" t="s">
        <v>90</v>
      </c>
      <c r="AT15" s="175"/>
      <c r="AU15" s="176" t="s">
        <v>171</v>
      </c>
      <c r="AV15" s="176" t="s">
        <v>172</v>
      </c>
      <c r="AW15" s="405"/>
      <c r="AX15" s="180"/>
      <c r="AY15" s="175" t="s">
        <v>170</v>
      </c>
      <c r="AZ15" s="175" t="s">
        <v>90</v>
      </c>
      <c r="BA15" s="176" t="s">
        <v>171</v>
      </c>
      <c r="BB15" s="176" t="s">
        <v>172</v>
      </c>
      <c r="BC15" s="405"/>
      <c r="BD15" s="405"/>
      <c r="BE15" s="406"/>
      <c r="BF15" s="405"/>
      <c r="BH15" s="204">
        <v>970</v>
      </c>
      <c r="BI15" s="204">
        <v>935</v>
      </c>
      <c r="BJ15" s="204">
        <v>895</v>
      </c>
      <c r="BK15" s="204">
        <v>855</v>
      </c>
      <c r="BL15" s="204">
        <v>815</v>
      </c>
      <c r="BM15" s="204">
        <v>805</v>
      </c>
      <c r="BN15" s="178" t="s">
        <v>173</v>
      </c>
      <c r="BO15" s="179"/>
      <c r="BP15" s="180" t="s">
        <v>171</v>
      </c>
      <c r="BQ15" s="180"/>
      <c r="BR15" s="180" t="s">
        <v>172</v>
      </c>
      <c r="BS15" s="180"/>
      <c r="BT15" s="508">
        <v>970</v>
      </c>
      <c r="BU15" s="508">
        <v>935</v>
      </c>
      <c r="BV15" s="508">
        <v>895</v>
      </c>
      <c r="BW15" s="508">
        <v>855</v>
      </c>
      <c r="BX15" s="204">
        <v>815</v>
      </c>
      <c r="BY15" s="204">
        <v>805</v>
      </c>
      <c r="BZ15" s="178" t="s">
        <v>173</v>
      </c>
      <c r="CA15" s="179"/>
      <c r="CB15" s="180" t="s">
        <v>171</v>
      </c>
      <c r="CC15" s="180"/>
      <c r="CD15" s="180" t="s">
        <v>172</v>
      </c>
      <c r="CG15" s="242" t="s">
        <v>90</v>
      </c>
      <c r="CH15" s="242"/>
      <c r="CI15" s="180" t="s">
        <v>171</v>
      </c>
      <c r="CJ15" s="180"/>
      <c r="CK15" s="180" t="s">
        <v>172</v>
      </c>
      <c r="CL15" s="309"/>
      <c r="CM15" s="242" t="s">
        <v>90</v>
      </c>
      <c r="CN15" s="242"/>
      <c r="CO15" s="180" t="s">
        <v>171</v>
      </c>
      <c r="CP15" s="180"/>
      <c r="CQ15" s="180" t="s">
        <v>172</v>
      </c>
      <c r="CR15" s="178"/>
      <c r="CS15" s="178"/>
      <c r="CT15" s="178"/>
      <c r="CU15" s="373"/>
      <c r="CV15" s="178"/>
      <c r="CW15" s="178"/>
      <c r="CX15" s="178"/>
      <c r="CY15" s="178"/>
      <c r="CZ15" s="178"/>
      <c r="DA15" s="373"/>
      <c r="DB15" s="178"/>
      <c r="DC15" s="178"/>
      <c r="DD15" s="178"/>
      <c r="DE15" s="179"/>
      <c r="DF15" s="178"/>
      <c r="DG15" s="373"/>
      <c r="DH15" s="178"/>
      <c r="DI15" s="178"/>
      <c r="DJ15" s="178"/>
      <c r="DK15" s="179"/>
      <c r="DL15" s="178"/>
      <c r="DM15" s="373"/>
      <c r="DQ15" s="148"/>
    </row>
    <row r="16" spans="1:145" ht="24.95" customHeight="1" thickTop="1" thickBot="1">
      <c r="A16" s="583" t="s">
        <v>80</v>
      </c>
      <c r="B16" s="584"/>
      <c r="C16" s="584"/>
      <c r="D16" s="584"/>
      <c r="E16" s="584"/>
      <c r="F16" s="584"/>
      <c r="G16" s="596">
        <f>VALUE(MID(J15,3,1))</f>
        <v>8</v>
      </c>
      <c r="H16" s="597"/>
      <c r="I16" s="276"/>
      <c r="J16" s="587"/>
      <c r="K16" s="587"/>
      <c r="P16" s="590"/>
      <c r="Q16" s="591"/>
      <c r="R16" s="594"/>
      <c r="S16" s="595"/>
      <c r="AD16" s="37">
        <v>1</v>
      </c>
      <c r="AE16" s="263"/>
      <c r="AF16" s="263" t="s">
        <v>134</v>
      </c>
      <c r="AG16" s="269"/>
      <c r="AH16" s="267">
        <v>1</v>
      </c>
      <c r="AJ16" s="407">
        <v>1</v>
      </c>
      <c r="AK16" s="209"/>
      <c r="AL16" s="541">
        <v>1</v>
      </c>
      <c r="AM16" s="359">
        <v>1</v>
      </c>
      <c r="AN16" s="216" t="s">
        <v>16</v>
      </c>
      <c r="AO16" s="97" t="str">
        <f>IF(ISNA(MATCH(AJ16,$AH$16:$AH$115,0)),"",INDEX($AF$16:$AF$117,0))</f>
        <v>A1</v>
      </c>
      <c r="AP16" s="181">
        <v>1</v>
      </c>
      <c r="AQ16" s="408"/>
      <c r="AR16" s="536">
        <v>1</v>
      </c>
      <c r="AS16" s="359">
        <v>4</v>
      </c>
      <c r="AT16" s="230"/>
      <c r="AU16" s="262" t="str">
        <f>IF($AP16=$AP17,"résultat",IF($AP16&gt;$AP17,$AO16,$AO17))</f>
        <v>A1</v>
      </c>
      <c r="AV16" s="234">
        <v>1</v>
      </c>
      <c r="AW16" s="409"/>
      <c r="AX16" s="410"/>
      <c r="AY16" s="411"/>
      <c r="AZ16" s="411"/>
      <c r="BA16" s="411"/>
      <c r="BB16" s="411"/>
      <c r="BC16" s="411"/>
      <c r="BD16" s="412">
        <v>1</v>
      </c>
      <c r="BE16" s="413"/>
      <c r="BF16" s="241" t="str">
        <f>IF($AV16=$AV17,"résultat",IF($AV16&gt;$AV17,$AU16,$AU17))</f>
        <v>A1</v>
      </c>
      <c r="BH16" s="47"/>
      <c r="BI16" s="47"/>
      <c r="BJ16" s="47"/>
      <c r="BK16" s="47"/>
      <c r="BL16" s="204"/>
      <c r="BM16" s="204"/>
      <c r="BN16" s="179"/>
      <c r="BO16" s="179"/>
      <c r="BP16" s="280" t="s">
        <v>16</v>
      </c>
      <c r="BQ16" s="243"/>
      <c r="BR16" s="180"/>
      <c r="BS16" s="180"/>
      <c r="BT16" s="508"/>
      <c r="BU16" s="508"/>
      <c r="BV16" s="508"/>
      <c r="BW16" s="508"/>
      <c r="BX16" s="205"/>
      <c r="BY16" s="205"/>
      <c r="BZ16" s="179"/>
      <c r="CA16" s="179"/>
      <c r="CB16" s="280" t="s">
        <v>17</v>
      </c>
      <c r="CC16" s="281"/>
      <c r="CD16" s="180"/>
      <c r="CG16" s="229"/>
      <c r="CH16" s="229"/>
      <c r="CI16" s="365" t="s">
        <v>16</v>
      </c>
      <c r="CJ16" s="243"/>
      <c r="CK16" s="180"/>
      <c r="CL16" s="364"/>
      <c r="CM16" s="229"/>
      <c r="CN16" s="229"/>
      <c r="CO16" s="366" t="s">
        <v>16</v>
      </c>
      <c r="CP16" s="243"/>
      <c r="CQ16" s="180"/>
      <c r="CR16" s="182"/>
      <c r="CS16" s="182"/>
      <c r="CT16" s="182"/>
      <c r="CU16" s="182"/>
      <c r="CV16" s="183"/>
      <c r="CW16" s="373"/>
      <c r="CX16" s="178"/>
      <c r="CY16" s="178"/>
      <c r="CZ16" s="178"/>
      <c r="DA16" s="178"/>
      <c r="DB16" s="179"/>
      <c r="DC16" s="373"/>
      <c r="DH16" s="148"/>
      <c r="DL16" s="660" t="s">
        <v>14</v>
      </c>
      <c r="DM16" s="661"/>
      <c r="DN16" s="661"/>
      <c r="DO16" s="661"/>
      <c r="DP16" s="661"/>
      <c r="DQ16" s="661"/>
      <c r="DR16" s="662"/>
    </row>
    <row r="17" spans="1:122" ht="24.95" customHeight="1" thickBot="1">
      <c r="B17" s="161"/>
      <c r="AD17" s="38">
        <v>2</v>
      </c>
      <c r="AE17" s="264"/>
      <c r="AF17" s="264" t="s">
        <v>135</v>
      </c>
      <c r="AG17" s="270"/>
      <c r="AH17" s="268">
        <v>2</v>
      </c>
      <c r="AJ17" s="414">
        <v>2</v>
      </c>
      <c r="AK17" s="401" t="str">
        <f>CONCATENATE(E22,E23)</f>
        <v>43</v>
      </c>
      <c r="AL17" s="542"/>
      <c r="AM17" s="360"/>
      <c r="AN17" s="217" t="s">
        <v>17</v>
      </c>
      <c r="AO17" s="98" t="str">
        <f>IF(ISNA(MATCH(AJ17,$AH$16:$AH$115,0)),"",INDEX($AF$16:$AF$117,0))</f>
        <v>B1</v>
      </c>
      <c r="AP17" s="184">
        <v>0</v>
      </c>
      <c r="AQ17" s="408"/>
      <c r="AR17" s="537"/>
      <c r="AS17" s="360"/>
      <c r="AT17" s="231"/>
      <c r="AU17" s="339" t="str">
        <f>IF($AP18=$AP19,"résultat",IF($AP18&gt;$AP19,$AO18,$AO19))</f>
        <v>C1</v>
      </c>
      <c r="AV17" s="235">
        <v>0</v>
      </c>
      <c r="AW17" s="415"/>
      <c r="AX17" s="410"/>
      <c r="AY17" s="411"/>
      <c r="AZ17" s="411"/>
      <c r="BA17" s="411"/>
      <c r="BB17" s="411"/>
      <c r="BC17" s="411"/>
      <c r="BD17" s="416">
        <v>2</v>
      </c>
      <c r="BE17" s="247" t="str">
        <f>+AK17</f>
        <v>43</v>
      </c>
      <c r="BF17" s="185" t="str">
        <f>IF($AV16=$AV17,"résultat",IF($AV16&lt;$AV17,$AU16,$AU17))</f>
        <v>C1</v>
      </c>
      <c r="BH17" s="700" t="s">
        <v>257</v>
      </c>
      <c r="BI17" s="700"/>
      <c r="BJ17" s="700"/>
      <c r="BK17" s="700"/>
      <c r="BL17" s="700"/>
      <c r="BM17" s="701"/>
      <c r="BN17" s="519">
        <v>1</v>
      </c>
      <c r="BO17" s="524" t="str">
        <f>+BF16</f>
        <v>A1</v>
      </c>
      <c r="BP17" s="525"/>
      <c r="BQ17" s="526"/>
      <c r="BR17" s="277">
        <v>1</v>
      </c>
      <c r="BS17" s="242"/>
      <c r="BT17" s="637" t="s">
        <v>282</v>
      </c>
      <c r="BU17" s="637"/>
      <c r="BV17" s="637"/>
      <c r="BW17" s="637"/>
      <c r="BX17" s="637"/>
      <c r="BY17" s="638"/>
      <c r="BZ17" s="519">
        <v>17</v>
      </c>
      <c r="CA17" s="524" t="str">
        <f>+BF80</f>
        <v>A17</v>
      </c>
      <c r="CB17" s="525"/>
      <c r="CC17" s="547"/>
      <c r="CD17" s="283">
        <v>0</v>
      </c>
      <c r="CG17" s="575">
        <v>1</v>
      </c>
      <c r="CH17" s="577" t="str">
        <f>+BF16</f>
        <v>A1</v>
      </c>
      <c r="CI17" s="578"/>
      <c r="CJ17" s="579"/>
      <c r="CK17" s="273">
        <v>1</v>
      </c>
      <c r="CL17" s="417" t="s">
        <v>174</v>
      </c>
      <c r="CM17" s="575">
        <v>1</v>
      </c>
      <c r="CN17" s="577" t="str">
        <f>IF(CK17=CK18,"résultat",IF(CK17&gt;CK18,CH17,CH18))</f>
        <v>C9</v>
      </c>
      <c r="CO17" s="578"/>
      <c r="CP17" s="579"/>
      <c r="CQ17" s="273">
        <v>1</v>
      </c>
      <c r="CR17" s="418"/>
      <c r="CS17" s="182"/>
      <c r="CT17" s="182"/>
      <c r="CU17" s="182"/>
      <c r="CV17" s="183"/>
      <c r="CW17" s="182"/>
      <c r="CX17" s="373"/>
      <c r="CY17" s="178"/>
      <c r="CZ17" s="178"/>
      <c r="DA17" s="178"/>
      <c r="DB17" s="179"/>
      <c r="DC17" s="373"/>
      <c r="DD17" s="373"/>
      <c r="DH17" s="148"/>
    </row>
    <row r="18" spans="1:122" ht="24.95" customHeight="1" thickBot="1">
      <c r="AD18" s="38">
        <v>3</v>
      </c>
      <c r="AE18" s="264"/>
      <c r="AF18" s="264" t="s">
        <v>136</v>
      </c>
      <c r="AG18" s="270"/>
      <c r="AH18" s="268">
        <v>3</v>
      </c>
      <c r="AJ18" s="414">
        <v>3</v>
      </c>
      <c r="AK18" s="209"/>
      <c r="AL18" s="542"/>
      <c r="AM18" s="361">
        <v>2</v>
      </c>
      <c r="AN18" s="218" t="s">
        <v>64</v>
      </c>
      <c r="AO18" s="99" t="str">
        <f>IF(ISNA(MATCH(AJ18,$AH$16:$AH$115,0)),"",INDEX($AF$16:$AF$117,0))</f>
        <v>C1</v>
      </c>
      <c r="AP18" s="186">
        <v>1</v>
      </c>
      <c r="AQ18" s="408"/>
      <c r="AR18" s="537"/>
      <c r="AS18" s="361">
        <v>5</v>
      </c>
      <c r="AT18" s="232"/>
      <c r="AU18" s="224" t="str">
        <f>IF($AP16=$AP17,"résultat",IF($AP16&lt;$AP17,$AO16,$AO17))</f>
        <v>B1</v>
      </c>
      <c r="AV18" s="236">
        <v>1</v>
      </c>
      <c r="AW18" s="415"/>
      <c r="AX18" s="410"/>
      <c r="AY18" s="411"/>
      <c r="AZ18" s="411"/>
      <c r="BA18" s="411"/>
      <c r="BB18" s="411"/>
      <c r="BC18" s="411"/>
      <c r="BD18" s="419">
        <v>3</v>
      </c>
      <c r="BE18" s="243"/>
      <c r="BF18" s="347" t="str">
        <f>IF($AV18=$AV19,"résultat",IF($AV18&gt;$AV19,$AU18,$AU19))</f>
        <v>B1</v>
      </c>
      <c r="BH18" s="639" t="s">
        <v>258</v>
      </c>
      <c r="BI18" s="639"/>
      <c r="BJ18" s="639"/>
      <c r="BK18" s="639"/>
      <c r="BL18" s="639"/>
      <c r="BM18" s="640"/>
      <c r="BN18" s="520"/>
      <c r="BO18" s="544" t="str">
        <f>IF(OR(AND(J15&gt;800,J15&lt;970)),BF8,0)</f>
        <v>CQ 4_</v>
      </c>
      <c r="BP18" s="545"/>
      <c r="BQ18" s="546"/>
      <c r="BR18" s="278">
        <v>0</v>
      </c>
      <c r="BS18" s="242"/>
      <c r="BT18" s="529" t="s">
        <v>307</v>
      </c>
      <c r="BU18" s="529"/>
      <c r="BV18" s="529"/>
      <c r="BW18" s="529"/>
      <c r="BX18" s="529"/>
      <c r="BY18" s="530"/>
      <c r="BZ18" s="520"/>
      <c r="CA18" s="566" t="str">
        <f>+BF77</f>
        <v>C16</v>
      </c>
      <c r="CB18" s="567"/>
      <c r="CC18" s="568"/>
      <c r="CD18" s="420">
        <v>1</v>
      </c>
      <c r="CG18" s="576"/>
      <c r="CH18" s="580" t="str">
        <f>+BF49</f>
        <v>C9</v>
      </c>
      <c r="CI18" s="581"/>
      <c r="CJ18" s="582"/>
      <c r="CK18" s="187">
        <v>2</v>
      </c>
      <c r="CL18" s="417" t="str">
        <f>IF(CK17=CK18,"&amp;",IF(CK17&lt;CK18,CH17,CH18))</f>
        <v>A1</v>
      </c>
      <c r="CM18" s="576"/>
      <c r="CN18" s="580" t="str">
        <f>IF(CK22=CK23,"résultat",IF(CK22&gt;CK23,CH22,CH23))</f>
        <v>A2</v>
      </c>
      <c r="CO18" s="581"/>
      <c r="CP18" s="582"/>
      <c r="CQ18" s="187">
        <v>0</v>
      </c>
      <c r="CR18" s="418"/>
      <c r="CX18" s="373"/>
      <c r="CY18" s="178"/>
      <c r="CZ18" s="178"/>
      <c r="DA18" s="178"/>
      <c r="DB18" s="179"/>
      <c r="DC18" s="373"/>
      <c r="DD18" s="373"/>
      <c r="DH18" s="148"/>
    </row>
    <row r="19" spans="1:122" ht="24.95" customHeight="1" thickBot="1">
      <c r="AD19" s="39">
        <v>4</v>
      </c>
      <c r="AE19" s="264"/>
      <c r="AF19" s="264" t="s">
        <v>137</v>
      </c>
      <c r="AG19" s="270"/>
      <c r="AH19" s="268">
        <v>4</v>
      </c>
      <c r="AI19" s="100"/>
      <c r="AJ19" s="421">
        <v>4</v>
      </c>
      <c r="AK19" s="209"/>
      <c r="AL19" s="543"/>
      <c r="AM19" s="360"/>
      <c r="AN19" s="219" t="s">
        <v>55</v>
      </c>
      <c r="AO19" s="291" t="str">
        <f>IF(ISNA(MATCH(AJ19,$AH$16:$AH$115,0)),"",INDEX($AF$16:$AF$117,0))</f>
        <v>D1</v>
      </c>
      <c r="AP19" s="220">
        <v>0</v>
      </c>
      <c r="AQ19" s="408"/>
      <c r="AR19" s="538"/>
      <c r="AS19" s="362"/>
      <c r="AT19" s="233"/>
      <c r="AU19" s="224" t="str">
        <f>IF($AP18=$AP19,"résultat",IF($AP18&lt;$AP19,$AO18,$AO19))</f>
        <v>D1</v>
      </c>
      <c r="AV19" s="237">
        <v>0</v>
      </c>
      <c r="AW19" s="415"/>
      <c r="AX19" s="422"/>
      <c r="AY19" s="423"/>
      <c r="AZ19" s="423"/>
      <c r="BA19" s="423"/>
      <c r="BB19" s="423"/>
      <c r="BC19" s="423"/>
      <c r="BD19" s="424"/>
      <c r="BE19" s="425"/>
      <c r="BF19" s="177"/>
      <c r="BH19" s="47"/>
      <c r="BI19" s="47"/>
      <c r="BJ19" s="47"/>
      <c r="BK19" s="47"/>
      <c r="BL19" s="204"/>
      <c r="BM19" s="204"/>
      <c r="BN19" s="197"/>
      <c r="BO19" s="45"/>
      <c r="BP19" s="45"/>
      <c r="BQ19" s="45"/>
      <c r="BR19" s="25"/>
      <c r="BS19" s="25"/>
      <c r="BT19" s="45"/>
      <c r="BU19" s="45"/>
      <c r="BV19" s="45"/>
      <c r="BW19" s="45"/>
      <c r="BX19" s="509"/>
      <c r="BY19" s="45"/>
      <c r="BZ19" s="25"/>
      <c r="CA19" s="45"/>
      <c r="CB19" s="45"/>
      <c r="CC19" s="45"/>
      <c r="CD19" s="426"/>
      <c r="CG19" s="191"/>
      <c r="CH19" s="193"/>
      <c r="CI19" s="193"/>
      <c r="CJ19" s="193"/>
      <c r="CK19" s="229"/>
      <c r="CL19" s="417"/>
      <c r="CM19" s="191"/>
      <c r="CN19" s="193"/>
      <c r="CO19" s="193"/>
      <c r="CP19" s="193"/>
      <c r="CQ19" s="229"/>
      <c r="CR19" s="418"/>
      <c r="CS19" s="178" t="s">
        <v>173</v>
      </c>
      <c r="CT19" s="178"/>
      <c r="CU19" s="248" t="s">
        <v>16</v>
      </c>
      <c r="CV19" s="243"/>
      <c r="CW19" s="180" t="s">
        <v>172</v>
      </c>
      <c r="CX19" s="373"/>
      <c r="CY19" s="178"/>
      <c r="CZ19" s="178"/>
      <c r="DA19" s="178"/>
      <c r="DB19" s="179"/>
      <c r="DC19" s="178"/>
      <c r="DD19" s="373"/>
      <c r="DH19" s="148"/>
      <c r="DL19" s="257">
        <v>1</v>
      </c>
      <c r="DN19" s="683" t="str">
        <f>IF(OR(AND(EK7&gt;0,EK7&lt;9)),IF(DI25&gt;DI26,DF25,DF26),0)</f>
        <v>C9</v>
      </c>
      <c r="DO19" s="684"/>
      <c r="DP19" s="684"/>
      <c r="DQ19" s="684"/>
      <c r="DR19" s="685"/>
    </row>
    <row r="20" spans="1:122" ht="24.95" customHeight="1" thickTop="1" thickBot="1">
      <c r="A20" s="209"/>
      <c r="B20" s="209"/>
      <c r="C20" s="598" t="s">
        <v>138</v>
      </c>
      <c r="D20" s="599"/>
      <c r="E20" s="427" t="s">
        <v>39</v>
      </c>
      <c r="F20" s="428" t="s">
        <v>40</v>
      </c>
      <c r="G20" s="427" t="s">
        <v>41</v>
      </c>
      <c r="H20" s="429" t="s">
        <v>42</v>
      </c>
      <c r="I20" s="430" t="s">
        <v>43</v>
      </c>
      <c r="J20" s="431" t="s">
        <v>44</v>
      </c>
      <c r="K20" s="430" t="s">
        <v>45</v>
      </c>
      <c r="L20" s="431" t="s">
        <v>46</v>
      </c>
      <c r="M20" s="430" t="s">
        <v>47</v>
      </c>
      <c r="N20" s="431" t="s">
        <v>48</v>
      </c>
      <c r="O20" s="430" t="s">
        <v>49</v>
      </c>
      <c r="P20" s="431" t="s">
        <v>50</v>
      </c>
      <c r="Q20" s="430" t="s">
        <v>51</v>
      </c>
      <c r="R20" s="431" t="s">
        <v>52</v>
      </c>
      <c r="S20" s="430" t="s">
        <v>53</v>
      </c>
      <c r="T20" s="431" t="s">
        <v>54</v>
      </c>
      <c r="U20" s="430" t="s">
        <v>192</v>
      </c>
      <c r="V20" s="431" t="s">
        <v>193</v>
      </c>
      <c r="W20" s="430" t="s">
        <v>194</v>
      </c>
      <c r="X20" s="431" t="s">
        <v>195</v>
      </c>
      <c r="Y20" s="430" t="s">
        <v>226</v>
      </c>
      <c r="Z20" s="431" t="s">
        <v>227</v>
      </c>
      <c r="AA20" s="430" t="s">
        <v>228</v>
      </c>
      <c r="AB20" s="431" t="s">
        <v>229</v>
      </c>
      <c r="AC20" s="209"/>
      <c r="AD20" s="39">
        <v>5</v>
      </c>
      <c r="AE20" s="264"/>
      <c r="AF20" s="264" t="s">
        <v>91</v>
      </c>
      <c r="AG20" s="270"/>
      <c r="AH20" s="268">
        <v>5</v>
      </c>
      <c r="AI20" s="100"/>
      <c r="AJ20" s="407">
        <v>5</v>
      </c>
      <c r="AK20" s="209"/>
      <c r="AL20" s="541">
        <v>2</v>
      </c>
      <c r="AM20" s="359">
        <v>3</v>
      </c>
      <c r="AN20" s="216" t="s">
        <v>16</v>
      </c>
      <c r="AO20" s="99" t="str">
        <f>IF(ISNA(MATCH(AJ20,$AH$16:$AH$115,0)),"",INDEX($AF$16:$AF$117,MATCH(AJ20,$AH$16:$AH$115,0)))</f>
        <v>A2</v>
      </c>
      <c r="AP20" s="181">
        <v>1</v>
      </c>
      <c r="AQ20" s="408"/>
      <c r="AR20" s="536">
        <v>2</v>
      </c>
      <c r="AS20" s="359">
        <v>6</v>
      </c>
      <c r="AT20" s="230"/>
      <c r="AU20" s="262" t="str">
        <f>IF($AP20=$AP21,"résultat",IF($AP20&gt;$AP21,$AO20,$AO21))</f>
        <v>A2</v>
      </c>
      <c r="AV20" s="234">
        <v>1</v>
      </c>
      <c r="AW20" s="409"/>
      <c r="AX20" s="410"/>
      <c r="AY20" s="411"/>
      <c r="AZ20" s="411"/>
      <c r="BA20" s="411"/>
      <c r="BB20" s="411"/>
      <c r="BC20" s="411"/>
      <c r="BD20" s="432">
        <v>1</v>
      </c>
      <c r="BE20" s="243"/>
      <c r="BF20" s="241" t="str">
        <f>IF($AV20=$AV21,"résultat",IF($AV20&gt;$AV21,$AU20,$AU21))</f>
        <v>A2</v>
      </c>
      <c r="BH20" s="47"/>
      <c r="BI20" s="47"/>
      <c r="BJ20" s="47"/>
      <c r="BK20" s="47"/>
      <c r="BL20" s="204"/>
      <c r="BM20" s="204"/>
      <c r="BN20" s="197"/>
      <c r="BO20" s="279"/>
      <c r="BP20" s="279"/>
      <c r="BQ20" s="279"/>
      <c r="BR20" s="242"/>
      <c r="BS20" s="242"/>
      <c r="BT20" s="501"/>
      <c r="BU20" s="501"/>
      <c r="BV20" s="501"/>
      <c r="BW20" s="501"/>
      <c r="BX20" s="205"/>
      <c r="BY20" s="205"/>
      <c r="BZ20" s="288"/>
      <c r="CA20" s="193"/>
      <c r="CB20" s="279"/>
      <c r="CC20" s="279"/>
      <c r="CD20" s="242"/>
      <c r="CG20" s="182"/>
      <c r="CH20" s="246"/>
      <c r="CI20" s="246"/>
      <c r="CJ20" s="246"/>
      <c r="CK20" s="244"/>
      <c r="CL20" s="417"/>
      <c r="CM20" s="182"/>
      <c r="CN20" s="246"/>
      <c r="CO20" s="246"/>
      <c r="CP20" s="246"/>
      <c r="CQ20" s="182"/>
      <c r="CR20" s="418"/>
      <c r="CS20" s="575">
        <v>1</v>
      </c>
      <c r="CT20" s="648" t="str">
        <f>IF(CQ17=CQ18,"Gagnant 1/8 A",IF(CQ17&gt;CQ18,CN17,CN18))</f>
        <v>C9</v>
      </c>
      <c r="CU20" s="649"/>
      <c r="CV20" s="650"/>
      <c r="CW20" s="273">
        <v>1</v>
      </c>
      <c r="CX20" s="433"/>
      <c r="CY20" s="178" t="s">
        <v>173</v>
      </c>
      <c r="CZ20" s="178"/>
      <c r="DA20" s="180" t="s">
        <v>171</v>
      </c>
      <c r="DB20" s="180"/>
      <c r="DC20" s="180" t="s">
        <v>172</v>
      </c>
      <c r="DD20" s="434"/>
      <c r="DE20" s="669" t="s">
        <v>13</v>
      </c>
      <c r="DF20" s="669"/>
      <c r="DG20" s="669"/>
      <c r="DH20" s="669"/>
      <c r="DI20" s="669"/>
      <c r="DL20" s="258">
        <v>2</v>
      </c>
      <c r="DN20" s="654" t="str">
        <f>IF(OR(AND(EK7&gt;1,EK7&lt;9)),IF(DI25&lt;DI26,DF25,DF26),0)</f>
        <v>A5</v>
      </c>
      <c r="DO20" s="655"/>
      <c r="DP20" s="655"/>
      <c r="DQ20" s="655"/>
      <c r="DR20" s="656"/>
    </row>
    <row r="21" spans="1:122" ht="24.95" customHeight="1" thickBot="1">
      <c r="E21" s="435"/>
      <c r="F21" s="436"/>
      <c r="G21" s="436"/>
      <c r="H21" s="437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T21" s="438"/>
      <c r="U21" s="438"/>
      <c r="V21" s="438"/>
      <c r="W21" s="438"/>
      <c r="X21" s="438"/>
      <c r="Y21" s="438"/>
      <c r="Z21" s="438"/>
      <c r="AA21" s="438"/>
      <c r="AB21" s="438"/>
      <c r="AD21" s="39">
        <v>6</v>
      </c>
      <c r="AE21" s="264"/>
      <c r="AF21" s="264" t="s">
        <v>96</v>
      </c>
      <c r="AG21" s="270"/>
      <c r="AH21" s="268">
        <v>6</v>
      </c>
      <c r="AI21" s="100"/>
      <c r="AJ21" s="414">
        <v>6</v>
      </c>
      <c r="AK21" s="401" t="str">
        <f>CONCATENATE(F22,F23)</f>
        <v>43</v>
      </c>
      <c r="AL21" s="542"/>
      <c r="AM21" s="360"/>
      <c r="AN21" s="217" t="s">
        <v>17</v>
      </c>
      <c r="AO21" s="98" t="str">
        <f>IF(ISNA(MATCH(AJ21,$AH$16:$AH$115,0)),"",INDEX($AF$16:$AF$117,0))</f>
        <v>B2</v>
      </c>
      <c r="AP21" s="184">
        <v>0</v>
      </c>
      <c r="AQ21" s="408"/>
      <c r="AR21" s="537"/>
      <c r="AS21" s="360"/>
      <c r="AT21" s="231"/>
      <c r="AU21" s="339" t="str">
        <f>IF($AP22=$AP23,"résultat",IF($AP22&gt;$AP23,$AO22,$AO23))</f>
        <v>C2</v>
      </c>
      <c r="AV21" s="235">
        <v>0</v>
      </c>
      <c r="AW21" s="415"/>
      <c r="AX21" s="410"/>
      <c r="AY21" s="411"/>
      <c r="AZ21" s="411"/>
      <c r="BA21" s="411"/>
      <c r="BB21" s="411"/>
      <c r="BC21" s="411"/>
      <c r="BD21" s="416">
        <v>2</v>
      </c>
      <c r="BE21" s="247" t="str">
        <f>+AK21</f>
        <v>43</v>
      </c>
      <c r="BF21" s="185" t="str">
        <f>IF($AV20=$AV21,"résultat",IF($AV20&lt;$AV21,$AU20,$AU21))</f>
        <v>C2</v>
      </c>
      <c r="BH21" s="47"/>
      <c r="BI21" s="47"/>
      <c r="BJ21" s="47"/>
      <c r="BK21" s="47"/>
      <c r="BL21" s="204"/>
      <c r="BM21" s="204"/>
      <c r="BN21" s="179"/>
      <c r="BO21" s="503"/>
      <c r="BP21" s="504" t="s">
        <v>64</v>
      </c>
      <c r="BQ21" s="505"/>
      <c r="BR21" s="282"/>
      <c r="BS21" s="282"/>
      <c r="BT21" s="284"/>
      <c r="BU21" s="284"/>
      <c r="BV21" s="284"/>
      <c r="BW21" s="284"/>
      <c r="BX21" s="205"/>
      <c r="BY21" s="205"/>
      <c r="BZ21" s="202"/>
      <c r="CA21" s="205"/>
      <c r="CB21" s="504" t="s">
        <v>55</v>
      </c>
      <c r="CC21" s="352"/>
      <c r="CD21" s="180"/>
      <c r="CG21" s="182"/>
      <c r="CH21" s="246"/>
      <c r="CI21" s="513" t="s">
        <v>17</v>
      </c>
      <c r="CJ21" s="514"/>
      <c r="CK21" s="380"/>
      <c r="CL21" s="247"/>
      <c r="CM21" s="182"/>
      <c r="CN21" s="246"/>
      <c r="CO21" s="518" t="s">
        <v>17</v>
      </c>
      <c r="CP21" s="514"/>
      <c r="CR21" s="190"/>
      <c r="CS21" s="576"/>
      <c r="CT21" s="617" t="str">
        <f>IF(CN22=CN23,"Gagnant 1/8 B",IF(CQ22&gt;CQ23,CN22,CN23))</f>
        <v>A3</v>
      </c>
      <c r="CU21" s="618"/>
      <c r="CV21" s="619"/>
      <c r="CW21" s="187">
        <v>0</v>
      </c>
      <c r="CX21" s="434"/>
      <c r="CY21" s="178"/>
      <c r="CZ21" s="178"/>
      <c r="DA21" s="180"/>
      <c r="DB21" s="180"/>
      <c r="DC21" s="180"/>
      <c r="DD21" s="434"/>
      <c r="DJ21" s="209"/>
      <c r="DL21" s="258">
        <v>3</v>
      </c>
      <c r="DN21" s="654" t="str">
        <f>IF(OR(AND(EK7&gt;2,EK7&lt;9)),IF(DI35&gt;DI36,DF35,DF36),0)</f>
        <v>A9</v>
      </c>
      <c r="DO21" s="655"/>
      <c r="DP21" s="655"/>
      <c r="DQ21" s="655"/>
      <c r="DR21" s="656"/>
    </row>
    <row r="22" spans="1:122" ht="24.95" customHeight="1" thickBot="1">
      <c r="A22" s="598" t="s">
        <v>86</v>
      </c>
      <c r="B22" s="600"/>
      <c r="C22" s="599"/>
      <c r="D22" s="483">
        <f>SUM(E22+F22+G22+H22+I22+J22+K22+L22+M22+N22+O22+P22+Q22+R22+S22+T22+U22+V22+W22+X22+Y22+Z22+AA22+AB22)</f>
        <v>96</v>
      </c>
      <c r="E22" s="484" t="str">
        <f>IF(OR(AND(J15&gt;650,J15&lt;970)),"4",IF(OR(AND(J15&gt;820,J15&lt;1010)),"5","0"))</f>
        <v>4</v>
      </c>
      <c r="F22" s="485" t="str">
        <f>IF(OR(AND(J15&gt;640,J15&lt;970)),"4",IF(OR(AND(J15&gt;820,J15&lt;1010)),"5","0"))</f>
        <v>4</v>
      </c>
      <c r="G22" s="486" t="str">
        <f>IF(OR(AND(J15&gt;640,J15&lt;970)),"4",IF(OR(AND(J15&gt;0,J15&lt;0)),"5",0))</f>
        <v>4</v>
      </c>
      <c r="H22" s="487" t="str">
        <f>IF(OR(AND(J15&gt;640,J15&lt;970)),"4",IF(OR(AND(J15&gt;0,J15&lt;0)),"5",0))</f>
        <v>4</v>
      </c>
      <c r="I22" s="486" t="str">
        <f>IF(OR(AND(J15&gt;640,J15&lt;970)),"4",IF(OR(AND(J15&gt;0,J15&lt;0)),"0",0))</f>
        <v>4</v>
      </c>
      <c r="J22" s="487" t="str">
        <f>IF(OR(AND(J15&gt;640,J15&lt;970)),"4",IF(OR(AND(J15&gt;860,J15&lt;1010)),"5",0))</f>
        <v>4</v>
      </c>
      <c r="K22" s="488" t="str">
        <f>IF(OR(AND(J15&gt;640,J15&lt;970)),"4",IF(OR(AND(J15&gt;870,J15&lt;1010)),"5",0))</f>
        <v>4</v>
      </c>
      <c r="L22" s="489" t="str">
        <f>IF(OR(AND(J15&gt;640,J15&lt;970)),"4",IF(OR(AND(J15&gt;0,J15&lt;0)),"0",0))</f>
        <v>4</v>
      </c>
      <c r="M22" s="486" t="str">
        <f>IF(OR(AND(J15&gt;820,J15&lt;820)),"3",IF(OR(AND(J15&gt;800,J15&lt;970)),"4",0))</f>
        <v>4</v>
      </c>
      <c r="N22" s="489" t="str">
        <f>IF(OR(AND(J15&gt;820,J15&lt;820)),"3",IF(OR(AND(J15&gt;800,J15&lt;970)),"4",0))</f>
        <v>4</v>
      </c>
      <c r="O22" s="488" t="str">
        <f>IF(OR(AND(J15&gt;820,J15&lt;820)),"3",IF(OR(AND(J15&gt;800,J15&lt;970)),"4",0))</f>
        <v>4</v>
      </c>
      <c r="P22" s="487" t="str">
        <f>IF(OR(AND($J$15&gt;820,$J$15&lt;820)),"3",IF(OR(AND(J15&gt;800,J15&lt;970)),"4",0))</f>
        <v>4</v>
      </c>
      <c r="Q22" s="486" t="str">
        <f>IF(OR(AND($J$15&gt;820,$J$15&lt;820)),"3",IF(OR(AND(J15&gt;800,J15&lt;970)),"4",0))</f>
        <v>4</v>
      </c>
      <c r="R22" s="487" t="str">
        <f>IF(OR(AND($J$15&gt;820,$J$15&lt;820)),"3",IF(OR(AND(J15&gt;800,J15&lt;970)),"4",0))</f>
        <v>4</v>
      </c>
      <c r="S22" s="488" t="str">
        <f>IF(OR(AND($J$15&gt;820,$J$15&lt;820)),"3",IF(OR(AND(J15&gt;800,J15&lt;970)),"4",0))</f>
        <v>4</v>
      </c>
      <c r="T22" s="490" t="str">
        <f>IF(OR(AND($J$15&gt;820,$J$15&lt;820)),"3",IF(OR(AND($J$15&gt;800,$J$15&lt;970)),"4",0))</f>
        <v>4</v>
      </c>
      <c r="U22" s="490" t="str">
        <f>IF(OR(AND($J$15&gt;820,J15&lt;820)),"3",IF(OR(AND($J$15&gt;800,$J$15&lt;970)),"4",0))</f>
        <v>4</v>
      </c>
      <c r="V22" s="490" t="str">
        <f>IF(OR(AND(J15&gt;820,J15&lt;820)),"3",IF(OR(AND($J$15&gt;800,$J$15&lt;970)),"4",0))</f>
        <v>4</v>
      </c>
      <c r="W22" s="491" t="str">
        <f>IF(OR(AND($J$15&gt;810,$J$15&lt;820)),"3",IF(OR(AND($J$15&gt;800,$J$15&lt;970)),"4",0))</f>
        <v>4</v>
      </c>
      <c r="X22" s="491" t="str">
        <f>IF(OR(AND($J$15&gt;810,$J$15&lt;830),AND(J15&gt;850,J15&lt;860)),"3",IF(OR(AND($J$15&gt;800,$J$15&lt;850),AND(J15&gt;860,J15&lt;970)),"4",0))</f>
        <v>4</v>
      </c>
      <c r="Y22" s="492" t="str">
        <f>IF(OR(AND($J$15&gt;810,$J$15&lt;840),AND(J15&gt;850,J15&lt;870),AND(J15&gt;890,J15&lt;900)),"3",IF(OR(AND(J15&gt;840,J15&lt;850),AND($J$15&gt;870,$J$15&lt;890),AND(J15&gt;900,J15&lt;970)),"4",0))</f>
        <v>4</v>
      </c>
      <c r="Z22" s="492" t="str">
        <f>IF(OR(AND($J$15&gt;820,$J$15&lt;820),AND(J15&gt;850,J15&lt;880),AND(J15&gt;890,J15&lt;910),AND(J15&gt;930,J15&lt;940)),"3",IF(OR(AND($J$15&gt;880,$J$15&lt;890),AND(J15&gt;910,J15&lt;930),AND(J15&gt;940,J15&lt;970)),"4",0))</f>
        <v>4</v>
      </c>
      <c r="AA22" s="492" t="str">
        <f>IF(OR(AND($J$15&gt;830,$J$15&lt;830),AND(J15&gt;890,J15&lt;920),AND(J15&gt;930,J15&lt;950)),"3",IF(OR(AND($J$15&gt;920,$J$15&lt;930),AND(J15&gt;950,J15&lt;970)),"4",0))</f>
        <v>4</v>
      </c>
      <c r="AB22" s="492" t="str">
        <f>IF(OR(AND($J$15&gt;930,$J$15&lt;960)),"3",IF(OR(AND($J$15&gt;960,$J$15&lt;970)),"4",0))</f>
        <v>4</v>
      </c>
      <c r="AC22" s="380"/>
      <c r="AD22" s="39">
        <v>7</v>
      </c>
      <c r="AE22" s="264"/>
      <c r="AF22" s="264" t="s">
        <v>97</v>
      </c>
      <c r="AG22" s="270"/>
      <c r="AH22" s="268">
        <v>7</v>
      </c>
      <c r="AI22" s="100"/>
      <c r="AJ22" s="414">
        <v>7</v>
      </c>
      <c r="AK22" s="209"/>
      <c r="AL22" s="542"/>
      <c r="AM22" s="361">
        <v>4</v>
      </c>
      <c r="AN22" s="218" t="s">
        <v>64</v>
      </c>
      <c r="AO22" s="99" t="str">
        <f>IF(ISNA(MATCH(AJ22,$AH$16:$AH$115,0)),"",INDEX($AF$16:$AF$117,MATCH(AJ22,$AH$16:$AH$115,0)))</f>
        <v>C2</v>
      </c>
      <c r="AP22" s="186">
        <v>1</v>
      </c>
      <c r="AQ22" s="408"/>
      <c r="AR22" s="537"/>
      <c r="AS22" s="361">
        <v>7</v>
      </c>
      <c r="AT22" s="232"/>
      <c r="AU22" s="224" t="str">
        <f>IF($AP20=$AP21,"résultat",IF($AP20&lt;$AP21,$AO20,$AO21))</f>
        <v>B2</v>
      </c>
      <c r="AV22" s="236">
        <v>1</v>
      </c>
      <c r="AW22" s="415"/>
      <c r="AX22" s="410"/>
      <c r="AY22" s="411"/>
      <c r="AZ22" s="411"/>
      <c r="BA22" s="411"/>
      <c r="BB22" s="411"/>
      <c r="BC22" s="411"/>
      <c r="BD22" s="419">
        <v>3</v>
      </c>
      <c r="BE22" s="243"/>
      <c r="BF22" s="347" t="str">
        <f>IF($AV22=$AV23,"résultat",IF($AV22&gt;$AV23,$AU22,$AU23))</f>
        <v>B2</v>
      </c>
      <c r="BH22" s="637" t="s">
        <v>264</v>
      </c>
      <c r="BI22" s="637"/>
      <c r="BJ22" s="637"/>
      <c r="BK22" s="637"/>
      <c r="BL22" s="637"/>
      <c r="BM22" s="638"/>
      <c r="BN22" s="519">
        <v>2</v>
      </c>
      <c r="BO22" s="524" t="str">
        <f>+BF20</f>
        <v>A2</v>
      </c>
      <c r="BP22" s="525"/>
      <c r="BQ22" s="547"/>
      <c r="BR22" s="283">
        <v>1</v>
      </c>
      <c r="BS22" s="242"/>
      <c r="BT22" s="637" t="s">
        <v>283</v>
      </c>
      <c r="BU22" s="637"/>
      <c r="BV22" s="637"/>
      <c r="BW22" s="637"/>
      <c r="BX22" s="637"/>
      <c r="BY22" s="638"/>
      <c r="BZ22" s="519">
        <v>18</v>
      </c>
      <c r="CA22" s="524" t="str">
        <f>+BF84</f>
        <v>A18</v>
      </c>
      <c r="CB22" s="525"/>
      <c r="CC22" s="547"/>
      <c r="CD22" s="283">
        <v>0</v>
      </c>
      <c r="CG22" s="575">
        <v>2</v>
      </c>
      <c r="CH22" s="577" t="str">
        <f>+BF20</f>
        <v>A2</v>
      </c>
      <c r="CI22" s="578"/>
      <c r="CJ22" s="579"/>
      <c r="CK22" s="273">
        <v>1</v>
      </c>
      <c r="CL22" s="417" t="str">
        <f>IF(CK22=CK23,"&amp;",IF(CK22&gt;CK23,CH22,CH23))</f>
        <v>A2</v>
      </c>
      <c r="CM22" s="575">
        <v>2</v>
      </c>
      <c r="CN22" s="577" t="str">
        <f>IF(CK27=CK28,"résultat",IF(CK27&gt;CK28,CH27,CH28))</f>
        <v>A3</v>
      </c>
      <c r="CO22" s="578"/>
      <c r="CP22" s="579"/>
      <c r="CQ22" s="273">
        <v>1</v>
      </c>
      <c r="CR22" s="418"/>
      <c r="CS22" s="191"/>
      <c r="CT22" s="191"/>
      <c r="CU22" s="439"/>
      <c r="CV22" s="288"/>
      <c r="CW22" s="229"/>
      <c r="CX22" s="374"/>
      <c r="CY22" s="575">
        <v>1</v>
      </c>
      <c r="CZ22" s="648" t="str">
        <f>IF(CW20=CW21,"Gagnant 1/4 A",IF(CW20&gt;CW21,CT20,CT21))</f>
        <v>C9</v>
      </c>
      <c r="DA22" s="633"/>
      <c r="DB22" s="634"/>
      <c r="DC22" s="273">
        <v>1</v>
      </c>
      <c r="DD22" s="440"/>
      <c r="DJ22" s="434"/>
      <c r="DL22" s="258">
        <v>4</v>
      </c>
      <c r="DN22" s="654" t="str">
        <f>IF(OR(AND(EK7&gt;3,EK7&lt;9)),IF(DI35&lt;DI36,DF35,DF36),0)</f>
        <v>A13</v>
      </c>
      <c r="DO22" s="655"/>
      <c r="DP22" s="655"/>
      <c r="DQ22" s="655"/>
      <c r="DR22" s="656"/>
    </row>
    <row r="23" spans="1:122" ht="24.95" customHeight="1" thickBot="1">
      <c r="A23" s="598" t="s">
        <v>87</v>
      </c>
      <c r="B23" s="600"/>
      <c r="C23" s="599"/>
      <c r="D23" s="493">
        <f>SUM(E23+F23+G23+H23+I23+J23+K23+L23+M23+N23+O23+P23+Q23+R23+S23+T23+U23+V23+W23+X23+Y23+Z23+AA23+AB23)</f>
        <v>58</v>
      </c>
      <c r="E23" s="494" t="str">
        <f t="shared" ref="E23:L23" si="1">IF(OR(AND($J$15&gt;650,$J$15&lt;1010)),"3",0)</f>
        <v>3</v>
      </c>
      <c r="F23" s="495" t="str">
        <f t="shared" si="1"/>
        <v>3</v>
      </c>
      <c r="G23" s="494" t="str">
        <f t="shared" si="1"/>
        <v>3</v>
      </c>
      <c r="H23" s="495" t="str">
        <f t="shared" si="1"/>
        <v>3</v>
      </c>
      <c r="I23" s="494" t="str">
        <f t="shared" si="1"/>
        <v>3</v>
      </c>
      <c r="J23" s="495" t="str">
        <f t="shared" si="1"/>
        <v>3</v>
      </c>
      <c r="K23" s="494" t="str">
        <f t="shared" si="1"/>
        <v>3</v>
      </c>
      <c r="L23" s="495" t="str">
        <f t="shared" si="1"/>
        <v>3</v>
      </c>
      <c r="M23" s="494" t="str">
        <f>IF(OR(AND($J$15&gt;810,$J$15&lt;810)),"2",IF(OR(AND($J$15&gt;800,$J$15&lt;970)),"3",0))</f>
        <v>3</v>
      </c>
      <c r="N23" s="495" t="str">
        <f>IF(OR(AND($J$15&gt;820,$J$15&lt;820)),"2",IF(OR(AND($J$15&gt;800,$J$15&lt;970)),"3",0))</f>
        <v>3</v>
      </c>
      <c r="O23" s="496" t="str">
        <f>IF(OR(AND($J$15&gt;930,$J$15&lt;970)),"2",IF(OR(AND($J$15&gt;800,$J$15&lt;930)),"3",0))</f>
        <v>2</v>
      </c>
      <c r="P23" s="497" t="str">
        <f>IF(OR(AND($J$15&gt;930,$J$15&lt;970)),"2",IF(OR(AND($J$15&gt;800,$J$15&lt;930)),"3",0))</f>
        <v>2</v>
      </c>
      <c r="Q23" s="496" t="str">
        <f>IF(OR(AND($J$15&gt;890,$J$15&lt;970)),"2",IF(OR(AND($J$15&gt;800,$J$15&lt;890)),"3",0))</f>
        <v>2</v>
      </c>
      <c r="R23" s="497" t="str">
        <f>IF(OR(AND($J$15&gt;890,$J$15&lt;970)),"2",IF(OR(AND($J$15&gt;800,$J$15&lt;890)),"3",0))</f>
        <v>2</v>
      </c>
      <c r="S23" s="496" t="str">
        <f>IF(OR(AND($J$15&gt;850,$J$15&lt;970)),"2",IF(OR(AND($J$15&gt;800,$J$15&lt;850)),3,0))</f>
        <v>2</v>
      </c>
      <c r="T23" s="498" t="str">
        <f>IF(OR(AND($J15&gt;850,J15&lt;970)),"2",IF(OR(AND($J$15&gt;800,$J$15&lt;850)),"3",0))</f>
        <v>2</v>
      </c>
      <c r="U23" s="498" t="str">
        <f>IF(OR(AND($J15&gt;810,J15&lt;970)),"2",IF(OR(AND($J$15&gt;800,$J$15&lt;810)),"3",0))</f>
        <v>2</v>
      </c>
      <c r="V23" s="498" t="str">
        <f>IF(OR(AND(J15&gt;810,J15&lt;970)),"2",IF(OR(AND(J15&gt;800,J15&lt;810)),"3",0))</f>
        <v>2</v>
      </c>
      <c r="W23" s="499" t="str">
        <f>IF(OR(AND($J$15&gt;800,$J$15&lt;970)),"2",IF(OR(AND($J$15&gt;810,$J$15&lt;820)),"3",0))</f>
        <v>2</v>
      </c>
      <c r="X23" s="499" t="str">
        <f>IF(OR(AND($J$15&gt;800,$J$15&lt;970)),"2",IF(OR(AND($J$15&gt;0,$J$15&lt;0)),"3",0))</f>
        <v>2</v>
      </c>
      <c r="Y23" s="499" t="str">
        <f>IF(OR(AND($J$15&gt;810,$J$15&lt;970)),"2",0)</f>
        <v>2</v>
      </c>
      <c r="Z23" s="499" t="str">
        <f>IF(OR(AND($J$15&gt;820,$J$15&lt;820),AND(J15&gt;850,J15&lt;970)),"2",0)</f>
        <v>2</v>
      </c>
      <c r="AA23" s="499" t="str">
        <f>IF(OR(AND($J$15&gt;820,$J$15&lt;820),AND(J15&gt;890,J15&lt;970)),"2",0)</f>
        <v>2</v>
      </c>
      <c r="AB23" s="499" t="str">
        <f>IF(OR(AND($J$15&gt;930,$J$15&lt;970)),"2",0)</f>
        <v>2</v>
      </c>
      <c r="AC23" s="380"/>
      <c r="AD23" s="39">
        <v>8</v>
      </c>
      <c r="AE23" s="264"/>
      <c r="AF23" s="264" t="s">
        <v>98</v>
      </c>
      <c r="AG23" s="270"/>
      <c r="AH23" s="268">
        <v>8</v>
      </c>
      <c r="AI23" s="100"/>
      <c r="AJ23" s="414">
        <v>8</v>
      </c>
      <c r="AK23" s="209"/>
      <c r="AL23" s="543"/>
      <c r="AM23" s="360"/>
      <c r="AN23" s="219" t="s">
        <v>55</v>
      </c>
      <c r="AO23" s="291" t="str">
        <f t="shared" ref="AO23:AO54" si="2">IF(ISNA(MATCH(AJ23,$AH$16:$AH$115,0)),"",INDEX($AF$16:$AF$117,0))</f>
        <v>D2</v>
      </c>
      <c r="AP23" s="220">
        <v>0</v>
      </c>
      <c r="AQ23" s="408"/>
      <c r="AR23" s="538"/>
      <c r="AS23" s="362"/>
      <c r="AT23" s="233"/>
      <c r="AU23" s="224" t="str">
        <f>IF($AP22=$AP23,"résultat",IF($AP22&lt;$AP23,$AO22,$AO23))</f>
        <v>D2</v>
      </c>
      <c r="AV23" s="237">
        <v>0</v>
      </c>
      <c r="AW23" s="441"/>
      <c r="AX23" s="422"/>
      <c r="AY23" s="423"/>
      <c r="AZ23" s="423"/>
      <c r="BA23" s="423"/>
      <c r="BB23" s="423"/>
      <c r="BC23" s="423"/>
      <c r="BD23" s="424"/>
      <c r="BE23" s="425"/>
      <c r="BF23" s="177"/>
      <c r="BH23" s="639" t="s">
        <v>259</v>
      </c>
      <c r="BI23" s="639"/>
      <c r="BJ23" s="639"/>
      <c r="BK23" s="639"/>
      <c r="BL23" s="639"/>
      <c r="BM23" s="640"/>
      <c r="BN23" s="520"/>
      <c r="BO23" s="544" t="str">
        <f>IF(OR(AND(J15&gt;800,J15&lt;970)),BF10,0)</f>
        <v>CQ 5_</v>
      </c>
      <c r="BP23" s="545"/>
      <c r="BQ23" s="546"/>
      <c r="BR23" s="420">
        <v>0</v>
      </c>
      <c r="BS23" s="426"/>
      <c r="BT23" s="529" t="s">
        <v>306</v>
      </c>
      <c r="BU23" s="529"/>
      <c r="BV23" s="529"/>
      <c r="BW23" s="529"/>
      <c r="BX23" s="529"/>
      <c r="BY23" s="530"/>
      <c r="BZ23" s="520"/>
      <c r="CA23" s="566" t="str">
        <f>+BF73</f>
        <v>C15</v>
      </c>
      <c r="CB23" s="567"/>
      <c r="CC23" s="568"/>
      <c r="CD23" s="420">
        <v>1</v>
      </c>
      <c r="CG23" s="576"/>
      <c r="CH23" s="580" t="str">
        <f>+BF53</f>
        <v>C10</v>
      </c>
      <c r="CI23" s="581"/>
      <c r="CJ23" s="582"/>
      <c r="CK23" s="187">
        <v>0</v>
      </c>
      <c r="CL23" s="417" t="str">
        <f>IF(CK22=CK23,"&amp;",IF(CK22&lt;CK23,CH22,CH23))</f>
        <v>C10</v>
      </c>
      <c r="CM23" s="576"/>
      <c r="CN23" s="580" t="str">
        <f>IF(CK32=CK33,"résultat",IF(CK32&gt;CK33,CH32,CH33))</f>
        <v>A4</v>
      </c>
      <c r="CO23" s="581"/>
      <c r="CP23" s="582"/>
      <c r="CQ23" s="187">
        <v>0</v>
      </c>
      <c r="CR23" s="418"/>
      <c r="CS23" s="191"/>
      <c r="CT23" s="191"/>
      <c r="CU23" s="439"/>
      <c r="CV23" s="288"/>
      <c r="CW23" s="229"/>
      <c r="CX23" s="374"/>
      <c r="CY23" s="576"/>
      <c r="CZ23" s="611" t="str">
        <f>IF(CW40=CW41,"Gagnant 1/4 C",IF(CW40&gt;CW41,CT40,CT41))</f>
        <v>A9</v>
      </c>
      <c r="DA23" s="612"/>
      <c r="DB23" s="613"/>
      <c r="DC23" s="187">
        <v>0</v>
      </c>
      <c r="DD23" s="440"/>
      <c r="DH23" s="148"/>
      <c r="DJ23" s="434"/>
      <c r="DL23" s="258">
        <v>5</v>
      </c>
      <c r="DN23" s="654" t="str">
        <f>IF(OR(AND(EK7&gt;4,EK7&lt;9)),IF(DI45&gt;DI46,DF45,DF46),0)</f>
        <v>A3</v>
      </c>
      <c r="DO23" s="655"/>
      <c r="DP23" s="655"/>
      <c r="DQ23" s="655"/>
      <c r="DR23" s="656"/>
    </row>
    <row r="24" spans="1:122" ht="24.95" customHeight="1" thickTop="1" thickBot="1">
      <c r="A24" s="207"/>
      <c r="B24" s="207"/>
      <c r="C24" s="442"/>
      <c r="D24" s="371"/>
      <c r="E24" s="209"/>
      <c r="H24" s="443"/>
      <c r="I24" s="443"/>
      <c r="J24" s="443"/>
      <c r="K24" s="443"/>
      <c r="L24" s="443"/>
      <c r="M24" s="443"/>
      <c r="N24" s="443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D24" s="39">
        <v>9</v>
      </c>
      <c r="AE24" s="264"/>
      <c r="AF24" s="264" t="s">
        <v>92</v>
      </c>
      <c r="AG24" s="271"/>
      <c r="AH24" s="268">
        <v>9</v>
      </c>
      <c r="AI24" s="100"/>
      <c r="AJ24" s="444">
        <v>9</v>
      </c>
      <c r="AK24" s="209"/>
      <c r="AL24" s="541">
        <v>3</v>
      </c>
      <c r="AM24" s="359">
        <v>5</v>
      </c>
      <c r="AN24" s="216" t="s">
        <v>16</v>
      </c>
      <c r="AO24" s="99" t="str">
        <f t="shared" si="2"/>
        <v>A3</v>
      </c>
      <c r="AP24" s="181">
        <v>1</v>
      </c>
      <c r="AQ24" s="408"/>
      <c r="AR24" s="536">
        <v>3</v>
      </c>
      <c r="AS24" s="359">
        <v>8</v>
      </c>
      <c r="AT24" s="230"/>
      <c r="AU24" s="262" t="str">
        <f>IF($AP24=$AP25,"résultat",IF($AP24&gt;$AP25,$AO24,$AO25))</f>
        <v>A3</v>
      </c>
      <c r="AV24" s="234">
        <v>1</v>
      </c>
      <c r="AW24" s="415"/>
      <c r="AX24" s="410"/>
      <c r="AY24" s="411"/>
      <c r="AZ24" s="411"/>
      <c r="BA24" s="411"/>
      <c r="BB24" s="411"/>
      <c r="BC24" s="411"/>
      <c r="BD24" s="412">
        <v>1</v>
      </c>
      <c r="BE24" s="413"/>
      <c r="BF24" s="241" t="str">
        <f>IF($AV24=$AV25,"résultat",IF($AV24&gt;$AV25,$AU24,$AU25))</f>
        <v>A3</v>
      </c>
      <c r="BH24" s="47"/>
      <c r="BI24" s="47"/>
      <c r="BJ24" s="47"/>
      <c r="BK24" s="47"/>
      <c r="BL24" s="204"/>
      <c r="BM24" s="204"/>
      <c r="BN24" s="197"/>
      <c r="BO24" s="45"/>
      <c r="BP24" s="45"/>
      <c r="BQ24" s="45"/>
      <c r="BR24" s="25"/>
      <c r="BS24" s="25"/>
      <c r="BT24" s="45"/>
      <c r="BU24" s="45"/>
      <c r="BV24" s="45"/>
      <c r="BW24" s="45"/>
      <c r="BX24" s="509"/>
      <c r="BY24" s="45"/>
      <c r="BZ24" s="25"/>
      <c r="CA24" s="45"/>
      <c r="CB24" s="45"/>
      <c r="CC24" s="45"/>
      <c r="CD24" s="426"/>
      <c r="CG24" s="191"/>
      <c r="CH24" s="193"/>
      <c r="CI24" s="193"/>
      <c r="CJ24" s="193"/>
      <c r="CK24" s="229"/>
      <c r="CL24" s="417"/>
      <c r="CM24" s="191"/>
      <c r="CN24" s="193"/>
      <c r="CO24" s="193"/>
      <c r="CP24" s="193"/>
      <c r="CQ24" s="229"/>
      <c r="CR24" s="418"/>
      <c r="CS24" s="191"/>
      <c r="CT24" s="191"/>
      <c r="CU24" s="439"/>
      <c r="CV24" s="288"/>
      <c r="CW24" s="229"/>
      <c r="CX24" s="374"/>
      <c r="CY24" s="182"/>
      <c r="CZ24" s="182"/>
      <c r="DA24" s="182"/>
      <c r="DB24" s="183"/>
      <c r="DC24" s="182"/>
      <c r="DD24" s="440"/>
      <c r="DE24" s="178" t="s">
        <v>173</v>
      </c>
      <c r="DF24" s="178"/>
      <c r="DG24" s="180" t="s">
        <v>171</v>
      </c>
      <c r="DH24" s="180"/>
      <c r="DI24" s="180" t="s">
        <v>172</v>
      </c>
      <c r="DJ24" s="445"/>
      <c r="DL24" s="258">
        <v>6</v>
      </c>
      <c r="DN24" s="654" t="str">
        <f>IF(OR(AND(EK7&gt;5,EK7&lt;9)),IF(DI45&lt;DI46,DF45,DF46),"0")</f>
        <v>A7</v>
      </c>
      <c r="DO24" s="655"/>
      <c r="DP24" s="655"/>
      <c r="DQ24" s="655"/>
      <c r="DR24" s="656"/>
    </row>
    <row r="25" spans="1:122" ht="24.95" customHeight="1" thickBot="1">
      <c r="B25" s="601" t="s">
        <v>163</v>
      </c>
      <c r="C25" s="601"/>
      <c r="D25" s="601"/>
      <c r="AD25" s="39">
        <v>10</v>
      </c>
      <c r="AE25" s="264"/>
      <c r="AF25" s="264" t="s">
        <v>99</v>
      </c>
      <c r="AG25" s="270"/>
      <c r="AH25" s="268">
        <v>10</v>
      </c>
      <c r="AI25" s="100"/>
      <c r="AJ25" s="446">
        <v>10</v>
      </c>
      <c r="AK25" s="401" t="str">
        <f>CONCATENATE(G22,G23)</f>
        <v>43</v>
      </c>
      <c r="AL25" s="542"/>
      <c r="AM25" s="360"/>
      <c r="AN25" s="217" t="s">
        <v>17</v>
      </c>
      <c r="AO25" s="98" t="str">
        <f t="shared" si="2"/>
        <v>B3</v>
      </c>
      <c r="AP25" s="184">
        <v>0</v>
      </c>
      <c r="AQ25" s="408"/>
      <c r="AR25" s="537"/>
      <c r="AS25" s="360"/>
      <c r="AT25" s="231"/>
      <c r="AU25" s="339" t="str">
        <f>IF($AP26=$AP27,"résultat",IF($AP26&gt;$AP27,$AO26,$AO27))</f>
        <v>C3</v>
      </c>
      <c r="AV25" s="235">
        <v>0</v>
      </c>
      <c r="AW25" s="415"/>
      <c r="AX25" s="410"/>
      <c r="AY25" s="411"/>
      <c r="AZ25" s="411"/>
      <c r="BA25" s="411"/>
      <c r="BB25" s="411"/>
      <c r="BC25" s="411"/>
      <c r="BD25" s="416">
        <v>2</v>
      </c>
      <c r="BE25" s="247" t="str">
        <f>+AK25</f>
        <v>43</v>
      </c>
      <c r="BF25" s="185" t="str">
        <f>IF($AV24=$AV25,"résultat",IF($AV24&lt;$AV25,$AU24,$AU25))</f>
        <v>C3</v>
      </c>
      <c r="BH25" s="47"/>
      <c r="BI25" s="47"/>
      <c r="BJ25" s="47"/>
      <c r="BK25" s="47"/>
      <c r="BL25" s="204"/>
      <c r="BM25" s="204"/>
      <c r="BN25" s="197"/>
      <c r="BO25" s="279"/>
      <c r="BP25" s="279"/>
      <c r="BQ25" s="279"/>
      <c r="BR25" s="242"/>
      <c r="BS25" s="242"/>
      <c r="BT25" s="501"/>
      <c r="BU25" s="501"/>
      <c r="BV25" s="501"/>
      <c r="BW25" s="501"/>
      <c r="BX25" s="205"/>
      <c r="BY25" s="205"/>
      <c r="BZ25" s="288"/>
      <c r="CA25" s="193"/>
      <c r="CB25" s="279"/>
      <c r="CC25" s="279"/>
      <c r="CD25" s="242"/>
      <c r="CG25" s="447"/>
      <c r="CH25" s="515"/>
      <c r="CI25" s="515"/>
      <c r="CJ25" s="192"/>
      <c r="CK25" s="288"/>
      <c r="CL25" s="195"/>
      <c r="CM25" s="447"/>
      <c r="CN25" s="515"/>
      <c r="CO25" s="515"/>
      <c r="CP25" s="192"/>
      <c r="CQ25" s="288"/>
      <c r="CR25" s="195"/>
      <c r="CS25" s="229"/>
      <c r="CT25" s="229"/>
      <c r="CU25" s="229"/>
      <c r="CV25" s="229"/>
      <c r="CW25" s="229"/>
      <c r="CX25" s="374"/>
      <c r="CY25" s="182"/>
      <c r="CZ25" s="182"/>
      <c r="DA25" s="182"/>
      <c r="DB25" s="183"/>
      <c r="DC25" s="182"/>
      <c r="DD25" s="440"/>
      <c r="DE25" s="575">
        <v>1</v>
      </c>
      <c r="DF25" s="663" t="str">
        <f>IF(DC22=DC23,"résultat",IF(DC22&gt;DC23,CZ22,CZ23))</f>
        <v>C9</v>
      </c>
      <c r="DG25" s="664"/>
      <c r="DH25" s="665"/>
      <c r="DI25" s="273">
        <v>1</v>
      </c>
      <c r="DJ25" s="448"/>
      <c r="DL25" s="258">
        <v>7</v>
      </c>
      <c r="DN25" s="654" t="str">
        <f>IF(OR(AND(EK7&gt;6,EK7&lt;9)),IF(DI52&gt;DI53,DF52,DF53),"0")</f>
        <v>A11</v>
      </c>
      <c r="DO25" s="655"/>
      <c r="DP25" s="655"/>
      <c r="DQ25" s="655"/>
      <c r="DR25" s="656"/>
    </row>
    <row r="26" spans="1:122" ht="24.95" customHeight="1" thickBot="1">
      <c r="AD26" s="39">
        <v>11</v>
      </c>
      <c r="AE26" s="264"/>
      <c r="AF26" s="264" t="s">
        <v>100</v>
      </c>
      <c r="AG26" s="270"/>
      <c r="AH26" s="268">
        <v>11</v>
      </c>
      <c r="AI26" s="100"/>
      <c r="AJ26" s="446">
        <v>11</v>
      </c>
      <c r="AK26" s="209"/>
      <c r="AL26" s="542"/>
      <c r="AM26" s="361">
        <v>6</v>
      </c>
      <c r="AN26" s="218" t="s">
        <v>64</v>
      </c>
      <c r="AO26" s="99" t="str">
        <f t="shared" si="2"/>
        <v>C3</v>
      </c>
      <c r="AP26" s="186">
        <v>1</v>
      </c>
      <c r="AQ26" s="408"/>
      <c r="AR26" s="537"/>
      <c r="AS26" s="361">
        <v>9</v>
      </c>
      <c r="AT26" s="232"/>
      <c r="AU26" s="224" t="str">
        <f>IF($AP24=$AP25,"résultat",IF($AP24&lt;$AP25,$AO24,$AO25))</f>
        <v>B3</v>
      </c>
      <c r="AV26" s="236">
        <v>1</v>
      </c>
      <c r="AW26" s="415"/>
      <c r="AX26" s="410"/>
      <c r="AY26" s="411"/>
      <c r="AZ26" s="411"/>
      <c r="BA26" s="411"/>
      <c r="BB26" s="411"/>
      <c r="BC26" s="411"/>
      <c r="BD26" s="419">
        <v>3</v>
      </c>
      <c r="BE26" s="243"/>
      <c r="BF26" s="347" t="str">
        <f>IF($AV26=$AV27,"résultat",IF($AV26&gt;$AV27,$AU26,$AU27))</f>
        <v>B3</v>
      </c>
      <c r="BH26" s="47"/>
      <c r="BI26" s="47"/>
      <c r="BJ26" s="47"/>
      <c r="BK26" s="47"/>
      <c r="BL26" s="204"/>
      <c r="BM26" s="204"/>
      <c r="BN26" s="179"/>
      <c r="BO26" s="503"/>
      <c r="BP26" s="504" t="s">
        <v>56</v>
      </c>
      <c r="BQ26" s="352"/>
      <c r="BR26" s="180"/>
      <c r="BS26" s="180"/>
      <c r="BT26" s="508"/>
      <c r="BU26" s="508"/>
      <c r="BV26" s="508"/>
      <c r="BW26" s="508"/>
      <c r="BX26" s="205"/>
      <c r="BY26" s="205"/>
      <c r="BZ26" s="202"/>
      <c r="CA26" s="205"/>
      <c r="CB26" s="504" t="s">
        <v>65</v>
      </c>
      <c r="CC26" s="352"/>
      <c r="CD26" s="180"/>
      <c r="CG26" s="182"/>
      <c r="CH26" s="246"/>
      <c r="CI26" s="513" t="s">
        <v>64</v>
      </c>
      <c r="CJ26" s="352"/>
      <c r="CK26" s="244"/>
      <c r="CL26" s="449"/>
      <c r="CM26" s="182"/>
      <c r="CN26" s="246"/>
      <c r="CO26" s="518" t="s">
        <v>64</v>
      </c>
      <c r="CP26" s="352"/>
      <c r="CQ26" s="182"/>
      <c r="CR26" s="450"/>
      <c r="CS26" s="182"/>
      <c r="CT26" s="244"/>
      <c r="CU26" s="244"/>
      <c r="CV26" s="245"/>
      <c r="CW26" s="182"/>
      <c r="CX26" s="374"/>
      <c r="CY26" s="182"/>
      <c r="CZ26" s="182"/>
      <c r="DA26" s="182"/>
      <c r="DB26" s="183"/>
      <c r="DC26" s="182"/>
      <c r="DD26" s="440"/>
      <c r="DE26" s="576"/>
      <c r="DF26" s="677" t="str">
        <f>IF(DC28=DC29,"résultat",IF(DC28&gt;DC29,CZ28,CZ29))</f>
        <v>A5</v>
      </c>
      <c r="DG26" s="678"/>
      <c r="DH26" s="679"/>
      <c r="DI26" s="187">
        <v>0</v>
      </c>
      <c r="DJ26" s="448"/>
      <c r="DL26" s="259">
        <v>8</v>
      </c>
      <c r="DN26" s="657" t="str">
        <f>IF(OR(AND(EK7&gt;7,EK7&lt;9)),IF(DI52&lt;DI53,DF52,DF53),"0")</f>
        <v>A15</v>
      </c>
      <c r="DO26" s="658"/>
      <c r="DP26" s="658"/>
      <c r="DQ26" s="658"/>
      <c r="DR26" s="659"/>
    </row>
    <row r="27" spans="1:122" ht="24.95" customHeight="1" thickBot="1">
      <c r="A27" s="171" t="s">
        <v>362</v>
      </c>
      <c r="B27" s="171"/>
      <c r="C27" s="171"/>
      <c r="D27" s="171"/>
      <c r="E27" s="171"/>
      <c r="AD27" s="39">
        <v>12</v>
      </c>
      <c r="AE27" s="264"/>
      <c r="AF27" s="264" t="s">
        <v>101</v>
      </c>
      <c r="AG27" s="270"/>
      <c r="AH27" s="268">
        <v>12</v>
      </c>
      <c r="AI27" s="100"/>
      <c r="AJ27" s="446">
        <v>12</v>
      </c>
      <c r="AK27" s="209"/>
      <c r="AL27" s="543"/>
      <c r="AM27" s="360"/>
      <c r="AN27" s="219" t="s">
        <v>55</v>
      </c>
      <c r="AO27" s="291" t="str">
        <f t="shared" si="2"/>
        <v>D3</v>
      </c>
      <c r="AP27" s="220">
        <v>0</v>
      </c>
      <c r="AQ27" s="408"/>
      <c r="AR27" s="538"/>
      <c r="AS27" s="362"/>
      <c r="AT27" s="233"/>
      <c r="AU27" s="224" t="str">
        <f>IF($AP26=$AP27,"résultat",IF($AP26&lt;$AP27,$AO26,$AO27))</f>
        <v>D3</v>
      </c>
      <c r="AV27" s="237">
        <v>0</v>
      </c>
      <c r="AW27" s="415"/>
      <c r="AX27" s="422"/>
      <c r="AY27" s="423"/>
      <c r="AZ27" s="423"/>
      <c r="BA27" s="423"/>
      <c r="BB27" s="423"/>
      <c r="BC27" s="423"/>
      <c r="BD27" s="424"/>
      <c r="BE27" s="425"/>
      <c r="BF27" s="177"/>
      <c r="BH27" s="637" t="s">
        <v>265</v>
      </c>
      <c r="BI27" s="637"/>
      <c r="BJ27" s="637"/>
      <c r="BK27" s="637"/>
      <c r="BL27" s="637"/>
      <c r="BM27" s="638"/>
      <c r="BN27" s="519">
        <v>3</v>
      </c>
      <c r="BO27" s="524" t="str">
        <f>+BF24</f>
        <v>A3</v>
      </c>
      <c r="BP27" s="525"/>
      <c r="BQ27" s="547"/>
      <c r="BR27" s="283">
        <v>1</v>
      </c>
      <c r="BS27" s="242"/>
      <c r="BT27" s="637" t="s">
        <v>284</v>
      </c>
      <c r="BU27" s="637"/>
      <c r="BV27" s="637"/>
      <c r="BW27" s="637"/>
      <c r="BX27" s="637"/>
      <c r="BY27" s="638"/>
      <c r="BZ27" s="519">
        <v>19</v>
      </c>
      <c r="CA27" s="524" t="str">
        <f>+BF89</f>
        <v>A19</v>
      </c>
      <c r="CB27" s="525"/>
      <c r="CC27" s="526"/>
      <c r="CD27" s="277">
        <v>1</v>
      </c>
      <c r="CG27" s="575">
        <v>3</v>
      </c>
      <c r="CH27" s="577" t="str">
        <f>+BF24</f>
        <v>A3</v>
      </c>
      <c r="CI27" s="578"/>
      <c r="CJ27" s="579"/>
      <c r="CK27" s="273">
        <v>1</v>
      </c>
      <c r="CL27" s="417" t="str">
        <f>IF(CK27=CK28,"&amp;",IF(CK27&gt;CK28,CH27,CH28))</f>
        <v>A3</v>
      </c>
      <c r="CM27" s="575">
        <v>3</v>
      </c>
      <c r="CN27" s="577" t="str">
        <f>IF(CK37=CK38,"résultat",IF(CK37&gt;CK38,CH37,CH38))</f>
        <v>A5</v>
      </c>
      <c r="CO27" s="578"/>
      <c r="CP27" s="579"/>
      <c r="CQ27" s="273">
        <v>1</v>
      </c>
      <c r="CR27" s="418"/>
      <c r="CS27" s="182"/>
      <c r="CT27" s="244"/>
      <c r="CU27" s="244"/>
      <c r="CV27" s="245"/>
      <c r="CW27" s="182"/>
      <c r="CX27" s="374"/>
      <c r="CY27" s="182"/>
      <c r="CZ27" s="182"/>
      <c r="DA27" s="182"/>
      <c r="DB27" s="183"/>
      <c r="DC27" s="182"/>
      <c r="DD27" s="434"/>
      <c r="DE27" s="191"/>
      <c r="DI27" s="229"/>
      <c r="DJ27" s="448"/>
    </row>
    <row r="28" spans="1:122" ht="24.95" customHeight="1" thickTop="1" thickBot="1">
      <c r="A28" s="171"/>
      <c r="B28" s="171" t="s">
        <v>363</v>
      </c>
      <c r="C28" s="171"/>
      <c r="D28" s="171"/>
      <c r="E28" s="171"/>
      <c r="AD28" s="39">
        <v>13</v>
      </c>
      <c r="AE28" s="264"/>
      <c r="AF28" s="264" t="s">
        <v>93</v>
      </c>
      <c r="AG28" s="271"/>
      <c r="AH28" s="268">
        <v>13</v>
      </c>
      <c r="AI28" s="100"/>
      <c r="AJ28" s="444">
        <v>13</v>
      </c>
      <c r="AK28" s="209"/>
      <c r="AL28" s="541">
        <v>4</v>
      </c>
      <c r="AM28" s="359">
        <v>7</v>
      </c>
      <c r="AN28" s="216" t="s">
        <v>16</v>
      </c>
      <c r="AO28" s="99" t="str">
        <f t="shared" si="2"/>
        <v>A4</v>
      </c>
      <c r="AP28" s="181">
        <v>1</v>
      </c>
      <c r="AQ28" s="408"/>
      <c r="AR28" s="536">
        <v>4</v>
      </c>
      <c r="AS28" s="359">
        <v>10</v>
      </c>
      <c r="AT28" s="230"/>
      <c r="AU28" s="262" t="str">
        <f>IF($AP28=$AP29,"résultat",IF($AP28&gt;$AP29,$AO28,$AO29))</f>
        <v>A4</v>
      </c>
      <c r="AV28" s="234">
        <v>1</v>
      </c>
      <c r="AW28" s="409"/>
      <c r="AX28" s="410"/>
      <c r="AY28" s="411"/>
      <c r="AZ28" s="411"/>
      <c r="BA28" s="411"/>
      <c r="BB28" s="411"/>
      <c r="BC28" s="411"/>
      <c r="BD28" s="412">
        <v>1</v>
      </c>
      <c r="BE28" s="243"/>
      <c r="BF28" s="241" t="str">
        <f>IF($AV28=$AV29,"résultat",IF($AV28&gt;$AV29,$AU28,$AU29))</f>
        <v>A4</v>
      </c>
      <c r="BH28" s="639" t="s">
        <v>260</v>
      </c>
      <c r="BI28" s="639"/>
      <c r="BJ28" s="639"/>
      <c r="BK28" s="639"/>
      <c r="BL28" s="639"/>
      <c r="BM28" s="640"/>
      <c r="BN28" s="520"/>
      <c r="BO28" s="544" t="str">
        <f>IF(OR(AND(J15&gt;800,J15&lt;970)),BF12,0)</f>
        <v>CQ 6_</v>
      </c>
      <c r="BP28" s="545"/>
      <c r="BQ28" s="546"/>
      <c r="BR28" s="420">
        <v>0</v>
      </c>
      <c r="BS28" s="426"/>
      <c r="BT28" s="529" t="s">
        <v>305</v>
      </c>
      <c r="BU28" s="529"/>
      <c r="BV28" s="529"/>
      <c r="BW28" s="529"/>
      <c r="BX28" s="529"/>
      <c r="BY28" s="530"/>
      <c r="BZ28" s="520"/>
      <c r="CA28" s="566" t="str">
        <f>+BF69</f>
        <v>C14</v>
      </c>
      <c r="CB28" s="567"/>
      <c r="CC28" s="568"/>
      <c r="CD28" s="278">
        <v>0</v>
      </c>
      <c r="CG28" s="576"/>
      <c r="CH28" s="580" t="str">
        <f>+BF57</f>
        <v>C11</v>
      </c>
      <c r="CI28" s="581"/>
      <c r="CJ28" s="582"/>
      <c r="CK28" s="187">
        <v>0</v>
      </c>
      <c r="CL28" s="417" t="str">
        <f>IF(CK27=CK28,"&amp;",IF(CK27&lt;CK28,CH27,CH28))</f>
        <v>C11</v>
      </c>
      <c r="CM28" s="576"/>
      <c r="CN28" s="580" t="str">
        <f>IF(CK42=CK43,"résultat",IF(CK42&gt;CK43,CH42,CH43))</f>
        <v>A6</v>
      </c>
      <c r="CO28" s="581"/>
      <c r="CP28" s="582"/>
      <c r="CQ28" s="187">
        <v>0</v>
      </c>
      <c r="CR28" s="418"/>
      <c r="CS28" s="182"/>
      <c r="CT28" s="244"/>
      <c r="CV28" s="243"/>
      <c r="CW28" s="182"/>
      <c r="CX28" s="374"/>
      <c r="CY28" s="575">
        <v>2</v>
      </c>
      <c r="CZ28" s="632" t="str">
        <f>IF(CW30=CW31,"Gagnant 1/4 B",IF(CW30&gt;CW31,CT30,CT31))</f>
        <v>A5</v>
      </c>
      <c r="DA28" s="633"/>
      <c r="DB28" s="634"/>
      <c r="DC28" s="273">
        <v>1</v>
      </c>
      <c r="DD28" s="451"/>
      <c r="DE28" s="191"/>
      <c r="DI28" s="229"/>
      <c r="DJ28" s="448"/>
    </row>
    <row r="29" spans="1:122" ht="24.95" customHeight="1" thickBot="1">
      <c r="A29" s="1"/>
      <c r="B29" s="1"/>
      <c r="C29" s="1"/>
      <c r="D29" s="171"/>
      <c r="E29" s="171"/>
      <c r="AD29" s="39">
        <v>14</v>
      </c>
      <c r="AE29" s="264"/>
      <c r="AF29" s="264" t="s">
        <v>102</v>
      </c>
      <c r="AG29" s="270"/>
      <c r="AH29" s="268">
        <v>14</v>
      </c>
      <c r="AI29" s="100"/>
      <c r="AJ29" s="446">
        <v>14</v>
      </c>
      <c r="AK29" s="209" t="str">
        <f>CONCATENATE(H22,H23)</f>
        <v>43</v>
      </c>
      <c r="AL29" s="542"/>
      <c r="AM29" s="360"/>
      <c r="AN29" s="217" t="s">
        <v>17</v>
      </c>
      <c r="AO29" s="98" t="str">
        <f t="shared" si="2"/>
        <v>B4</v>
      </c>
      <c r="AP29" s="184">
        <v>0</v>
      </c>
      <c r="AQ29" s="408"/>
      <c r="AR29" s="537"/>
      <c r="AS29" s="360"/>
      <c r="AT29" s="231"/>
      <c r="AU29" s="339" t="str">
        <f>IF($AP30=$AP31,"résultat",IF($AP30&gt;$AP31,$AO30,$AO31))</f>
        <v>C4</v>
      </c>
      <c r="AV29" s="235">
        <v>0</v>
      </c>
      <c r="AW29" s="415"/>
      <c r="AX29" s="410"/>
      <c r="AY29" s="411"/>
      <c r="AZ29" s="411"/>
      <c r="BA29" s="411"/>
      <c r="BB29" s="411"/>
      <c r="BC29" s="411"/>
      <c r="BD29" s="416">
        <v>2</v>
      </c>
      <c r="BE29" s="247" t="str">
        <f>+AK29</f>
        <v>43</v>
      </c>
      <c r="BF29" s="185" t="str">
        <f>IF($AV28=$AV29,"résultat",IF($AV28&lt;$AV29,$AU28,$AU29))</f>
        <v>C4</v>
      </c>
      <c r="BH29" s="47"/>
      <c r="BI29" s="47"/>
      <c r="BJ29" s="47"/>
      <c r="BK29" s="47"/>
      <c r="BL29" s="204"/>
      <c r="BM29" s="204"/>
      <c r="BN29" s="197"/>
      <c r="BO29" s="45"/>
      <c r="BP29" s="45"/>
      <c r="BQ29" s="45"/>
      <c r="BR29" s="25"/>
      <c r="BS29" s="25"/>
      <c r="BT29" s="45"/>
      <c r="BU29" s="45"/>
      <c r="BV29" s="45"/>
      <c r="BW29" s="45"/>
      <c r="BX29" s="509"/>
      <c r="BY29" s="45"/>
      <c r="BZ29" s="25"/>
      <c r="CA29" s="45"/>
      <c r="CB29" s="45"/>
      <c r="CC29" s="45"/>
      <c r="CD29" s="242"/>
      <c r="CG29" s="191"/>
      <c r="CH29" s="193"/>
      <c r="CI29" s="193"/>
      <c r="CJ29" s="193"/>
      <c r="CK29" s="229"/>
      <c r="CL29" s="417"/>
      <c r="CM29" s="191"/>
      <c r="CN29" s="193"/>
      <c r="CO29" s="193"/>
      <c r="CP29" s="193"/>
      <c r="CQ29" s="229"/>
      <c r="CR29" s="418"/>
      <c r="CS29" s="182"/>
      <c r="CT29" s="244"/>
      <c r="CU29" s="248" t="s">
        <v>17</v>
      </c>
      <c r="CV29" s="243"/>
      <c r="CW29" s="182"/>
      <c r="CX29" s="374"/>
      <c r="CY29" s="576"/>
      <c r="CZ29" s="611" t="str">
        <f>IF(CW50=CW51,"Gagnant 1/4 D",IF(CW50&gt;CW51,CT50,CT51))</f>
        <v>A13</v>
      </c>
      <c r="DA29" s="612"/>
      <c r="DB29" s="613"/>
      <c r="DC29" s="187">
        <v>0</v>
      </c>
      <c r="DE29" s="191"/>
      <c r="DI29" s="229"/>
      <c r="DJ29" s="448"/>
    </row>
    <row r="30" spans="1:122" ht="24.95" customHeight="1" thickBot="1">
      <c r="A30" s="171" t="s">
        <v>364</v>
      </c>
      <c r="B30" s="1"/>
      <c r="C30" s="1"/>
      <c r="D30" s="171"/>
      <c r="E30" s="171"/>
      <c r="AD30" s="39">
        <v>15</v>
      </c>
      <c r="AE30" s="264"/>
      <c r="AF30" s="264" t="s">
        <v>103</v>
      </c>
      <c r="AG30" s="270"/>
      <c r="AH30" s="268">
        <v>15</v>
      </c>
      <c r="AI30" s="100"/>
      <c r="AJ30" s="446">
        <v>15</v>
      </c>
      <c r="AK30" s="209"/>
      <c r="AL30" s="542"/>
      <c r="AM30" s="361">
        <v>8</v>
      </c>
      <c r="AN30" s="218" t="s">
        <v>64</v>
      </c>
      <c r="AO30" s="99" t="str">
        <f t="shared" si="2"/>
        <v>C4</v>
      </c>
      <c r="AP30" s="186">
        <v>1</v>
      </c>
      <c r="AQ30" s="408"/>
      <c r="AR30" s="537"/>
      <c r="AS30" s="361">
        <v>11</v>
      </c>
      <c r="AT30" s="232"/>
      <c r="AU30" s="224" t="str">
        <f>IF($AP28=$AP29,"résultat",IF($AP28&lt;$AP29,$AO28,$AO29))</f>
        <v>B4</v>
      </c>
      <c r="AV30" s="236">
        <v>1</v>
      </c>
      <c r="AW30" s="415"/>
      <c r="AX30" s="410"/>
      <c r="AY30" s="411"/>
      <c r="AZ30" s="411"/>
      <c r="BA30" s="411"/>
      <c r="BB30" s="411"/>
      <c r="BC30" s="411"/>
      <c r="BD30" s="419">
        <v>3</v>
      </c>
      <c r="BE30" s="243"/>
      <c r="BF30" s="347" t="str">
        <f>IF($AV30=$AV31,"résultat",IF($AV30&gt;$AV31,$AU30,$AU31))</f>
        <v>B4</v>
      </c>
      <c r="BH30" s="47"/>
      <c r="BI30" s="47"/>
      <c r="BJ30" s="47"/>
      <c r="BK30" s="47"/>
      <c r="BL30" s="204"/>
      <c r="BM30" s="204"/>
      <c r="BN30" s="197"/>
      <c r="BO30" s="279"/>
      <c r="BP30" s="279"/>
      <c r="BQ30" s="279"/>
      <c r="BR30" s="242"/>
      <c r="BS30" s="242"/>
      <c r="BT30" s="501"/>
      <c r="BU30" s="501"/>
      <c r="BV30" s="501"/>
      <c r="BW30" s="501"/>
      <c r="BX30" s="205"/>
      <c r="BY30" s="205"/>
      <c r="BZ30" s="288"/>
      <c r="CA30" s="193"/>
      <c r="CB30" s="287"/>
      <c r="CC30" s="287"/>
      <c r="CD30" s="242"/>
      <c r="CG30" s="191"/>
      <c r="CH30" s="516"/>
      <c r="CI30" s="193"/>
      <c r="CJ30" s="193"/>
      <c r="CK30" s="229"/>
      <c r="CL30" s="417"/>
      <c r="CM30" s="191"/>
      <c r="CN30" s="516"/>
      <c r="CO30" s="193"/>
      <c r="CP30" s="193"/>
      <c r="CQ30" s="229"/>
      <c r="CR30" s="418"/>
      <c r="CS30" s="575">
        <v>2</v>
      </c>
      <c r="CT30" s="648" t="str">
        <f>IF(CQ27=CQ28,"Gagnant 1/8 A",IF(CQ27&gt;CQ28,CN27,CN28))</f>
        <v>A5</v>
      </c>
      <c r="CU30" s="649"/>
      <c r="CV30" s="650"/>
      <c r="CW30" s="273">
        <v>1</v>
      </c>
      <c r="CX30" s="434"/>
      <c r="CY30" s="182"/>
      <c r="CZ30" s="182"/>
      <c r="DA30" s="182"/>
      <c r="DB30" s="183"/>
      <c r="DC30" s="182"/>
      <c r="DD30" s="373"/>
      <c r="DE30" s="191"/>
      <c r="DI30" s="229"/>
      <c r="DJ30" s="452"/>
    </row>
    <row r="31" spans="1:122" ht="24.95" customHeight="1" thickBot="1">
      <c r="A31" s="171"/>
      <c r="AD31" s="39">
        <v>16</v>
      </c>
      <c r="AE31" s="264"/>
      <c r="AF31" s="264" t="s">
        <v>104</v>
      </c>
      <c r="AG31" s="271"/>
      <c r="AH31" s="268">
        <v>16</v>
      </c>
      <c r="AI31" s="100"/>
      <c r="AJ31" s="446">
        <v>16</v>
      </c>
      <c r="AK31" s="209"/>
      <c r="AL31" s="543"/>
      <c r="AM31" s="360"/>
      <c r="AN31" s="219" t="s">
        <v>55</v>
      </c>
      <c r="AO31" s="291" t="str">
        <f t="shared" si="2"/>
        <v>D4</v>
      </c>
      <c r="AP31" s="220">
        <v>0</v>
      </c>
      <c r="AQ31" s="408"/>
      <c r="AR31" s="538"/>
      <c r="AS31" s="362"/>
      <c r="AT31" s="233"/>
      <c r="AU31" s="224" t="str">
        <f>IF($AP30=$AP31,"résultat",IF($AP30&lt;$AP31,$AO30,$AO31))</f>
        <v>D4</v>
      </c>
      <c r="AV31" s="237">
        <v>0</v>
      </c>
      <c r="AW31" s="441"/>
      <c r="AX31" s="422"/>
      <c r="AY31" s="423"/>
      <c r="AZ31" s="423"/>
      <c r="BA31" s="423"/>
      <c r="BB31" s="423"/>
      <c r="BC31" s="423"/>
      <c r="BD31" s="424"/>
      <c r="BE31" s="425"/>
      <c r="BF31" s="177"/>
      <c r="BH31" s="47"/>
      <c r="BI31" s="47"/>
      <c r="BJ31" s="47"/>
      <c r="BK31" s="47"/>
      <c r="BL31" s="204"/>
      <c r="BM31" s="204"/>
      <c r="BN31" s="180"/>
      <c r="BO31" s="503"/>
      <c r="BP31" s="504" t="s">
        <v>66</v>
      </c>
      <c r="BQ31" s="352"/>
      <c r="BR31" s="282"/>
      <c r="BS31" s="282"/>
      <c r="BT31" s="284"/>
      <c r="BU31" s="284"/>
      <c r="BV31" s="284"/>
      <c r="BW31" s="284"/>
      <c r="BX31" s="205"/>
      <c r="BY31" s="205"/>
      <c r="BZ31" s="179"/>
      <c r="CA31" s="503"/>
      <c r="CB31" s="504" t="s">
        <v>67</v>
      </c>
      <c r="CC31" s="505"/>
      <c r="CD31" s="180"/>
      <c r="CG31" s="182"/>
      <c r="CH31" s="246"/>
      <c r="CI31" s="513" t="s">
        <v>55</v>
      </c>
      <c r="CJ31" s="352"/>
      <c r="CK31" s="244">
        <v>3</v>
      </c>
      <c r="CL31" s="449"/>
      <c r="CM31" s="182"/>
      <c r="CN31" s="246"/>
      <c r="CO31" s="518" t="s">
        <v>55</v>
      </c>
      <c r="CP31" s="352"/>
      <c r="CQ31" s="182"/>
      <c r="CR31" s="450"/>
      <c r="CS31" s="576"/>
      <c r="CT31" s="617" t="str">
        <f>IF(CQ32=CQ33,"Gagnant 1/8 B",IF(CQ32&gt;CQ33,CN32,CN33))</f>
        <v>A7</v>
      </c>
      <c r="CU31" s="618"/>
      <c r="CV31" s="619"/>
      <c r="CW31" s="187">
        <v>0</v>
      </c>
      <c r="CX31" s="434"/>
      <c r="DB31" s="148"/>
      <c r="DD31" s="373"/>
      <c r="DH31" s="148"/>
      <c r="DJ31" s="452"/>
    </row>
    <row r="32" spans="1:122" ht="24.95" customHeight="1" thickTop="1" thickBot="1">
      <c r="A32" s="171" t="s">
        <v>164</v>
      </c>
      <c r="B32" s="161"/>
      <c r="AD32" s="43">
        <v>17</v>
      </c>
      <c r="AE32" s="265"/>
      <c r="AF32" s="264" t="s">
        <v>94</v>
      </c>
      <c r="AG32" s="271"/>
      <c r="AH32" s="268">
        <v>17</v>
      </c>
      <c r="AI32" s="100"/>
      <c r="AJ32" s="407">
        <v>17</v>
      </c>
      <c r="AK32" s="209"/>
      <c r="AL32" s="541">
        <v>5</v>
      </c>
      <c r="AM32" s="359">
        <v>9</v>
      </c>
      <c r="AN32" s="216" t="s">
        <v>16</v>
      </c>
      <c r="AO32" s="99" t="str">
        <f t="shared" si="2"/>
        <v>A5</v>
      </c>
      <c r="AP32" s="181">
        <v>1</v>
      </c>
      <c r="AQ32" s="408"/>
      <c r="AR32" s="536">
        <v>5</v>
      </c>
      <c r="AS32" s="359">
        <v>12</v>
      </c>
      <c r="AT32" s="230"/>
      <c r="AU32" s="262" t="str">
        <f>IF($AP32=$AP33,"résultat",IF($AP32&gt;$AP33,$AO32,$AO33))</f>
        <v>A5</v>
      </c>
      <c r="AV32" s="234">
        <v>1</v>
      </c>
      <c r="AW32" s="415"/>
      <c r="AX32" s="410"/>
      <c r="AY32" s="411"/>
      <c r="AZ32" s="411"/>
      <c r="BA32" s="411"/>
      <c r="BB32" s="411"/>
      <c r="BC32" s="411"/>
      <c r="BD32" s="412">
        <v>1</v>
      </c>
      <c r="BE32" s="413"/>
      <c r="BF32" s="241" t="str">
        <f>IF($AV32=$AV33,"résultat",IF($AV32&gt;$AV33,$AU32,$AU33))</f>
        <v>A5</v>
      </c>
      <c r="BH32" s="637" t="s">
        <v>266</v>
      </c>
      <c r="BI32" s="637"/>
      <c r="BJ32" s="637"/>
      <c r="BK32" s="637"/>
      <c r="BL32" s="637"/>
      <c r="BM32" s="638"/>
      <c r="BN32" s="519">
        <v>4</v>
      </c>
      <c r="BO32" s="524" t="str">
        <f>+BF28</f>
        <v>A4</v>
      </c>
      <c r="BP32" s="525"/>
      <c r="BQ32" s="526"/>
      <c r="BR32" s="277">
        <v>1</v>
      </c>
      <c r="BS32" s="242"/>
      <c r="BT32" s="637" t="s">
        <v>285</v>
      </c>
      <c r="BU32" s="637"/>
      <c r="BV32" s="637"/>
      <c r="BW32" s="637"/>
      <c r="BX32" s="637"/>
      <c r="BY32" s="638"/>
      <c r="BZ32" s="519">
        <v>20</v>
      </c>
      <c r="CA32" s="524" t="str">
        <f>+BF93</f>
        <v>A20</v>
      </c>
      <c r="CB32" s="525"/>
      <c r="CC32" s="547"/>
      <c r="CD32" s="283">
        <v>1</v>
      </c>
      <c r="CG32" s="575">
        <v>4</v>
      </c>
      <c r="CH32" s="577" t="str">
        <f>+BF28</f>
        <v>A4</v>
      </c>
      <c r="CI32" s="578"/>
      <c r="CJ32" s="579"/>
      <c r="CK32" s="273">
        <v>1</v>
      </c>
      <c r="CL32" s="417" t="str">
        <f>IF(CK32=CK33,"&amp;",IF(CK32&gt;CK33,CH32,CH33))</f>
        <v>A4</v>
      </c>
      <c r="CM32" s="575">
        <v>4</v>
      </c>
      <c r="CN32" s="577" t="str">
        <f>IF(CK47=CK48,"résultat",IF(CK47&gt;CK48,CH47,CH48))</f>
        <v>A7</v>
      </c>
      <c r="CO32" s="578"/>
      <c r="CP32" s="579"/>
      <c r="CQ32" s="273">
        <v>1</v>
      </c>
      <c r="CR32" s="418"/>
      <c r="CS32" s="182"/>
      <c r="CT32" s="244"/>
      <c r="CU32" s="244"/>
      <c r="CV32" s="245"/>
      <c r="CW32" s="182"/>
      <c r="CX32" s="374"/>
      <c r="DB32" s="148"/>
      <c r="DD32" s="373"/>
      <c r="DE32" s="673" t="s">
        <v>188</v>
      </c>
      <c r="DF32" s="674"/>
      <c r="DG32" s="674"/>
      <c r="DH32" s="674"/>
      <c r="DI32" s="675"/>
      <c r="DJ32" s="448"/>
    </row>
    <row r="33" spans="1:116" ht="24.95" customHeight="1" thickBot="1">
      <c r="A33" s="171"/>
      <c r="C33" s="161" t="s">
        <v>365</v>
      </c>
      <c r="AD33" s="39">
        <v>18</v>
      </c>
      <c r="AE33" s="264"/>
      <c r="AF33" s="264" t="s">
        <v>105</v>
      </c>
      <c r="AG33" s="271"/>
      <c r="AH33" s="268">
        <v>18</v>
      </c>
      <c r="AI33" s="100"/>
      <c r="AJ33" s="446">
        <v>18</v>
      </c>
      <c r="AK33" s="209" t="str">
        <f>CONCATENATE(I22,I23)</f>
        <v>43</v>
      </c>
      <c r="AL33" s="542"/>
      <c r="AM33" s="360"/>
      <c r="AN33" s="217" t="s">
        <v>17</v>
      </c>
      <c r="AO33" s="98" t="str">
        <f t="shared" si="2"/>
        <v>B5</v>
      </c>
      <c r="AP33" s="184">
        <v>0</v>
      </c>
      <c r="AQ33" s="408"/>
      <c r="AR33" s="537"/>
      <c r="AS33" s="360"/>
      <c r="AT33" s="231"/>
      <c r="AU33" s="339" t="str">
        <f>IF($AP34=$AP35,"résultat",IF($AP34&gt;$AP35,$AO34,$AO35))</f>
        <v>C5</v>
      </c>
      <c r="AV33" s="235">
        <v>0</v>
      </c>
      <c r="AW33" s="415"/>
      <c r="AX33" s="410"/>
      <c r="AY33" s="411"/>
      <c r="AZ33" s="411"/>
      <c r="BA33" s="411"/>
      <c r="BB33" s="411"/>
      <c r="BC33" s="411"/>
      <c r="BD33" s="453">
        <v>2</v>
      </c>
      <c r="BE33" s="247" t="str">
        <f>+AK33</f>
        <v>43</v>
      </c>
      <c r="BF33" s="185" t="str">
        <f>IF($AV32=$AV33,"résultat",IF($AV32&lt;$AV33,$AU32,$AU33))</f>
        <v>C5</v>
      </c>
      <c r="BH33" s="641" t="s">
        <v>308</v>
      </c>
      <c r="BI33" s="641"/>
      <c r="BJ33" s="641"/>
      <c r="BK33" s="641"/>
      <c r="BL33" s="641"/>
      <c r="BM33" s="642"/>
      <c r="BN33" s="520"/>
      <c r="BO33" s="521" t="str">
        <f>+BF18</f>
        <v>B1</v>
      </c>
      <c r="BP33" s="522"/>
      <c r="BQ33" s="523"/>
      <c r="BR33" s="278">
        <v>0</v>
      </c>
      <c r="BS33" s="242"/>
      <c r="BT33" s="529" t="s">
        <v>304</v>
      </c>
      <c r="BU33" s="529"/>
      <c r="BV33" s="529"/>
      <c r="BW33" s="529"/>
      <c r="BX33" s="529"/>
      <c r="BY33" s="530"/>
      <c r="BZ33" s="520"/>
      <c r="CA33" s="566" t="str">
        <f>+BF65</f>
        <v>C13</v>
      </c>
      <c r="CB33" s="567"/>
      <c r="CC33" s="568"/>
      <c r="CD33" s="420">
        <v>0</v>
      </c>
      <c r="CG33" s="576"/>
      <c r="CH33" s="580" t="str">
        <f>+BF61</f>
        <v>C12</v>
      </c>
      <c r="CI33" s="581"/>
      <c r="CJ33" s="582"/>
      <c r="CK33" s="187">
        <v>0</v>
      </c>
      <c r="CL33" s="417" t="str">
        <f>IF(CK32=CK33,"&amp;",IF(CK32&lt;CK33,CH32,CH33))</f>
        <v>C12</v>
      </c>
      <c r="CM33" s="576"/>
      <c r="CN33" s="580" t="str">
        <f>IF(CK52=CK53,"résultat",IF(CK52&gt;CK53,CH52,CH53))</f>
        <v>A8</v>
      </c>
      <c r="CO33" s="581"/>
      <c r="CP33" s="582"/>
      <c r="CQ33" s="187">
        <v>0</v>
      </c>
      <c r="CR33" s="418"/>
      <c r="CS33" s="182"/>
      <c r="CT33" s="244"/>
      <c r="CU33" s="244"/>
      <c r="CV33" s="245"/>
      <c r="CW33" s="182"/>
      <c r="CX33" s="374"/>
      <c r="CY33" s="182"/>
      <c r="CZ33" s="182"/>
      <c r="DA33" s="182"/>
      <c r="DB33" s="183"/>
      <c r="DC33" s="182"/>
      <c r="DD33" s="373"/>
      <c r="DH33" s="148"/>
      <c r="DJ33" s="448"/>
      <c r="DL33" s="369"/>
    </row>
    <row r="34" spans="1:116" ht="24.95" customHeight="1" thickBot="1">
      <c r="B34" s="171"/>
      <c r="AD34" s="43">
        <v>19</v>
      </c>
      <c r="AE34" s="265"/>
      <c r="AF34" s="264" t="s">
        <v>106</v>
      </c>
      <c r="AG34" s="270"/>
      <c r="AH34" s="268">
        <v>19</v>
      </c>
      <c r="AI34" s="100"/>
      <c r="AJ34" s="446">
        <v>19</v>
      </c>
      <c r="AK34" s="209"/>
      <c r="AL34" s="542"/>
      <c r="AM34" s="361">
        <v>10</v>
      </c>
      <c r="AN34" s="218" t="s">
        <v>64</v>
      </c>
      <c r="AO34" s="99" t="str">
        <f t="shared" si="2"/>
        <v>C5</v>
      </c>
      <c r="AP34" s="186">
        <v>1</v>
      </c>
      <c r="AQ34" s="408"/>
      <c r="AR34" s="537"/>
      <c r="AS34" s="361">
        <v>13</v>
      </c>
      <c r="AT34" s="232"/>
      <c r="AU34" s="224" t="str">
        <f>IF($AP32=$AP33,"résultat",IF($AP32&lt;$AP33,$AO32,$AO33))</f>
        <v>B5</v>
      </c>
      <c r="AV34" s="236">
        <v>1</v>
      </c>
      <c r="AW34" s="415"/>
      <c r="AX34" s="410"/>
      <c r="AY34" s="411"/>
      <c r="AZ34" s="411"/>
      <c r="BA34" s="411"/>
      <c r="BB34" s="411"/>
      <c r="BC34" s="411"/>
      <c r="BD34" s="419">
        <v>3</v>
      </c>
      <c r="BE34" s="243"/>
      <c r="BF34" s="347" t="str">
        <f>IF($AV34=$AV35,"résultat",IF($AV34&gt;$AV35,$AU34,$AU35))</f>
        <v>B5</v>
      </c>
      <c r="BH34" s="47"/>
      <c r="BI34" s="47"/>
      <c r="BJ34" s="47"/>
      <c r="BK34" s="47"/>
      <c r="BL34" s="204"/>
      <c r="BM34" s="204"/>
      <c r="BN34" s="197"/>
      <c r="BO34" s="45"/>
      <c r="BP34" s="45"/>
      <c r="BQ34" s="45"/>
      <c r="BR34" s="25"/>
      <c r="BS34" s="25"/>
      <c r="BT34" s="45"/>
      <c r="BU34" s="45"/>
      <c r="BV34" s="45"/>
      <c r="BW34" s="45"/>
      <c r="BX34" s="509"/>
      <c r="BY34" s="45"/>
      <c r="BZ34" s="25"/>
      <c r="CA34" s="45"/>
      <c r="CB34" s="45"/>
      <c r="CC34" s="45"/>
      <c r="CD34" s="426"/>
      <c r="CG34" s="191"/>
      <c r="CH34" s="193"/>
      <c r="CI34" s="193"/>
      <c r="CJ34" s="193"/>
      <c r="CK34" s="229"/>
      <c r="CL34" s="417"/>
      <c r="CM34" s="191"/>
      <c r="CN34" s="193"/>
      <c r="CO34" s="193"/>
      <c r="CP34" s="193"/>
      <c r="CQ34" s="229"/>
      <c r="CR34" s="418"/>
      <c r="CS34" s="182"/>
      <c r="CT34" s="244"/>
      <c r="CU34" s="244"/>
      <c r="CV34" s="245"/>
      <c r="CW34" s="182"/>
      <c r="CX34" s="374"/>
      <c r="CY34" s="182"/>
      <c r="CZ34" s="182"/>
      <c r="DA34" s="182"/>
      <c r="DB34" s="183"/>
      <c r="DC34" s="182"/>
      <c r="DD34" s="373"/>
      <c r="DH34" s="148"/>
      <c r="DJ34" s="448"/>
      <c r="DL34" s="369"/>
    </row>
    <row r="35" spans="1:116" ht="24.95" customHeight="1" thickBot="1">
      <c r="AD35" s="39">
        <v>20</v>
      </c>
      <c r="AE35" s="264"/>
      <c r="AF35" s="264" t="s">
        <v>107</v>
      </c>
      <c r="AG35" s="271"/>
      <c r="AH35" s="268">
        <v>20</v>
      </c>
      <c r="AI35" s="100"/>
      <c r="AJ35" s="446">
        <v>20</v>
      </c>
      <c r="AK35" s="209"/>
      <c r="AL35" s="543"/>
      <c r="AM35" s="360"/>
      <c r="AN35" s="219" t="s">
        <v>55</v>
      </c>
      <c r="AO35" s="291" t="str">
        <f t="shared" si="2"/>
        <v>D5</v>
      </c>
      <c r="AP35" s="220">
        <v>0</v>
      </c>
      <c r="AQ35" s="408"/>
      <c r="AR35" s="538"/>
      <c r="AS35" s="362"/>
      <c r="AT35" s="233"/>
      <c r="AU35" s="224" t="str">
        <f>IF($AP34=$AP35,"résultat",IF($AP34&lt;$AP35,$AO34,$AO35))</f>
        <v>D5</v>
      </c>
      <c r="AV35" s="237">
        <v>0</v>
      </c>
      <c r="AW35" s="415"/>
      <c r="AX35" s="422"/>
      <c r="AY35" s="423"/>
      <c r="AZ35" s="423"/>
      <c r="BA35" s="423"/>
      <c r="BB35" s="423"/>
      <c r="BC35" s="423"/>
      <c r="BD35" s="424"/>
      <c r="BE35" s="425"/>
      <c r="BF35" s="177"/>
      <c r="BH35" s="47"/>
      <c r="BI35" s="47"/>
      <c r="BJ35" s="47"/>
      <c r="BK35" s="47"/>
      <c r="BL35" s="204"/>
      <c r="BM35" s="204"/>
      <c r="BN35" s="148"/>
      <c r="BO35" s="287"/>
      <c r="BP35" s="205"/>
      <c r="BQ35" s="205"/>
      <c r="BR35" s="282"/>
      <c r="BS35" s="282"/>
      <c r="BT35" s="284"/>
      <c r="BU35" s="284"/>
      <c r="BV35" s="284"/>
      <c r="BW35" s="284"/>
      <c r="BX35" s="205"/>
      <c r="BY35" s="205"/>
      <c r="BZ35" s="288"/>
      <c r="CA35" s="193"/>
      <c r="CB35" s="287"/>
      <c r="CC35" s="287"/>
      <c r="CD35" s="242"/>
      <c r="CG35" s="191"/>
      <c r="CH35" s="516"/>
      <c r="CI35" s="193"/>
      <c r="CJ35" s="193"/>
      <c r="CK35" s="229"/>
      <c r="CL35" s="417"/>
      <c r="CM35" s="191"/>
      <c r="CN35" s="516"/>
      <c r="CO35" s="193"/>
      <c r="CP35" s="193"/>
      <c r="CQ35" s="229"/>
      <c r="CR35" s="418"/>
      <c r="CS35" s="182"/>
      <c r="CT35" s="244"/>
      <c r="CU35" s="244"/>
      <c r="CV35" s="245"/>
      <c r="CW35" s="182"/>
      <c r="CX35" s="374"/>
      <c r="CY35" s="182"/>
      <c r="CZ35" s="182"/>
      <c r="DA35" s="182"/>
      <c r="DB35" s="183"/>
      <c r="DC35" s="182"/>
      <c r="DD35" s="373"/>
      <c r="DE35" s="575">
        <v>2</v>
      </c>
      <c r="DF35" s="670" t="str">
        <f>IF(OR(AND(EK7&gt;0,EK7&lt;3))," ",IF(OR(AND(EK7&gt;2,EK7&lt;9)),IF(DC22&lt;DC23,CZ22,CZ23),IF(AND(DC22=DC23),"Perdant 1/2 Finale A"," ")))</f>
        <v>A9</v>
      </c>
      <c r="DG35" s="671"/>
      <c r="DH35" s="672"/>
      <c r="DI35" s="273">
        <v>1</v>
      </c>
      <c r="DJ35" s="448"/>
    </row>
    <row r="36" spans="1:116" ht="24.95" customHeight="1" thickTop="1" thickBot="1">
      <c r="AD36" s="43">
        <v>21</v>
      </c>
      <c r="AE36" s="265"/>
      <c r="AF36" s="264" t="s">
        <v>95</v>
      </c>
      <c r="AG36" s="271"/>
      <c r="AH36" s="268">
        <v>21</v>
      </c>
      <c r="AJ36" s="407">
        <v>21</v>
      </c>
      <c r="AK36" s="209"/>
      <c r="AL36" s="541">
        <v>6</v>
      </c>
      <c r="AM36" s="359">
        <v>11</v>
      </c>
      <c r="AN36" s="216" t="s">
        <v>16</v>
      </c>
      <c r="AO36" s="99" t="str">
        <f t="shared" si="2"/>
        <v>A6</v>
      </c>
      <c r="AP36" s="181">
        <v>1</v>
      </c>
      <c r="AQ36" s="408"/>
      <c r="AR36" s="536">
        <v>6</v>
      </c>
      <c r="AS36" s="359">
        <v>14</v>
      </c>
      <c r="AT36" s="230"/>
      <c r="AU36" s="262" t="str">
        <f>IF($AP36=$AP37,"résultat",IF($AP36&gt;$AP37,$AO36,$AO37))</f>
        <v>A6</v>
      </c>
      <c r="AV36" s="234">
        <v>1</v>
      </c>
      <c r="AW36" s="409"/>
      <c r="AX36" s="410"/>
      <c r="AY36" s="411"/>
      <c r="AZ36" s="411"/>
      <c r="BA36" s="411"/>
      <c r="BB36" s="411"/>
      <c r="BC36" s="411"/>
      <c r="BD36" s="412">
        <v>1</v>
      </c>
      <c r="BE36" s="243"/>
      <c r="BF36" s="241" t="str">
        <f>IF($AV36=$AV37,"résultat",IF($AV36&gt;$AV37,$AU36,$AU37))</f>
        <v>A6</v>
      </c>
      <c r="BH36" s="47"/>
      <c r="BI36" s="47"/>
      <c r="BJ36" s="47"/>
      <c r="BK36" s="47"/>
      <c r="BL36" s="204"/>
      <c r="BM36" s="204"/>
      <c r="BN36" s="179"/>
      <c r="BO36" s="503"/>
      <c r="BP36" s="504" t="s">
        <v>185</v>
      </c>
      <c r="BQ36" s="505"/>
      <c r="BR36" s="180"/>
      <c r="BS36" s="180"/>
      <c r="BT36" s="508"/>
      <c r="BU36" s="508"/>
      <c r="BV36" s="508"/>
      <c r="BW36" s="508"/>
      <c r="BX36" s="205"/>
      <c r="BY36" s="205"/>
      <c r="BZ36" s="148"/>
      <c r="CA36" s="252"/>
      <c r="CB36" s="504"/>
      <c r="CC36" s="506"/>
      <c r="CG36" s="182"/>
      <c r="CH36" s="246"/>
      <c r="CI36" s="513" t="s">
        <v>56</v>
      </c>
      <c r="CJ36" s="352"/>
      <c r="CK36" s="244"/>
      <c r="CL36" s="449"/>
      <c r="CM36" s="182"/>
      <c r="CN36" s="246"/>
      <c r="CO36" s="518" t="s">
        <v>56</v>
      </c>
      <c r="CP36" s="352"/>
      <c r="CQ36" s="182"/>
      <c r="CR36" s="450"/>
      <c r="CS36" s="182"/>
      <c r="CT36" s="244"/>
      <c r="CU36" s="244"/>
      <c r="CV36" s="245"/>
      <c r="CW36" s="182"/>
      <c r="CX36" s="374"/>
      <c r="CY36" s="182"/>
      <c r="CZ36" s="182"/>
      <c r="DA36" s="182"/>
      <c r="DB36" s="183"/>
      <c r="DC36" s="182"/>
      <c r="DD36" s="373"/>
      <c r="DE36" s="576"/>
      <c r="DF36" s="666" t="str">
        <f>IF(OR(AND(EK7&gt;0,EK7&lt;3))," ",IF(OR(AND(EK7&gt;2,EK7&lt;9)),IF(DC28&lt;DC29,CZ28,CZ29),IF(AND(DC28=DC29),"Perdant 1/2 Finale B"," ")))</f>
        <v>A13</v>
      </c>
      <c r="DG36" s="667"/>
      <c r="DH36" s="668"/>
      <c r="DI36" s="187">
        <v>0</v>
      </c>
      <c r="DJ36" s="448"/>
    </row>
    <row r="37" spans="1:116" ht="24.95" customHeight="1" thickBot="1">
      <c r="AD37" s="39">
        <v>22</v>
      </c>
      <c r="AE37" s="264"/>
      <c r="AF37" s="264" t="s">
        <v>108</v>
      </c>
      <c r="AG37" s="271"/>
      <c r="AH37" s="268">
        <v>22</v>
      </c>
      <c r="AJ37" s="414">
        <v>22</v>
      </c>
      <c r="AK37" s="209" t="str">
        <f>CONCATENATE(J22,J23)</f>
        <v>43</v>
      </c>
      <c r="AL37" s="542"/>
      <c r="AM37" s="360"/>
      <c r="AN37" s="217" t="s">
        <v>17</v>
      </c>
      <c r="AO37" s="98" t="str">
        <f t="shared" si="2"/>
        <v>B6</v>
      </c>
      <c r="AP37" s="184">
        <v>0</v>
      </c>
      <c r="AQ37" s="408"/>
      <c r="AR37" s="537"/>
      <c r="AS37" s="360"/>
      <c r="AT37" s="231"/>
      <c r="AU37" s="339" t="str">
        <f>IF($AP38=$AP39,"résultat",IF($AP38&gt;$AP39,$AO38,$AO39))</f>
        <v>C6</v>
      </c>
      <c r="AV37" s="235">
        <v>0</v>
      </c>
      <c r="AW37" s="415"/>
      <c r="AX37" s="410"/>
      <c r="AY37" s="411"/>
      <c r="AZ37" s="411"/>
      <c r="BA37" s="411"/>
      <c r="BB37" s="411"/>
      <c r="BC37" s="411"/>
      <c r="BD37" s="453">
        <v>2</v>
      </c>
      <c r="BE37" s="247" t="str">
        <f>+AK37</f>
        <v>43</v>
      </c>
      <c r="BF37" s="185" t="str">
        <f>IF($AV36=$AV37,"résultat",IF($AV36&lt;$AV37,$AU36,$AU37))</f>
        <v>C6</v>
      </c>
      <c r="BH37" s="637" t="s">
        <v>267</v>
      </c>
      <c r="BI37" s="637"/>
      <c r="BJ37" s="637"/>
      <c r="BK37" s="637"/>
      <c r="BL37" s="637"/>
      <c r="BM37" s="638"/>
      <c r="BN37" s="519">
        <v>5</v>
      </c>
      <c r="BO37" s="524" t="str">
        <f>+BF32</f>
        <v>A5</v>
      </c>
      <c r="BP37" s="525"/>
      <c r="BQ37" s="547"/>
      <c r="BR37" s="283">
        <v>1</v>
      </c>
      <c r="BS37" s="242"/>
      <c r="BT37" s="527" t="s">
        <v>261</v>
      </c>
      <c r="BU37" s="527"/>
      <c r="BV37" s="527"/>
      <c r="BW37" s="527"/>
      <c r="BX37" s="527"/>
      <c r="BY37" s="528"/>
      <c r="BZ37" s="519">
        <v>21</v>
      </c>
      <c r="CA37" s="563" t="str">
        <f>+BF7</f>
        <v>CQ 1_</v>
      </c>
      <c r="CB37" s="564"/>
      <c r="CC37" s="565"/>
      <c r="CD37" s="283">
        <v>1</v>
      </c>
      <c r="CG37" s="575">
        <v>5</v>
      </c>
      <c r="CH37" s="602" t="str">
        <f>+BF32</f>
        <v>A5</v>
      </c>
      <c r="CI37" s="578"/>
      <c r="CJ37" s="579"/>
      <c r="CK37" s="273">
        <v>1</v>
      </c>
      <c r="CL37" s="417" t="str">
        <f>IF(CK37=CK38,"&amp;",IF(CK37&gt;CK38,CH37,CH38))</f>
        <v>A5</v>
      </c>
      <c r="CM37" s="575">
        <v>5</v>
      </c>
      <c r="CN37" s="577" t="str">
        <f>IF(CK57=CK58,"résultat",IF(CK57&gt;CK58,CH57,CH58))</f>
        <v>A9</v>
      </c>
      <c r="CO37" s="578"/>
      <c r="CP37" s="579"/>
      <c r="CQ37" s="273">
        <v>1</v>
      </c>
      <c r="CR37" s="418"/>
      <c r="CS37" s="182"/>
      <c r="CT37" s="244"/>
      <c r="CU37" s="244"/>
      <c r="CV37" s="245"/>
      <c r="CW37" s="182"/>
      <c r="CX37" s="374"/>
      <c r="CY37" s="182"/>
      <c r="CZ37" s="182"/>
      <c r="DA37" s="182"/>
      <c r="DB37" s="183"/>
      <c r="DC37" s="182"/>
      <c r="DD37" s="373"/>
      <c r="DH37" s="148"/>
      <c r="DJ37" s="448"/>
    </row>
    <row r="38" spans="1:116" ht="24.95" customHeight="1" thickBot="1">
      <c r="AD38" s="43">
        <v>23</v>
      </c>
      <c r="AE38" s="265"/>
      <c r="AF38" s="264" t="s">
        <v>109</v>
      </c>
      <c r="AG38" s="270"/>
      <c r="AH38" s="268">
        <v>23</v>
      </c>
      <c r="AJ38" s="446">
        <v>23</v>
      </c>
      <c r="AK38" s="209"/>
      <c r="AL38" s="542"/>
      <c r="AM38" s="361">
        <v>12</v>
      </c>
      <c r="AN38" s="218" t="s">
        <v>64</v>
      </c>
      <c r="AO38" s="99" t="str">
        <f t="shared" si="2"/>
        <v>C6</v>
      </c>
      <c r="AP38" s="186">
        <v>1</v>
      </c>
      <c r="AQ38" s="408"/>
      <c r="AR38" s="537"/>
      <c r="AS38" s="361">
        <v>15</v>
      </c>
      <c r="AT38" s="232"/>
      <c r="AU38" s="224" t="str">
        <f>IF($AP36=$AP37,"résultat",IF($AP36&lt;$AP37,$AO36,$AO37))</f>
        <v>B6</v>
      </c>
      <c r="AV38" s="236">
        <v>1</v>
      </c>
      <c r="AW38" s="415"/>
      <c r="AX38" s="410"/>
      <c r="AY38" s="411"/>
      <c r="AZ38" s="411"/>
      <c r="BA38" s="411"/>
      <c r="BB38" s="411"/>
      <c r="BC38" s="411"/>
      <c r="BD38" s="419">
        <v>3</v>
      </c>
      <c r="BE38" s="243"/>
      <c r="BF38" s="347" t="str">
        <f>IF($AV38=$AV39,"résultat",IF($AV38&gt;$AV39,$AU38,$AU39))</f>
        <v>B6</v>
      </c>
      <c r="BH38" s="641" t="s">
        <v>309</v>
      </c>
      <c r="BI38" s="641"/>
      <c r="BJ38" s="641"/>
      <c r="BK38" s="641"/>
      <c r="BL38" s="641"/>
      <c r="BM38" s="642"/>
      <c r="BN38" s="520"/>
      <c r="BO38" s="548" t="str">
        <f>+BF22</f>
        <v>B2</v>
      </c>
      <c r="BP38" s="549"/>
      <c r="BQ38" s="550"/>
      <c r="BR38" s="420">
        <v>0</v>
      </c>
      <c r="BS38" s="426"/>
      <c r="BT38" s="529" t="s">
        <v>303</v>
      </c>
      <c r="BU38" s="529"/>
      <c r="BV38" s="529"/>
      <c r="BW38" s="529"/>
      <c r="BX38" s="529"/>
      <c r="BY38" s="530"/>
      <c r="BZ38" s="520"/>
      <c r="CA38" s="566" t="str">
        <f>+BF61</f>
        <v>C12</v>
      </c>
      <c r="CB38" s="567"/>
      <c r="CC38" s="568"/>
      <c r="CD38" s="420">
        <v>0</v>
      </c>
      <c r="CG38" s="576"/>
      <c r="CH38" s="580" t="str">
        <f>+BF65</f>
        <v>C13</v>
      </c>
      <c r="CI38" s="581"/>
      <c r="CJ38" s="582"/>
      <c r="CK38" s="187">
        <v>0</v>
      </c>
      <c r="CL38" s="417" t="str">
        <f>IF(CK37=CK38,"&amp;",IF(CK37&lt;CK38,CH37,CH38))</f>
        <v>C13</v>
      </c>
      <c r="CM38" s="576"/>
      <c r="CN38" s="580" t="str">
        <f>IF(CK62=CK63,"résultat",IF(CK62&gt;CK63,CH62,CH63))</f>
        <v>A10</v>
      </c>
      <c r="CO38" s="581"/>
      <c r="CP38" s="582"/>
      <c r="CQ38" s="187">
        <v>0</v>
      </c>
      <c r="CR38" s="418"/>
      <c r="CS38" s="182"/>
      <c r="CT38" s="244"/>
      <c r="CV38" s="243"/>
      <c r="CW38" s="182"/>
      <c r="CX38" s="374"/>
      <c r="CY38" s="182"/>
      <c r="CZ38" s="182"/>
      <c r="DA38" s="182"/>
      <c r="DB38" s="183"/>
      <c r="DC38" s="182"/>
      <c r="DD38" s="373"/>
      <c r="DH38" s="148"/>
      <c r="DJ38" s="448"/>
    </row>
    <row r="39" spans="1:116" ht="24.95" customHeight="1" thickBot="1">
      <c r="AD39" s="39">
        <v>24</v>
      </c>
      <c r="AE39" s="264"/>
      <c r="AF39" s="264" t="s">
        <v>110</v>
      </c>
      <c r="AG39" s="271"/>
      <c r="AH39" s="268">
        <v>24</v>
      </c>
      <c r="AJ39" s="446">
        <v>24</v>
      </c>
      <c r="AK39" s="209"/>
      <c r="AL39" s="543"/>
      <c r="AM39" s="360"/>
      <c r="AN39" s="219" t="s">
        <v>55</v>
      </c>
      <c r="AO39" s="291" t="str">
        <f t="shared" si="2"/>
        <v>D6</v>
      </c>
      <c r="AP39" s="220">
        <v>0</v>
      </c>
      <c r="AQ39" s="408"/>
      <c r="AR39" s="538"/>
      <c r="AS39" s="362"/>
      <c r="AT39" s="233"/>
      <c r="AU39" s="224" t="str">
        <f>IF($AP38=$AP39,"résultat",IF($AP38&lt;$AP39,$AO38,$AO39))</f>
        <v>D6</v>
      </c>
      <c r="AV39" s="237">
        <v>0</v>
      </c>
      <c r="AW39" s="441"/>
      <c r="AX39" s="422"/>
      <c r="AY39" s="423"/>
      <c r="AZ39" s="423"/>
      <c r="BA39" s="423"/>
      <c r="BB39" s="423"/>
      <c r="BC39" s="423"/>
      <c r="BD39" s="424"/>
      <c r="BE39" s="425"/>
      <c r="BF39" s="177"/>
      <c r="BH39" s="47"/>
      <c r="BI39" s="47"/>
      <c r="BJ39" s="47"/>
      <c r="BK39" s="47"/>
      <c r="BL39" s="204"/>
      <c r="BM39" s="3"/>
      <c r="BN39" s="1"/>
      <c r="BO39" s="45"/>
      <c r="BP39" s="45"/>
      <c r="BQ39" s="45"/>
      <c r="BR39" s="25"/>
      <c r="BS39" s="25"/>
      <c r="BT39" s="45"/>
      <c r="BU39" s="45"/>
      <c r="BV39" s="45"/>
      <c r="BW39" s="45"/>
      <c r="BX39" s="509"/>
      <c r="BY39" s="45"/>
      <c r="BZ39" s="25"/>
      <c r="CA39" s="45"/>
      <c r="CB39" s="45"/>
      <c r="CC39" s="45"/>
      <c r="CD39" s="1"/>
      <c r="CG39" s="191"/>
      <c r="CH39" s="193"/>
      <c r="CI39" s="193"/>
      <c r="CJ39" s="193"/>
      <c r="CK39" s="229"/>
      <c r="CL39" s="417"/>
      <c r="CM39" s="191"/>
      <c r="CN39" s="193"/>
      <c r="CO39" s="193"/>
      <c r="CP39" s="193"/>
      <c r="CQ39" s="229"/>
      <c r="CR39" s="418"/>
      <c r="CS39" s="182"/>
      <c r="CT39" s="244"/>
      <c r="CU39" s="248" t="s">
        <v>64</v>
      </c>
      <c r="CV39" s="243"/>
      <c r="CW39" s="182"/>
      <c r="CX39" s="374"/>
      <c r="CY39" s="182"/>
      <c r="CZ39" s="182"/>
      <c r="DA39" s="182"/>
      <c r="DB39" s="183"/>
      <c r="DC39" s="182"/>
      <c r="DD39" s="373"/>
      <c r="DH39" s="148"/>
      <c r="DJ39" s="448"/>
    </row>
    <row r="40" spans="1:116" ht="24.95" customHeight="1" thickTop="1" thickBot="1">
      <c r="AD40" s="43">
        <v>25</v>
      </c>
      <c r="AE40" s="265"/>
      <c r="AF40" s="264" t="s">
        <v>111</v>
      </c>
      <c r="AG40" s="271"/>
      <c r="AH40" s="268">
        <v>25</v>
      </c>
      <c r="AJ40" s="444">
        <v>25</v>
      </c>
      <c r="AK40" s="209"/>
      <c r="AL40" s="541">
        <v>7</v>
      </c>
      <c r="AM40" s="359">
        <v>13</v>
      </c>
      <c r="AN40" s="216" t="s">
        <v>16</v>
      </c>
      <c r="AO40" s="99" t="str">
        <f t="shared" si="2"/>
        <v>A7</v>
      </c>
      <c r="AP40" s="181">
        <v>1</v>
      </c>
      <c r="AQ40" s="408"/>
      <c r="AR40" s="536">
        <v>7</v>
      </c>
      <c r="AS40" s="359">
        <v>16</v>
      </c>
      <c r="AT40" s="230"/>
      <c r="AU40" s="262" t="str">
        <f>IF($AP40=$AP41,"résultat",IF($AP40&gt;$AP41,$AO40,$AO41))</f>
        <v>A7</v>
      </c>
      <c r="AV40" s="234">
        <v>1</v>
      </c>
      <c r="AW40" s="415"/>
      <c r="AX40" s="410"/>
      <c r="AY40" s="411"/>
      <c r="AZ40" s="411"/>
      <c r="BA40" s="411"/>
      <c r="BB40" s="411"/>
      <c r="BC40" s="411"/>
      <c r="BD40" s="454">
        <v>1</v>
      </c>
      <c r="BE40" s="413"/>
      <c r="BF40" s="241" t="str">
        <f>IF($AV40=$AV41,"résultat",IF($AV40&gt;$AV41,$AU40,$AU41))</f>
        <v>A7</v>
      </c>
      <c r="BH40" s="47"/>
      <c r="BI40" s="47"/>
      <c r="BJ40" s="47"/>
      <c r="BK40" s="47"/>
      <c r="BL40" s="204"/>
      <c r="BM40" s="204"/>
      <c r="BN40" s="148"/>
      <c r="BO40" s="287"/>
      <c r="BP40" s="205"/>
      <c r="BQ40" s="205"/>
      <c r="BR40" s="282"/>
      <c r="BS40" s="282"/>
      <c r="BT40" s="284"/>
      <c r="BU40" s="284"/>
      <c r="BV40" s="284"/>
      <c r="BW40" s="284"/>
      <c r="BX40" s="205"/>
      <c r="BY40" s="205"/>
      <c r="BZ40" s="288"/>
      <c r="CA40" s="193"/>
      <c r="CB40" s="287"/>
      <c r="CC40" s="287"/>
      <c r="CD40" s="242"/>
      <c r="CG40" s="191"/>
      <c r="CH40" s="516"/>
      <c r="CI40" s="193"/>
      <c r="CJ40" s="193"/>
      <c r="CK40" s="229"/>
      <c r="CL40" s="417"/>
      <c r="CM40" s="191"/>
      <c r="CN40" s="516"/>
      <c r="CO40" s="193"/>
      <c r="CP40" s="193"/>
      <c r="CQ40" s="229"/>
      <c r="CR40" s="418"/>
      <c r="CS40" s="575">
        <v>3</v>
      </c>
      <c r="CT40" s="648" t="str">
        <f>IF(CQ37=CQ38,"Gagnant 1/8 A",IF(CQ37&gt;CQ38,CN37,CN38))</f>
        <v>A9</v>
      </c>
      <c r="CU40" s="649"/>
      <c r="CV40" s="650"/>
      <c r="CW40" s="273">
        <v>1</v>
      </c>
      <c r="CX40" s="434"/>
      <c r="CY40" s="676" t="s">
        <v>175</v>
      </c>
      <c r="CZ40" s="676"/>
      <c r="DA40" s="676"/>
      <c r="DB40" s="676"/>
      <c r="DC40" s="676"/>
      <c r="DD40" s="676"/>
      <c r="DE40" s="676"/>
      <c r="DF40" s="676"/>
      <c r="DG40" s="676"/>
      <c r="DH40" s="676"/>
      <c r="DI40" s="676"/>
      <c r="DJ40" s="451"/>
    </row>
    <row r="41" spans="1:116" ht="24.95" customHeight="1" thickBot="1">
      <c r="AD41" s="39">
        <v>26</v>
      </c>
      <c r="AE41" s="264"/>
      <c r="AF41" s="264" t="s">
        <v>112</v>
      </c>
      <c r="AG41" s="271"/>
      <c r="AH41" s="268">
        <v>26</v>
      </c>
      <c r="AJ41" s="446">
        <v>26</v>
      </c>
      <c r="AK41" s="209" t="str">
        <f>CONCATENATE(K22,K23)</f>
        <v>43</v>
      </c>
      <c r="AL41" s="542"/>
      <c r="AM41" s="360"/>
      <c r="AN41" s="217" t="s">
        <v>17</v>
      </c>
      <c r="AO41" s="98" t="str">
        <f t="shared" si="2"/>
        <v>B7</v>
      </c>
      <c r="AP41" s="184">
        <v>0</v>
      </c>
      <c r="AQ41" s="408"/>
      <c r="AR41" s="537"/>
      <c r="AS41" s="360"/>
      <c r="AT41" s="231"/>
      <c r="AU41" s="339" t="str">
        <f>IF($AP42=$AP43,"résultat",IF($AP42&gt;$AP43,$AO42,$AO43))</f>
        <v>C7</v>
      </c>
      <c r="AV41" s="235">
        <v>0</v>
      </c>
      <c r="AW41" s="415"/>
      <c r="AX41" s="410"/>
      <c r="AY41" s="411"/>
      <c r="AZ41" s="411"/>
      <c r="BA41" s="411"/>
      <c r="BB41" s="411"/>
      <c r="BC41" s="411"/>
      <c r="BD41" s="453">
        <v>2</v>
      </c>
      <c r="BE41" s="247" t="str">
        <f>+AK41</f>
        <v>43</v>
      </c>
      <c r="BF41" s="185" t="str">
        <f>IF($AV40=$AV41,"résultat",IF($AV40&lt;$AV41,$AU40,$AU41))</f>
        <v>C7</v>
      </c>
      <c r="BH41" s="47"/>
      <c r="BI41" s="47"/>
      <c r="BJ41" s="47"/>
      <c r="BK41" s="47"/>
      <c r="BL41" s="204"/>
      <c r="BM41" s="204"/>
      <c r="BO41" s="506"/>
      <c r="BP41" s="504" t="s">
        <v>68</v>
      </c>
      <c r="BQ41" s="287"/>
      <c r="BR41" s="285"/>
      <c r="BS41" s="285"/>
      <c r="BT41" s="510"/>
      <c r="BU41" s="510"/>
      <c r="BV41" s="510"/>
      <c r="BW41" s="510"/>
      <c r="BX41" s="205"/>
      <c r="BY41" s="205"/>
      <c r="BZ41" s="179"/>
      <c r="CA41" s="503"/>
      <c r="CB41" s="504" t="s">
        <v>69</v>
      </c>
      <c r="CC41" s="352"/>
      <c r="CD41" s="282"/>
      <c r="CG41" s="182"/>
      <c r="CH41" s="246"/>
      <c r="CI41" s="513" t="s">
        <v>65</v>
      </c>
      <c r="CJ41" s="352"/>
      <c r="CK41" s="244"/>
      <c r="CL41" s="449"/>
      <c r="CM41" s="182"/>
      <c r="CN41" s="246"/>
      <c r="CO41" s="518" t="s">
        <v>65</v>
      </c>
      <c r="CP41" s="352"/>
      <c r="CQ41" s="182"/>
      <c r="CR41" s="450"/>
      <c r="CS41" s="576"/>
      <c r="CT41" s="617" t="str">
        <f>IF(CQ42=CQ43,"Gagnant 1/8 B",IF(CQ42&gt;CQ43,CN42,CN43))</f>
        <v>A11</v>
      </c>
      <c r="CU41" s="618"/>
      <c r="CV41" s="619"/>
      <c r="CW41" s="187">
        <v>0</v>
      </c>
      <c r="CX41" s="434"/>
      <c r="CY41" s="178"/>
      <c r="CZ41" s="178"/>
      <c r="DA41" s="178"/>
      <c r="DB41" s="179"/>
      <c r="DC41" s="178"/>
      <c r="DD41" s="373"/>
      <c r="DH41" s="148"/>
      <c r="DJ41" s="451"/>
    </row>
    <row r="42" spans="1:116" ht="24.95" customHeight="1" thickBot="1">
      <c r="AD42" s="43">
        <v>27</v>
      </c>
      <c r="AE42" s="265"/>
      <c r="AF42" s="264" t="s">
        <v>113</v>
      </c>
      <c r="AG42" s="270"/>
      <c r="AH42" s="268">
        <v>27</v>
      </c>
      <c r="AJ42" s="446">
        <v>27</v>
      </c>
      <c r="AK42" s="209"/>
      <c r="AL42" s="542"/>
      <c r="AM42" s="361">
        <v>14</v>
      </c>
      <c r="AN42" s="218" t="s">
        <v>64</v>
      </c>
      <c r="AO42" s="99" t="str">
        <f t="shared" si="2"/>
        <v>C7</v>
      </c>
      <c r="AP42" s="186">
        <v>1</v>
      </c>
      <c r="AQ42" s="408"/>
      <c r="AR42" s="537"/>
      <c r="AS42" s="361">
        <v>17</v>
      </c>
      <c r="AT42" s="232"/>
      <c r="AU42" s="224" t="str">
        <f>IF($AP40=$AP41,"résultat",IF($AP40&lt;$AP41,$AO40,$AO41))</f>
        <v>B7</v>
      </c>
      <c r="AV42" s="236">
        <v>1</v>
      </c>
      <c r="AW42" s="415"/>
      <c r="AX42" s="410"/>
      <c r="AY42" s="411"/>
      <c r="AZ42" s="411"/>
      <c r="BA42" s="411"/>
      <c r="BB42" s="411"/>
      <c r="BC42" s="411"/>
      <c r="BD42" s="455">
        <v>3</v>
      </c>
      <c r="BE42" s="243"/>
      <c r="BF42" s="347" t="str">
        <f>IF($AV42=$AV43,"résultat",IF($AV42&gt;$AV43,$AU42,$AU43))</f>
        <v>B7</v>
      </c>
      <c r="BH42" s="637" t="s">
        <v>268</v>
      </c>
      <c r="BI42" s="637"/>
      <c r="BJ42" s="637"/>
      <c r="BK42" s="637"/>
      <c r="BL42" s="637"/>
      <c r="BM42" s="638"/>
      <c r="BN42" s="367">
        <v>6</v>
      </c>
      <c r="BO42" s="524" t="str">
        <f>+BF36</f>
        <v>A6</v>
      </c>
      <c r="BP42" s="525"/>
      <c r="BQ42" s="547"/>
      <c r="BR42" s="283">
        <v>1</v>
      </c>
      <c r="BS42" s="242"/>
      <c r="BT42" s="527" t="s">
        <v>262</v>
      </c>
      <c r="BU42" s="527"/>
      <c r="BV42" s="527"/>
      <c r="BW42" s="527"/>
      <c r="BX42" s="527"/>
      <c r="BY42" s="528"/>
      <c r="BZ42" s="519">
        <v>22</v>
      </c>
      <c r="CA42" s="563" t="str">
        <f>+BF9</f>
        <v>CQ 2_</v>
      </c>
      <c r="CB42" s="564"/>
      <c r="CC42" s="565"/>
      <c r="CD42" s="283">
        <v>1</v>
      </c>
      <c r="CG42" s="575">
        <v>6</v>
      </c>
      <c r="CH42" s="577" t="str">
        <f>+BF36</f>
        <v>A6</v>
      </c>
      <c r="CI42" s="578"/>
      <c r="CJ42" s="579"/>
      <c r="CK42" s="273">
        <v>1</v>
      </c>
      <c r="CL42" s="417" t="str">
        <f>IF(CK42=CK43,"&amp;",IF(CK42&gt;CK43,CH42,CH43))</f>
        <v>A6</v>
      </c>
      <c r="CM42" s="575">
        <v>6</v>
      </c>
      <c r="CN42" s="577" t="str">
        <f>IF(CK67=CK68,"résultat",IF(CK67&gt;CK68,CH67,CH68))</f>
        <v>A11</v>
      </c>
      <c r="CO42" s="578"/>
      <c r="CP42" s="579"/>
      <c r="CQ42" s="273">
        <v>1</v>
      </c>
      <c r="CR42" s="418"/>
      <c r="CS42" s="182"/>
      <c r="CT42" s="244"/>
      <c r="CU42" s="244"/>
      <c r="CV42" s="245"/>
      <c r="CW42" s="182"/>
      <c r="CX42" s="374"/>
      <c r="CY42" s="150"/>
      <c r="CZ42" s="614" t="s">
        <v>62</v>
      </c>
      <c r="DA42" s="614"/>
      <c r="DB42" s="614"/>
      <c r="DC42" s="150"/>
      <c r="DD42" s="373"/>
      <c r="DE42" s="645" t="s">
        <v>176</v>
      </c>
      <c r="DF42" s="646"/>
      <c r="DG42" s="646"/>
      <c r="DH42" s="646"/>
      <c r="DI42" s="647"/>
      <c r="DJ42" s="451"/>
    </row>
    <row r="43" spans="1:116" ht="24.95" customHeight="1" thickBot="1">
      <c r="AD43" s="39">
        <v>28</v>
      </c>
      <c r="AE43" s="264"/>
      <c r="AF43" s="264" t="s">
        <v>114</v>
      </c>
      <c r="AG43" s="271"/>
      <c r="AH43" s="268">
        <v>28</v>
      </c>
      <c r="AJ43" s="446">
        <v>28</v>
      </c>
      <c r="AK43" s="209"/>
      <c r="AL43" s="543"/>
      <c r="AM43" s="360"/>
      <c r="AN43" s="219" t="s">
        <v>55</v>
      </c>
      <c r="AO43" s="291" t="str">
        <f t="shared" si="2"/>
        <v>D7</v>
      </c>
      <c r="AP43" s="220">
        <v>0</v>
      </c>
      <c r="AQ43" s="408"/>
      <c r="AR43" s="538"/>
      <c r="AS43" s="362"/>
      <c r="AT43" s="233"/>
      <c r="AU43" s="224" t="str">
        <f>IF($AP42=$AP43,"résultat",IF($AP42&lt;$AP43,$AO42,$AO43))</f>
        <v>D7</v>
      </c>
      <c r="AV43" s="237">
        <v>0</v>
      </c>
      <c r="AW43" s="415"/>
      <c r="AX43" s="422"/>
      <c r="AY43" s="423"/>
      <c r="AZ43" s="423"/>
      <c r="BA43" s="423"/>
      <c r="BB43" s="423"/>
      <c r="BC43" s="423"/>
      <c r="BD43" s="424"/>
      <c r="BE43" s="425"/>
      <c r="BF43" s="177"/>
      <c r="BH43" s="641" t="s">
        <v>310</v>
      </c>
      <c r="BI43" s="641"/>
      <c r="BJ43" s="641"/>
      <c r="BK43" s="641"/>
      <c r="BL43" s="641"/>
      <c r="BM43" s="642"/>
      <c r="BN43" s="368"/>
      <c r="BO43" s="548" t="str">
        <f>+BF26</f>
        <v>B3</v>
      </c>
      <c r="BP43" s="549"/>
      <c r="BQ43" s="550"/>
      <c r="BR43" s="420">
        <v>0</v>
      </c>
      <c r="BS43" s="426"/>
      <c r="BT43" s="529" t="s">
        <v>302</v>
      </c>
      <c r="BU43" s="529"/>
      <c r="BV43" s="529"/>
      <c r="BW43" s="529"/>
      <c r="BX43" s="529"/>
      <c r="BY43" s="530"/>
      <c r="BZ43" s="520"/>
      <c r="CA43" s="566" t="str">
        <f>+BF57</f>
        <v>C11</v>
      </c>
      <c r="CB43" s="567"/>
      <c r="CC43" s="568"/>
      <c r="CD43" s="420">
        <v>0</v>
      </c>
      <c r="CG43" s="576"/>
      <c r="CH43" s="580" t="str">
        <f>+BF69</f>
        <v>C14</v>
      </c>
      <c r="CI43" s="581"/>
      <c r="CJ43" s="582"/>
      <c r="CK43" s="187">
        <v>0</v>
      </c>
      <c r="CL43" s="417" t="str">
        <f>IF(CK42=CK43,"&amp;",IF(CK42&lt;CK43,CH42,CH43))</f>
        <v>C14</v>
      </c>
      <c r="CM43" s="576"/>
      <c r="CN43" s="580" t="str">
        <f>IF(CK72=CK73,"résultat",IF(CK72&gt;CK73,CH72,CH73))</f>
        <v>A12</v>
      </c>
      <c r="CO43" s="581"/>
      <c r="CP43" s="582"/>
      <c r="CQ43" s="187">
        <v>0</v>
      </c>
      <c r="CR43" s="418"/>
      <c r="CS43" s="182"/>
      <c r="CT43" s="244"/>
      <c r="CU43" s="244"/>
      <c r="CV43" s="245"/>
      <c r="CW43" s="182"/>
      <c r="CX43" s="374"/>
      <c r="CY43" s="150" t="s">
        <v>6</v>
      </c>
      <c r="CZ43" s="150"/>
      <c r="DA43" s="150"/>
      <c r="DB43" s="202"/>
      <c r="DC43" s="150" t="s">
        <v>5</v>
      </c>
      <c r="DD43" s="373"/>
      <c r="DE43" s="150" t="s">
        <v>6</v>
      </c>
      <c r="DF43" s="150"/>
      <c r="DG43" s="150"/>
      <c r="DH43" s="202"/>
      <c r="DI43" s="150" t="s">
        <v>5</v>
      </c>
      <c r="DJ43" s="451"/>
      <c r="DL43" s="456" t="s">
        <v>189</v>
      </c>
    </row>
    <row r="44" spans="1:116" ht="24.95" customHeight="1" thickTop="1" thickBot="1">
      <c r="AD44" s="43">
        <v>29</v>
      </c>
      <c r="AE44" s="265"/>
      <c r="AF44" s="264" t="s">
        <v>115</v>
      </c>
      <c r="AG44" s="271"/>
      <c r="AH44" s="268">
        <v>29</v>
      </c>
      <c r="AJ44" s="444">
        <v>29</v>
      </c>
      <c r="AK44" s="209"/>
      <c r="AL44" s="541">
        <v>8</v>
      </c>
      <c r="AM44" s="359">
        <v>15</v>
      </c>
      <c r="AN44" s="216" t="s">
        <v>16</v>
      </c>
      <c r="AO44" s="99" t="str">
        <f t="shared" si="2"/>
        <v>A8</v>
      </c>
      <c r="AP44" s="181">
        <v>1</v>
      </c>
      <c r="AQ44" s="408"/>
      <c r="AR44" s="536">
        <v>8</v>
      </c>
      <c r="AS44" s="359">
        <v>18</v>
      </c>
      <c r="AT44" s="230"/>
      <c r="AU44" s="262" t="str">
        <f>IF($AP44=$AP45,"résultat",IF($AP44&gt;$AP45,$AO44,$AO45))</f>
        <v>A8</v>
      </c>
      <c r="AV44" s="234">
        <v>1</v>
      </c>
      <c r="AW44" s="409"/>
      <c r="AX44" s="410"/>
      <c r="AY44" s="411"/>
      <c r="AZ44" s="411"/>
      <c r="BA44" s="411"/>
      <c r="BB44" s="411"/>
      <c r="BC44" s="411"/>
      <c r="BD44" s="454">
        <v>1</v>
      </c>
      <c r="BE44" s="243"/>
      <c r="BF44" s="241" t="str">
        <f>IF($AV44=$AV45,"résultat",IF($AV44&gt;$AV45,$AU44,$AU45))</f>
        <v>A8</v>
      </c>
      <c r="BH44" s="3"/>
      <c r="BI44" s="3"/>
      <c r="BJ44" s="3"/>
      <c r="BK44" s="3"/>
      <c r="BL44" s="3"/>
      <c r="BM44" s="3"/>
      <c r="BN44" s="1"/>
      <c r="BO44" s="3"/>
      <c r="BP44" s="3"/>
      <c r="BQ44" s="3"/>
      <c r="BR44" s="1"/>
      <c r="BS44" s="1"/>
      <c r="BT44" s="3"/>
      <c r="BU44" s="3"/>
      <c r="BV44" s="3"/>
      <c r="BW44" s="3"/>
      <c r="BX44" s="3"/>
      <c r="BY44" s="3"/>
      <c r="BZ44" s="1"/>
      <c r="CA44" s="3"/>
      <c r="CB44" s="3"/>
      <c r="CC44" s="3"/>
      <c r="CD44" s="1"/>
      <c r="CG44" s="191"/>
      <c r="CH44" s="193"/>
      <c r="CI44" s="193"/>
      <c r="CJ44" s="193"/>
      <c r="CK44" s="229"/>
      <c r="CL44" s="417"/>
      <c r="CM44" s="191"/>
      <c r="CN44" s="193"/>
      <c r="CO44" s="193"/>
      <c r="CP44" s="193"/>
      <c r="CQ44" s="229"/>
      <c r="CR44" s="418"/>
      <c r="CS44" s="182"/>
      <c r="CT44" s="244"/>
      <c r="CU44" s="244"/>
      <c r="CV44" s="245"/>
      <c r="CW44" s="182"/>
      <c r="CX44" s="374"/>
      <c r="CY44" s="150"/>
      <c r="CZ44" s="150"/>
      <c r="DA44" s="272" t="s">
        <v>16</v>
      </c>
      <c r="DB44" s="202"/>
      <c r="DC44" s="150"/>
      <c r="DD44" s="373"/>
      <c r="DE44" s="150"/>
      <c r="DF44" s="150"/>
      <c r="DG44" s="150"/>
      <c r="DH44" s="202"/>
      <c r="DI44" s="150"/>
      <c r="DJ44" s="451"/>
    </row>
    <row r="45" spans="1:116" ht="24.95" customHeight="1" thickBot="1">
      <c r="AD45" s="39">
        <v>30</v>
      </c>
      <c r="AE45" s="264"/>
      <c r="AF45" s="264" t="s">
        <v>116</v>
      </c>
      <c r="AG45" s="271"/>
      <c r="AH45" s="268">
        <v>30</v>
      </c>
      <c r="AJ45" s="446">
        <v>30</v>
      </c>
      <c r="AK45" s="401" t="str">
        <f>CONCATENATE(L22,L23)</f>
        <v>43</v>
      </c>
      <c r="AL45" s="542"/>
      <c r="AM45" s="360"/>
      <c r="AN45" s="217" t="s">
        <v>17</v>
      </c>
      <c r="AO45" s="98" t="str">
        <f t="shared" si="2"/>
        <v>B8</v>
      </c>
      <c r="AP45" s="184">
        <v>0</v>
      </c>
      <c r="AQ45" s="408"/>
      <c r="AR45" s="537"/>
      <c r="AS45" s="360"/>
      <c r="AT45" s="231"/>
      <c r="AU45" s="339" t="str">
        <f>IF($AP46=$AP47,"résultat",IF($AP46&gt;$AP47,$AO46,$AO47))</f>
        <v>C8</v>
      </c>
      <c r="AV45" s="235">
        <v>0</v>
      </c>
      <c r="AW45" s="415"/>
      <c r="AX45" s="410"/>
      <c r="AY45" s="411"/>
      <c r="AZ45" s="411"/>
      <c r="BA45" s="411"/>
      <c r="BB45" s="411"/>
      <c r="BC45" s="411"/>
      <c r="BD45" s="453">
        <v>2</v>
      </c>
      <c r="BE45" s="247" t="str">
        <f>+AK45</f>
        <v>43</v>
      </c>
      <c r="BF45" s="185" t="str">
        <f>IF($AV44=$AV45,"résultat",IF($AV44&lt;$AV45,$AU44,$AU45))</f>
        <v>C8</v>
      </c>
      <c r="BH45" s="47"/>
      <c r="BI45" s="47"/>
      <c r="BJ45" s="47"/>
      <c r="BK45" s="47"/>
      <c r="BL45" s="204"/>
      <c r="BM45" s="204"/>
      <c r="BN45" s="148"/>
      <c r="BO45" s="246"/>
      <c r="BP45" s="246"/>
      <c r="BQ45" s="246"/>
      <c r="BR45" s="457"/>
      <c r="BS45" s="457"/>
      <c r="BT45" s="286"/>
      <c r="BU45" s="286"/>
      <c r="BV45" s="286"/>
      <c r="BW45" s="286"/>
      <c r="BX45" s="205"/>
      <c r="BY45" s="205"/>
      <c r="BZ45" s="374"/>
      <c r="CA45" s="512"/>
      <c r="CB45" s="512"/>
      <c r="CC45" s="512"/>
      <c r="CD45" s="458"/>
      <c r="CG45" s="191"/>
      <c r="CH45" s="516"/>
      <c r="CI45" s="193"/>
      <c r="CJ45" s="193"/>
      <c r="CK45" s="229"/>
      <c r="CL45" s="417"/>
      <c r="CM45" s="191"/>
      <c r="CN45" s="516"/>
      <c r="CO45" s="193"/>
      <c r="CP45" s="193"/>
      <c r="CQ45" s="229"/>
      <c r="CR45" s="418"/>
      <c r="CS45" s="182"/>
      <c r="CT45" s="244"/>
      <c r="CU45" s="244"/>
      <c r="CV45" s="245"/>
      <c r="CW45" s="182"/>
      <c r="CX45" s="374"/>
      <c r="CY45" s="615">
        <v>3</v>
      </c>
      <c r="CZ45" s="608" t="str">
        <f>IF(OR(AND(EK7&gt;0,EK7&lt;5))," ",IF(CW20=CW21,"Perdant 1/4 A",IF(AND(EK7&gt;4,EK7&lt;9),IF(CW20&lt;CW21,CT20,CT21)," ")))</f>
        <v>A3</v>
      </c>
      <c r="DA45" s="609"/>
      <c r="DB45" s="610"/>
      <c r="DC45" s="273">
        <v>1</v>
      </c>
      <c r="DD45" s="459"/>
      <c r="DE45" s="606">
        <v>3</v>
      </c>
      <c r="DF45" s="626" t="str">
        <f>IF(OR(AND(EK7&gt;0,EK7&lt;5))," ",IF(DC45=DC46,"G. 1ère Part. Rep.A",IF(AND(EK7&gt;4,EK7&lt;9),IF(DC45&gt;DC46,CZ45,CZ46)," ")))</f>
        <v>A3</v>
      </c>
      <c r="DG45" s="627"/>
      <c r="DH45" s="628"/>
      <c r="DI45" s="273">
        <v>1</v>
      </c>
      <c r="DJ45" s="451"/>
    </row>
    <row r="46" spans="1:116" ht="24.95" customHeight="1" thickBot="1">
      <c r="AD46" s="43">
        <v>31</v>
      </c>
      <c r="AE46" s="265"/>
      <c r="AF46" s="264" t="s">
        <v>117</v>
      </c>
      <c r="AG46" s="270"/>
      <c r="AH46" s="268">
        <v>31</v>
      </c>
      <c r="AJ46" s="446">
        <v>31</v>
      </c>
      <c r="AK46" s="209"/>
      <c r="AL46" s="542"/>
      <c r="AM46" s="361">
        <v>16</v>
      </c>
      <c r="AN46" s="218" t="s">
        <v>64</v>
      </c>
      <c r="AO46" s="99" t="str">
        <f t="shared" si="2"/>
        <v>C8</v>
      </c>
      <c r="AP46" s="186">
        <v>1</v>
      </c>
      <c r="AQ46" s="408"/>
      <c r="AR46" s="537"/>
      <c r="AS46" s="361">
        <v>19</v>
      </c>
      <c r="AT46" s="232"/>
      <c r="AU46" s="224" t="str">
        <f>IF($AP44=$AP45,"résultat",IF($AP44&lt;$AP45,$AO44,$AO45))</f>
        <v>B8</v>
      </c>
      <c r="AV46" s="236">
        <v>1</v>
      </c>
      <c r="AW46" s="415"/>
      <c r="AX46" s="410"/>
      <c r="AY46" s="411"/>
      <c r="AZ46" s="411"/>
      <c r="BA46" s="411"/>
      <c r="BB46" s="411"/>
      <c r="BC46" s="411"/>
      <c r="BD46" s="419">
        <v>3</v>
      </c>
      <c r="BE46" s="243"/>
      <c r="BF46" s="347" t="str">
        <f>IF($AV46=$AV47,"résultat",IF($AV46&gt;$AV47,$AU46,$AU47))</f>
        <v>B8</v>
      </c>
      <c r="BH46" s="47"/>
      <c r="BI46" s="47"/>
      <c r="BJ46" s="47"/>
      <c r="BK46" s="47"/>
      <c r="BL46" s="204"/>
      <c r="BM46" s="204"/>
      <c r="BN46" s="202"/>
      <c r="BO46" s="205"/>
      <c r="BP46" s="504" t="s">
        <v>70</v>
      </c>
      <c r="BQ46" s="352"/>
      <c r="BR46" s="180"/>
      <c r="BS46" s="180"/>
      <c r="BT46" s="508"/>
      <c r="BU46" s="508"/>
      <c r="BV46" s="508"/>
      <c r="BW46" s="508"/>
      <c r="BX46" s="205"/>
      <c r="BY46" s="205"/>
      <c r="BZ46" s="179"/>
      <c r="CA46" s="503"/>
      <c r="CB46" s="504" t="s">
        <v>71</v>
      </c>
      <c r="CC46" s="505"/>
      <c r="CD46" s="180"/>
      <c r="CG46" s="182"/>
      <c r="CH46" s="246"/>
      <c r="CI46" s="513" t="s">
        <v>66</v>
      </c>
      <c r="CJ46" s="352"/>
      <c r="CK46" s="244"/>
      <c r="CL46" s="449"/>
      <c r="CM46" s="182"/>
      <c r="CN46" s="246"/>
      <c r="CO46" s="518" t="s">
        <v>66</v>
      </c>
      <c r="CP46" s="352"/>
      <c r="CQ46" s="182"/>
      <c r="CR46" s="450"/>
      <c r="CS46" s="182"/>
      <c r="CT46" s="244"/>
      <c r="CU46" s="244"/>
      <c r="CV46" s="245"/>
      <c r="CW46" s="182"/>
      <c r="CX46" s="374"/>
      <c r="CY46" s="616"/>
      <c r="CZ46" s="620" t="str">
        <f>IF(OR(AND(EK7&gt;0,EK7&lt;5))," ",IF(CW40=CW41,"Perdant 1/4 C",IF(AND(EK7&gt;4,EK7&lt;9),IF(CW40&lt;CW41,CT40,CT41)," ")))</f>
        <v>A11</v>
      </c>
      <c r="DA46" s="621"/>
      <c r="DB46" s="622"/>
      <c r="DC46" s="187">
        <v>0</v>
      </c>
      <c r="DD46" s="451"/>
      <c r="DE46" s="607"/>
      <c r="DF46" s="629" t="str">
        <f>IF(OR(AND(EK7&gt;0,EK7&lt;5))," ",IF(DC52=DC53,"G. 1ère Part. Rep. B",IF(AND(EK7&gt;4,EK7&lt;9),IF(DC52&gt;DC53,CZ52,CZ53)," ")))</f>
        <v>A7</v>
      </c>
      <c r="DG46" s="630"/>
      <c r="DH46" s="631"/>
      <c r="DI46" s="187">
        <v>0</v>
      </c>
      <c r="DJ46" s="451"/>
    </row>
    <row r="47" spans="1:116" ht="24.95" customHeight="1" thickBot="1">
      <c r="AD47" s="39">
        <v>32</v>
      </c>
      <c r="AE47" s="264"/>
      <c r="AF47" s="264" t="s">
        <v>118</v>
      </c>
      <c r="AG47" s="271"/>
      <c r="AH47" s="268">
        <v>32</v>
      </c>
      <c r="AJ47" s="446">
        <v>32</v>
      </c>
      <c r="AK47" s="209"/>
      <c r="AL47" s="543"/>
      <c r="AM47" s="360"/>
      <c r="AN47" s="219" t="s">
        <v>55</v>
      </c>
      <c r="AO47" s="291" t="str">
        <f t="shared" si="2"/>
        <v>D8</v>
      </c>
      <c r="AP47" s="220">
        <v>0</v>
      </c>
      <c r="AQ47" s="408"/>
      <c r="AR47" s="538"/>
      <c r="AS47" s="362"/>
      <c r="AT47" s="233"/>
      <c r="AU47" s="224" t="str">
        <f>IF($AP46=$AP47,"résultat",IF($AP46&lt;$AP47,$AO46,$AO47))</f>
        <v>D8</v>
      </c>
      <c r="AV47" s="237">
        <v>0</v>
      </c>
      <c r="AW47" s="441"/>
      <c r="AX47" s="422"/>
      <c r="AY47" s="423"/>
      <c r="AZ47" s="423"/>
      <c r="BA47" s="423"/>
      <c r="BB47" s="423"/>
      <c r="BC47" s="423"/>
      <c r="BD47" s="175"/>
      <c r="BE47" s="175"/>
      <c r="BF47" s="500"/>
      <c r="BH47" s="637" t="s">
        <v>269</v>
      </c>
      <c r="BI47" s="637"/>
      <c r="BJ47" s="637"/>
      <c r="BK47" s="637"/>
      <c r="BL47" s="637"/>
      <c r="BM47" s="638"/>
      <c r="BN47" s="367">
        <v>7</v>
      </c>
      <c r="BO47" s="524" t="str">
        <f>+BF40</f>
        <v>A7</v>
      </c>
      <c r="BP47" s="525"/>
      <c r="BQ47" s="526"/>
      <c r="BR47" s="277">
        <v>1</v>
      </c>
      <c r="BS47" s="242"/>
      <c r="BT47" s="527" t="s">
        <v>263</v>
      </c>
      <c r="BU47" s="527"/>
      <c r="BV47" s="527"/>
      <c r="BW47" s="527"/>
      <c r="BX47" s="527"/>
      <c r="BY47" s="528"/>
      <c r="BZ47" s="519">
        <v>23</v>
      </c>
      <c r="CA47" s="563" t="str">
        <f>+BF11</f>
        <v>CQ 3_</v>
      </c>
      <c r="CB47" s="564"/>
      <c r="CC47" s="569"/>
      <c r="CD47" s="289">
        <v>1</v>
      </c>
      <c r="CG47" s="575">
        <v>7</v>
      </c>
      <c r="CH47" s="577" t="str">
        <f>+BF40</f>
        <v>A7</v>
      </c>
      <c r="CI47" s="578"/>
      <c r="CJ47" s="579"/>
      <c r="CK47" s="273">
        <v>1</v>
      </c>
      <c r="CL47" s="417" t="str">
        <f>IF(CK47=CK48,"&amp;",IF(CK47&gt;CK48,CH47,CH48))</f>
        <v>A7</v>
      </c>
      <c r="CM47" s="575">
        <v>7</v>
      </c>
      <c r="CN47" s="577" t="str">
        <f>IF(CK77=CK78,"résultat",IF(CK77&gt;CK78,CH77,CH78))</f>
        <v>A13</v>
      </c>
      <c r="CO47" s="578"/>
      <c r="CP47" s="579"/>
      <c r="CQ47" s="273">
        <v>1</v>
      </c>
      <c r="CR47" s="418"/>
      <c r="CS47" s="182"/>
      <c r="CT47" s="244"/>
      <c r="CU47" s="244"/>
      <c r="CV47" s="245"/>
      <c r="CW47" s="182"/>
      <c r="CX47" s="374"/>
      <c r="CY47" s="203"/>
      <c r="CZ47" s="203"/>
      <c r="DA47" s="209"/>
      <c r="DB47" s="210"/>
      <c r="DC47" s="209" t="s">
        <v>159</v>
      </c>
      <c r="DD47" s="451"/>
      <c r="DE47" s="206"/>
      <c r="DF47" s="206"/>
      <c r="DH47" s="148"/>
      <c r="DI47" s="207"/>
      <c r="DJ47" s="451"/>
    </row>
    <row r="48" spans="1:116" ht="24.95" customHeight="1" thickTop="1" thickBot="1">
      <c r="AD48" s="43">
        <v>33</v>
      </c>
      <c r="AE48" s="265"/>
      <c r="AF48" s="264" t="s">
        <v>119</v>
      </c>
      <c r="AG48" s="271"/>
      <c r="AH48" s="268">
        <v>33</v>
      </c>
      <c r="AJ48" s="444">
        <v>33</v>
      </c>
      <c r="AK48" s="209"/>
      <c r="AL48" s="541">
        <v>9</v>
      </c>
      <c r="AM48" s="359">
        <v>17</v>
      </c>
      <c r="AN48" s="216" t="s">
        <v>16</v>
      </c>
      <c r="AO48" s="99" t="str">
        <f t="shared" si="2"/>
        <v>A9</v>
      </c>
      <c r="AP48" s="181">
        <v>1</v>
      </c>
      <c r="AQ48" s="408"/>
      <c r="AR48" s="536">
        <v>9</v>
      </c>
      <c r="AS48" s="359">
        <v>4</v>
      </c>
      <c r="AT48" s="230"/>
      <c r="AU48" s="262" t="str">
        <f>IF($AP48=$AP49,"résultat",IF($AP48&gt;$AP49,$AO48,$AO49))</f>
        <v>A9</v>
      </c>
      <c r="AV48" s="236">
        <v>1</v>
      </c>
      <c r="AW48" s="415"/>
      <c r="AX48" s="410"/>
      <c r="AY48" s="411"/>
      <c r="AZ48" s="411"/>
      <c r="BA48" s="411"/>
      <c r="BB48" s="411"/>
      <c r="BC48" s="411"/>
      <c r="BD48" s="454">
        <v>1</v>
      </c>
      <c r="BE48" s="243"/>
      <c r="BF48" s="241" t="str">
        <f>IF($AV48=$AV49,"résultat",IF($AV48&gt;$AV49,$AU48,$AU49))</f>
        <v>A9</v>
      </c>
      <c r="BH48" s="641" t="s">
        <v>311</v>
      </c>
      <c r="BI48" s="641"/>
      <c r="BJ48" s="641"/>
      <c r="BK48" s="641"/>
      <c r="BL48" s="641"/>
      <c r="BM48" s="642"/>
      <c r="BN48" s="368"/>
      <c r="BO48" s="548" t="str">
        <f>+BF30</f>
        <v>B4</v>
      </c>
      <c r="BP48" s="549"/>
      <c r="BQ48" s="550"/>
      <c r="BR48" s="278">
        <v>0</v>
      </c>
      <c r="BS48" s="242"/>
      <c r="BT48" s="529" t="s">
        <v>301</v>
      </c>
      <c r="BU48" s="529"/>
      <c r="BV48" s="529"/>
      <c r="BW48" s="529"/>
      <c r="BX48" s="529"/>
      <c r="BY48" s="530"/>
      <c r="BZ48" s="520"/>
      <c r="CA48" s="566" t="str">
        <f>+BF53</f>
        <v>C10</v>
      </c>
      <c r="CB48" s="567"/>
      <c r="CC48" s="570"/>
      <c r="CD48" s="460">
        <v>0</v>
      </c>
      <c r="CG48" s="576"/>
      <c r="CH48" s="580" t="str">
        <f>+BF73</f>
        <v>C15</v>
      </c>
      <c r="CI48" s="581"/>
      <c r="CJ48" s="582"/>
      <c r="CK48" s="187">
        <v>0</v>
      </c>
      <c r="CL48" s="417" t="str">
        <f>IF(CK47=CK48,"&amp;",IF(CK47&lt;CK48,CH47,CH48))</f>
        <v>C15</v>
      </c>
      <c r="CM48" s="576"/>
      <c r="CN48" s="580" t="str">
        <f>IF(CK82=CK83,"résultat",IF(CK82&gt;CK83,CH82,CH83))</f>
        <v>A14</v>
      </c>
      <c r="CO48" s="581"/>
      <c r="CP48" s="582"/>
      <c r="CQ48" s="187">
        <v>0</v>
      </c>
      <c r="CR48" s="418"/>
      <c r="CS48" s="182"/>
      <c r="CT48" s="244"/>
      <c r="CV48" s="243"/>
      <c r="CW48" s="182"/>
      <c r="CX48" s="374"/>
      <c r="CY48" s="208"/>
      <c r="CZ48" s="208"/>
      <c r="DA48" s="153"/>
      <c r="DB48" s="153"/>
      <c r="DC48" s="153"/>
      <c r="DD48" s="451"/>
      <c r="DE48" s="150"/>
      <c r="DF48" s="150"/>
      <c r="DG48" s="209"/>
      <c r="DH48" s="210"/>
      <c r="DI48" s="150"/>
      <c r="DJ48" s="451"/>
    </row>
    <row r="49" spans="4:114" ht="24.95" customHeight="1" thickBot="1">
      <c r="AD49" s="39">
        <v>34</v>
      </c>
      <c r="AE49" s="264"/>
      <c r="AF49" s="264" t="s">
        <v>120</v>
      </c>
      <c r="AG49" s="271"/>
      <c r="AH49" s="268">
        <v>34</v>
      </c>
      <c r="AJ49" s="446">
        <v>34</v>
      </c>
      <c r="AK49" s="209" t="str">
        <f>CONCATENATE(M22,M23)</f>
        <v>43</v>
      </c>
      <c r="AL49" s="542"/>
      <c r="AM49" s="360"/>
      <c r="AN49" s="217" t="s">
        <v>17</v>
      </c>
      <c r="AO49" s="98" t="str">
        <f t="shared" si="2"/>
        <v>B9</v>
      </c>
      <c r="AP49" s="184">
        <v>0</v>
      </c>
      <c r="AQ49" s="408"/>
      <c r="AR49" s="537"/>
      <c r="AS49" s="360"/>
      <c r="AT49" s="231"/>
      <c r="AU49" s="339" t="str">
        <f>IF($AP50=$AP51,"résultat",IF($AP50&gt;$AP51,$AO50,$AO51))</f>
        <v>C9</v>
      </c>
      <c r="AV49" s="237">
        <v>0</v>
      </c>
      <c r="AW49" s="415"/>
      <c r="AX49" s="410"/>
      <c r="AY49" s="411"/>
      <c r="AZ49" s="411"/>
      <c r="BA49" s="411"/>
      <c r="BB49" s="411"/>
      <c r="BC49" s="411"/>
      <c r="BD49" s="453">
        <v>2</v>
      </c>
      <c r="BE49" s="247" t="str">
        <f>+AK49</f>
        <v>43</v>
      </c>
      <c r="BF49" s="185" t="str">
        <f>IF($AV48=$AV49,"résultat",IF($AV48&lt;$AV49,$AU48,$AU49))</f>
        <v>C9</v>
      </c>
      <c r="BH49" s="3"/>
      <c r="BI49" s="3"/>
      <c r="BJ49" s="3"/>
      <c r="BK49" s="3"/>
      <c r="BL49" s="3"/>
      <c r="BM49" s="3"/>
      <c r="BN49" s="1"/>
      <c r="BO49" s="3"/>
      <c r="BP49" s="3"/>
      <c r="BQ49" s="3"/>
      <c r="BR49" s="1"/>
      <c r="BS49" s="1"/>
      <c r="BT49" s="3"/>
      <c r="BU49" s="3"/>
      <c r="BV49" s="3"/>
      <c r="BW49" s="3"/>
      <c r="BX49" s="3"/>
      <c r="BY49" s="3"/>
      <c r="BZ49" s="1"/>
      <c r="CA49" s="3"/>
      <c r="CB49" s="3"/>
      <c r="CC49" s="3"/>
      <c r="CD49" s="1"/>
      <c r="CG49" s="191"/>
      <c r="CH49" s="193"/>
      <c r="CI49" s="193"/>
      <c r="CJ49" s="193"/>
      <c r="CK49" s="229"/>
      <c r="CL49" s="417"/>
      <c r="CM49" s="191"/>
      <c r="CN49" s="193"/>
      <c r="CO49" s="193"/>
      <c r="CP49" s="193"/>
      <c r="CQ49" s="229"/>
      <c r="CR49" s="418"/>
      <c r="CS49" s="182"/>
      <c r="CT49" s="244"/>
      <c r="CU49" s="248" t="s">
        <v>55</v>
      </c>
      <c r="CV49" s="243"/>
      <c r="CW49" s="182"/>
      <c r="CX49" s="374"/>
      <c r="CY49" s="208"/>
      <c r="CZ49" s="208"/>
      <c r="DA49" s="153"/>
      <c r="DB49" s="153"/>
      <c r="DC49" s="153"/>
      <c r="DD49" s="451"/>
      <c r="DE49" s="150"/>
      <c r="DF49" s="150"/>
      <c r="DG49" s="209"/>
      <c r="DH49" s="210"/>
      <c r="DI49" s="150"/>
      <c r="DJ49" s="448" t="str">
        <f>IF(DI52=DI53,"résultat",IF(DI52&lt;DI53,DF52,DF53))</f>
        <v>A15</v>
      </c>
    </row>
    <row r="50" spans="4:114" ht="24.95" customHeight="1" thickBot="1">
      <c r="AD50" s="43">
        <v>35</v>
      </c>
      <c r="AE50" s="265"/>
      <c r="AF50" s="264" t="s">
        <v>121</v>
      </c>
      <c r="AG50" s="270"/>
      <c r="AH50" s="268">
        <v>35</v>
      </c>
      <c r="AJ50" s="446">
        <v>35</v>
      </c>
      <c r="AK50" s="209"/>
      <c r="AL50" s="542"/>
      <c r="AM50" s="361">
        <v>18</v>
      </c>
      <c r="AN50" s="218" t="s">
        <v>64</v>
      </c>
      <c r="AO50" s="99" t="str">
        <f t="shared" si="2"/>
        <v>C9</v>
      </c>
      <c r="AP50" s="186">
        <v>1</v>
      </c>
      <c r="AQ50" s="408"/>
      <c r="AR50" s="537"/>
      <c r="AS50" s="361">
        <v>5</v>
      </c>
      <c r="AT50" s="232"/>
      <c r="AU50" s="224" t="str">
        <f>IF($AP48=$AP49,"résultat",IF($AP48&lt;$AP49,$AO48,$AO49))</f>
        <v>B9</v>
      </c>
      <c r="AV50" s="236">
        <v>1</v>
      </c>
      <c r="AW50" s="415"/>
      <c r="AX50" s="410"/>
      <c r="AY50" s="411"/>
      <c r="AZ50" s="411"/>
      <c r="BA50" s="411"/>
      <c r="BB50" s="411"/>
      <c r="BC50" s="411"/>
      <c r="BD50" s="455">
        <v>3</v>
      </c>
      <c r="BE50" s="243"/>
      <c r="BF50" s="347" t="str">
        <f>IF($AV50=$AV51,"résultat",IF($AV50&gt;$AV51,$AU50,$AU51))</f>
        <v>B9</v>
      </c>
      <c r="BH50" s="47"/>
      <c r="BI50" s="47"/>
      <c r="BJ50" s="47"/>
      <c r="BK50" s="47"/>
      <c r="BL50" s="204"/>
      <c r="BM50" s="204"/>
      <c r="BN50" s="202"/>
      <c r="BO50" s="205"/>
      <c r="BP50" s="287"/>
      <c r="BQ50" s="287"/>
      <c r="BR50" s="282"/>
      <c r="BS50" s="282"/>
      <c r="BT50" s="284"/>
      <c r="BU50" s="284"/>
      <c r="BV50" s="284"/>
      <c r="BW50" s="284"/>
      <c r="BX50" s="205"/>
      <c r="BY50" s="205"/>
      <c r="BZ50" s="374"/>
      <c r="CA50" s="512"/>
      <c r="CB50" s="512"/>
      <c r="CC50" s="512"/>
      <c r="CD50" s="458"/>
      <c r="CG50" s="191"/>
      <c r="CH50" s="516"/>
      <c r="CI50" s="193"/>
      <c r="CJ50" s="193"/>
      <c r="CK50" s="229"/>
      <c r="CL50" s="417"/>
      <c r="CM50" s="191"/>
      <c r="CN50" s="516"/>
      <c r="CO50" s="193"/>
      <c r="CP50" s="193"/>
      <c r="CQ50" s="229"/>
      <c r="CR50" s="418"/>
      <c r="CS50" s="575">
        <v>4</v>
      </c>
      <c r="CT50" s="648" t="str">
        <f>IF(CQ47=CQ48,"Gagnant 1/8 A",IF(CQ47&gt;CQ48,CN47,CN48))</f>
        <v>A13</v>
      </c>
      <c r="CU50" s="649"/>
      <c r="CV50" s="650"/>
      <c r="CW50" s="273">
        <v>1</v>
      </c>
      <c r="CX50" s="434"/>
      <c r="CY50" s="208"/>
      <c r="CZ50" s="208"/>
      <c r="DA50" s="153"/>
      <c r="DB50" s="153"/>
      <c r="DC50" s="153"/>
      <c r="DD50" s="451"/>
      <c r="DE50" s="623" t="s">
        <v>177</v>
      </c>
      <c r="DF50" s="624"/>
      <c r="DG50" s="624"/>
      <c r="DH50" s="624"/>
      <c r="DI50" s="625"/>
      <c r="DJ50" s="448"/>
    </row>
    <row r="51" spans="4:114" ht="24.95" customHeight="1" thickBot="1">
      <c r="AD51" s="39">
        <v>36</v>
      </c>
      <c r="AE51" s="264"/>
      <c r="AF51" s="264" t="s">
        <v>122</v>
      </c>
      <c r="AG51" s="294"/>
      <c r="AH51" s="268">
        <v>36</v>
      </c>
      <c r="AJ51" s="414">
        <v>36</v>
      </c>
      <c r="AK51" s="209"/>
      <c r="AL51" s="543"/>
      <c r="AM51" s="360"/>
      <c r="AN51" s="219" t="s">
        <v>55</v>
      </c>
      <c r="AO51" s="291" t="str">
        <f>IF(ISNA(MATCH(AJ51,$AH$16:$AH$115,0)),"OFFICE",INDEX($AF$16:$AF$117,0))</f>
        <v>D9</v>
      </c>
      <c r="AP51" s="220">
        <v>0</v>
      </c>
      <c r="AQ51" s="408"/>
      <c r="AR51" s="538"/>
      <c r="AS51" s="362"/>
      <c r="AT51" s="233"/>
      <c r="AU51" s="224" t="str">
        <f>IF($AP50=$AP51,"résultat",IF($AP50&lt;$AP51,$AO50,$AO51))</f>
        <v>D9</v>
      </c>
      <c r="AV51" s="237">
        <v>0</v>
      </c>
      <c r="AW51" s="415"/>
      <c r="AX51" s="422"/>
      <c r="AY51" s="423"/>
      <c r="AZ51" s="423"/>
      <c r="BA51" s="423"/>
      <c r="BB51" s="423"/>
      <c r="BC51" s="423"/>
      <c r="BD51" s="188"/>
      <c r="BE51" s="175"/>
      <c r="BF51" s="500"/>
      <c r="BH51" s="47"/>
      <c r="BI51" s="47"/>
      <c r="BJ51" s="47"/>
      <c r="BK51" s="47"/>
      <c r="BL51" s="204"/>
      <c r="BM51" s="204"/>
      <c r="BN51" s="179"/>
      <c r="BO51" s="503"/>
      <c r="BP51" s="504" t="s">
        <v>187</v>
      </c>
      <c r="BQ51" s="505"/>
      <c r="BR51" s="180"/>
      <c r="BS51" s="180"/>
      <c r="BT51" s="508"/>
      <c r="BU51" s="508"/>
      <c r="BV51" s="508"/>
      <c r="BW51" s="508"/>
      <c r="BX51" s="205"/>
      <c r="BY51" s="205"/>
      <c r="BZ51" s="202"/>
      <c r="CA51" s="205"/>
      <c r="CB51" s="504" t="s">
        <v>72</v>
      </c>
      <c r="CC51" s="352"/>
      <c r="CD51" s="180"/>
      <c r="CG51" s="182"/>
      <c r="CH51" s="246"/>
      <c r="CI51" s="513" t="s">
        <v>67</v>
      </c>
      <c r="CJ51" s="352"/>
      <c r="CK51" s="244"/>
      <c r="CL51" s="461"/>
      <c r="CM51" s="182"/>
      <c r="CN51" s="246"/>
      <c r="CO51" s="518" t="s">
        <v>67</v>
      </c>
      <c r="CP51" s="352"/>
      <c r="CQ51" s="182"/>
      <c r="CR51" s="462"/>
      <c r="CS51" s="576"/>
      <c r="CT51" s="617" t="str">
        <f>IF(CQ52=CQ53,"Gagnant 1/8 B",IF(CQ52&gt;CQ53,CN52,CN53))</f>
        <v>A15</v>
      </c>
      <c r="CU51" s="618"/>
      <c r="CV51" s="619"/>
      <c r="CW51" s="187">
        <v>0</v>
      </c>
      <c r="CX51" s="434"/>
      <c r="CY51" s="203"/>
      <c r="CZ51" s="203"/>
      <c r="DA51" s="272" t="s">
        <v>17</v>
      </c>
      <c r="DB51" s="210"/>
      <c r="DC51" s="209"/>
      <c r="DD51" s="451"/>
      <c r="DE51" s="150" t="s">
        <v>6</v>
      </c>
      <c r="DF51" s="150"/>
      <c r="DG51" s="209"/>
      <c r="DH51" s="210"/>
      <c r="DI51" s="150" t="s">
        <v>5</v>
      </c>
    </row>
    <row r="52" spans="4:114" ht="24.95" customHeight="1" thickTop="1">
      <c r="AD52" s="43">
        <v>37</v>
      </c>
      <c r="AE52" s="265"/>
      <c r="AF52" s="264" t="s">
        <v>123</v>
      </c>
      <c r="AG52" s="271"/>
      <c r="AH52" s="268">
        <v>37</v>
      </c>
      <c r="AJ52" s="444">
        <v>37</v>
      </c>
      <c r="AK52" s="209"/>
      <c r="AL52" s="541">
        <v>10</v>
      </c>
      <c r="AM52" s="359">
        <v>19</v>
      </c>
      <c r="AN52" s="216" t="s">
        <v>16</v>
      </c>
      <c r="AO52" s="99" t="str">
        <f t="shared" si="2"/>
        <v>A10</v>
      </c>
      <c r="AP52" s="181">
        <v>1</v>
      </c>
      <c r="AQ52" s="408"/>
      <c r="AR52" s="536">
        <v>10</v>
      </c>
      <c r="AS52" s="359">
        <v>6</v>
      </c>
      <c r="AT52" s="230"/>
      <c r="AU52" s="262" t="str">
        <f>IF($AP52=$AP53,"résultat",IF($AP52&gt;$AP53,$AO52,$AO53))</f>
        <v>A10</v>
      </c>
      <c r="AV52" s="236">
        <v>1</v>
      </c>
      <c r="AW52" s="409"/>
      <c r="AX52" s="410"/>
      <c r="AY52" s="411"/>
      <c r="AZ52" s="411"/>
      <c r="BA52" s="411"/>
      <c r="BB52" s="411"/>
      <c r="BC52" s="411"/>
      <c r="BD52" s="463">
        <v>1</v>
      </c>
      <c r="BE52" s="243"/>
      <c r="BF52" s="241" t="str">
        <f>IF($AV52=$AV53,"résultat",IF($AV52&gt;$AV53,$AU52,$AU53))</f>
        <v>A10</v>
      </c>
      <c r="BH52" s="637" t="s">
        <v>270</v>
      </c>
      <c r="BI52" s="637"/>
      <c r="BJ52" s="637"/>
      <c r="BK52" s="637"/>
      <c r="BL52" s="637"/>
      <c r="BM52" s="638"/>
      <c r="BN52" s="519">
        <v>8</v>
      </c>
      <c r="BO52" s="524" t="str">
        <f>+BF44</f>
        <v>A8</v>
      </c>
      <c r="BP52" s="525"/>
      <c r="BQ52" s="547"/>
      <c r="BR52" s="283">
        <v>1</v>
      </c>
      <c r="BS52" s="242"/>
      <c r="BT52" s="529" t="s">
        <v>300</v>
      </c>
      <c r="BU52" s="529"/>
      <c r="BV52" s="529"/>
      <c r="BW52" s="529"/>
      <c r="BX52" s="529"/>
      <c r="BY52" s="530"/>
      <c r="BZ52" s="519">
        <v>24</v>
      </c>
      <c r="CA52" s="560" t="str">
        <f>+BF49</f>
        <v>C9</v>
      </c>
      <c r="CB52" s="561"/>
      <c r="CC52" s="562"/>
      <c r="CD52" s="283">
        <v>1</v>
      </c>
      <c r="CG52" s="575">
        <v>8</v>
      </c>
      <c r="CH52" s="577" t="str">
        <f>+BF44</f>
        <v>A8</v>
      </c>
      <c r="CI52" s="578"/>
      <c r="CJ52" s="579"/>
      <c r="CK52" s="273">
        <v>1</v>
      </c>
      <c r="CL52" s="417" t="str">
        <f>IF(CK52=CK53,"&amp;",IF(CK52&gt;CK53,CH52,CH53))</f>
        <v>A8</v>
      </c>
      <c r="CM52" s="575">
        <v>8</v>
      </c>
      <c r="CN52" s="577" t="str">
        <f>IF(CK87=CK88,"résultat",IF(CK87&gt;CK88,CH87,CH88))</f>
        <v>A15</v>
      </c>
      <c r="CO52" s="578"/>
      <c r="CP52" s="579"/>
      <c r="CQ52" s="273">
        <v>1</v>
      </c>
      <c r="CR52" s="418"/>
      <c r="CS52" s="182"/>
      <c r="CT52" s="244"/>
      <c r="CU52" s="244"/>
      <c r="CV52" s="245"/>
      <c r="CW52" s="182"/>
      <c r="CX52" s="445" t="str">
        <f>IF(CW40=CW41,"&amp;",IF(CW40&gt;CW41,CT40,CT41))</f>
        <v>A9</v>
      </c>
      <c r="CY52" s="606">
        <v>4</v>
      </c>
      <c r="CZ52" s="608" t="str">
        <f>IF(OR(AND(EK7&gt;0,EK7&lt;5))," ",IF(CW30=CW31,"Perdant 1/4 B",IF(AND(EK7&gt;4,EK7&lt;9),IF(CW30&lt;CW31,CT30,CT31)," ")))</f>
        <v>A7</v>
      </c>
      <c r="DA52" s="609"/>
      <c r="DB52" s="610"/>
      <c r="DC52" s="273">
        <v>1</v>
      </c>
      <c r="DD52" s="451"/>
      <c r="DE52" s="606">
        <v>4</v>
      </c>
      <c r="DF52" s="603" t="str">
        <f>IF(OR(AND(EK7&gt;0,EK7&lt;7))," ",IF(DC45=DC46,"P. 1ère Part.Rep. A",IF(AND(EK7&gt;6,EK7&lt;9),IF(DC45&lt;DC46,CZ45,CZ46)," ")))</f>
        <v>A11</v>
      </c>
      <c r="DG52" s="604"/>
      <c r="DH52" s="605"/>
      <c r="DI52" s="273">
        <v>1</v>
      </c>
    </row>
    <row r="53" spans="4:114" ht="24.95" customHeight="1" thickBot="1">
      <c r="AD53" s="39">
        <v>38</v>
      </c>
      <c r="AE53" s="264"/>
      <c r="AF53" s="264" t="s">
        <v>124</v>
      </c>
      <c r="AG53" s="464"/>
      <c r="AH53" s="268">
        <v>38</v>
      </c>
      <c r="AJ53" s="446">
        <v>38</v>
      </c>
      <c r="AK53" s="401" t="str">
        <f>CONCATENATE(N22,N23)</f>
        <v>43</v>
      </c>
      <c r="AL53" s="542"/>
      <c r="AM53" s="360"/>
      <c r="AN53" s="217" t="s">
        <v>17</v>
      </c>
      <c r="AO53" s="98" t="str">
        <f t="shared" si="2"/>
        <v>B10</v>
      </c>
      <c r="AP53" s="184">
        <v>0</v>
      </c>
      <c r="AQ53" s="408"/>
      <c r="AR53" s="537"/>
      <c r="AS53" s="360"/>
      <c r="AT53" s="231"/>
      <c r="AU53" s="339" t="str">
        <f>IF($AP54=$AP55,"résultat",IF($AP54&gt;$AP55,$AO54,$AO55))</f>
        <v>C10</v>
      </c>
      <c r="AV53" s="237">
        <v>0</v>
      </c>
      <c r="AW53" s="415"/>
      <c r="AX53" s="410"/>
      <c r="AY53" s="411"/>
      <c r="AZ53" s="411"/>
      <c r="BA53" s="411"/>
      <c r="BB53" s="411"/>
      <c r="BC53" s="411"/>
      <c r="BD53" s="453">
        <v>2</v>
      </c>
      <c r="BE53" s="247" t="str">
        <f>+AK53</f>
        <v>43</v>
      </c>
      <c r="BF53" s="185" t="str">
        <f>IF($AV52=$AV53,"résultat",IF($AV52&lt;$AV53,$AU52,$AU53))</f>
        <v>C10</v>
      </c>
      <c r="BH53" s="641" t="s">
        <v>312</v>
      </c>
      <c r="BI53" s="641"/>
      <c r="BJ53" s="641"/>
      <c r="BK53" s="641"/>
      <c r="BL53" s="641"/>
      <c r="BM53" s="642"/>
      <c r="BN53" s="520"/>
      <c r="BO53" s="548" t="str">
        <f>+BF34</f>
        <v>B5</v>
      </c>
      <c r="BP53" s="549"/>
      <c r="BQ53" s="550"/>
      <c r="BR53" s="420">
        <v>0</v>
      </c>
      <c r="BS53" s="426"/>
      <c r="BT53" s="641" t="s">
        <v>316</v>
      </c>
      <c r="BU53" s="641"/>
      <c r="BV53" s="641"/>
      <c r="BW53" s="641"/>
      <c r="BX53" s="641"/>
      <c r="BY53" s="642"/>
      <c r="BZ53" s="520"/>
      <c r="CA53" s="548" t="str">
        <f>+BF54</f>
        <v>B10</v>
      </c>
      <c r="CB53" s="549"/>
      <c r="CC53" s="550"/>
      <c r="CD53" s="420">
        <v>0</v>
      </c>
      <c r="CG53" s="576"/>
      <c r="CH53" s="580" t="str">
        <f>+BF77</f>
        <v>C16</v>
      </c>
      <c r="CI53" s="581"/>
      <c r="CJ53" s="582"/>
      <c r="CK53" s="187">
        <v>0</v>
      </c>
      <c r="CL53" s="417"/>
      <c r="CM53" s="576"/>
      <c r="CN53" s="580" t="str">
        <f>IF(CK92=CK93,"résultat",IF(CK92&gt;CK93,CH92,CH93))</f>
        <v>A16</v>
      </c>
      <c r="CO53" s="581"/>
      <c r="CP53" s="582"/>
      <c r="CQ53" s="187">
        <v>0</v>
      </c>
      <c r="CR53" s="418"/>
      <c r="CS53" s="182"/>
      <c r="CT53" s="244"/>
      <c r="CU53" s="244"/>
      <c r="CV53" s="245"/>
      <c r="CW53" s="182"/>
      <c r="CX53" s="445" t="str">
        <f>IF(CW40=CW41,"&amp;",IF(CW40&lt;CW41,CT40,CT41))</f>
        <v>A11</v>
      </c>
      <c r="CY53" s="607"/>
      <c r="CZ53" s="620" t="str">
        <f>IF(OR(AND(EK7&gt;0,EK7&lt;5))," ",IF(CW50=CW51,"Perdant 1/4 D",IF(AND(EK7&gt;4,EK7&lt;9),IF(CW50&lt;CW51,CT50,CT51)," ")))</f>
        <v>A15</v>
      </c>
      <c r="DA53" s="621"/>
      <c r="DB53" s="622"/>
      <c r="DC53" s="187">
        <v>0</v>
      </c>
      <c r="DD53" s="451"/>
      <c r="DE53" s="607"/>
      <c r="DF53" s="651" t="str">
        <f>IF(OR(AND(EK7&gt;0,EK7&lt;7))," ",IF(DC52=DC53,"P. 1ère Part. Rep. B",IF(AND(EK7&gt;6,EK7&lt;9),IF(DC52&lt;DC53,CZ52,CZ53)," ")))</f>
        <v>A15</v>
      </c>
      <c r="DG53" s="652"/>
      <c r="DH53" s="653"/>
      <c r="DI53" s="187">
        <v>0</v>
      </c>
    </row>
    <row r="54" spans="4:114" ht="24.95" customHeight="1" thickBot="1">
      <c r="AD54" s="43">
        <v>39</v>
      </c>
      <c r="AE54" s="265"/>
      <c r="AF54" s="264" t="s">
        <v>125</v>
      </c>
      <c r="AG54" s="464"/>
      <c r="AH54" s="268">
        <v>39</v>
      </c>
      <c r="AJ54" s="446">
        <v>39</v>
      </c>
      <c r="AK54" s="209"/>
      <c r="AL54" s="542"/>
      <c r="AM54" s="361">
        <v>20</v>
      </c>
      <c r="AN54" s="218" t="s">
        <v>64</v>
      </c>
      <c r="AO54" s="99" t="str">
        <f t="shared" si="2"/>
        <v>C10</v>
      </c>
      <c r="AP54" s="186">
        <v>1</v>
      </c>
      <c r="AQ54" s="408"/>
      <c r="AR54" s="537"/>
      <c r="AS54" s="361">
        <v>7</v>
      </c>
      <c r="AT54" s="232"/>
      <c r="AU54" s="224" t="str">
        <f>IF($AP52=$AP53,"résultat",IF($AP52&lt;$AP53,$AO52,$AO53))</f>
        <v>B10</v>
      </c>
      <c r="AV54" s="236">
        <v>1</v>
      </c>
      <c r="AW54" s="415"/>
      <c r="AX54" s="410"/>
      <c r="AY54" s="411"/>
      <c r="AZ54" s="411"/>
      <c r="BA54" s="411"/>
      <c r="BB54" s="411"/>
      <c r="BC54" s="411"/>
      <c r="BD54" s="455">
        <v>3</v>
      </c>
      <c r="BE54" s="243"/>
      <c r="BF54" s="347" t="str">
        <f>IF($AV54=$AV55,"résultat",IF($AV54&gt;$AV55,$AU54,$AU55))</f>
        <v>B10</v>
      </c>
      <c r="BH54" s="3"/>
      <c r="BI54" s="3"/>
      <c r="BJ54" s="3"/>
      <c r="BK54" s="3"/>
      <c r="BL54" s="3"/>
      <c r="BM54" s="3"/>
      <c r="BN54" s="1"/>
      <c r="BO54" s="3"/>
      <c r="BP54" s="3"/>
      <c r="BQ54" s="3"/>
      <c r="BR54" s="1"/>
      <c r="BS54" s="1"/>
      <c r="BT54" s="3"/>
      <c r="BU54" s="3"/>
      <c r="BV54" s="3"/>
      <c r="BW54" s="3"/>
      <c r="BX54" s="3"/>
      <c r="BY54" s="3"/>
      <c r="BZ54" s="1"/>
      <c r="CA54" s="3"/>
      <c r="CB54" s="3"/>
      <c r="CC54" s="3"/>
      <c r="CD54" s="1"/>
      <c r="CG54" s="191"/>
      <c r="CH54" s="193"/>
      <c r="CI54" s="193"/>
      <c r="CJ54" s="193"/>
      <c r="CK54" s="229"/>
      <c r="CL54" s="417"/>
      <c r="CM54" s="191"/>
      <c r="CN54" s="288"/>
      <c r="CO54" s="288"/>
      <c r="CP54" s="288"/>
      <c r="CQ54" s="229"/>
      <c r="CR54" s="418"/>
      <c r="CS54" s="182"/>
      <c r="CT54" s="244"/>
      <c r="CU54" s="244"/>
      <c r="CV54" s="245"/>
      <c r="CW54" s="182"/>
      <c r="CX54" s="465"/>
      <c r="CY54" s="211"/>
      <c r="DC54" s="207"/>
      <c r="DD54" s="448" t="str">
        <f>IF(DC52=DC53,"résultat",IF(DC52&lt;DC53,CZ52,CZ53))</f>
        <v>A15</v>
      </c>
      <c r="DE54" s="211"/>
      <c r="DI54" s="207"/>
    </row>
    <row r="55" spans="4:114" ht="24.95" customHeight="1" thickBot="1">
      <c r="AD55" s="39">
        <v>40</v>
      </c>
      <c r="AE55" s="264"/>
      <c r="AF55" s="264" t="s">
        <v>126</v>
      </c>
      <c r="AG55" s="271"/>
      <c r="AH55" s="268">
        <v>40</v>
      </c>
      <c r="AJ55" s="414">
        <v>40</v>
      </c>
      <c r="AK55" s="209"/>
      <c r="AL55" s="543"/>
      <c r="AM55" s="360"/>
      <c r="AN55" s="219" t="s">
        <v>55</v>
      </c>
      <c r="AO55" s="291" t="str">
        <f>IF(ISNA(MATCH(AJ55,$AH$16:$AH$115,0)),"OFFICE",INDEX($AF$16:$AF$117,0))</f>
        <v>D10</v>
      </c>
      <c r="AP55" s="220">
        <v>0</v>
      </c>
      <c r="AQ55" s="408"/>
      <c r="AR55" s="538"/>
      <c r="AS55" s="362"/>
      <c r="AT55" s="233"/>
      <c r="AU55" s="224" t="str">
        <f>IF($AP54=$AP55,"résultat",IF($AP54&lt;$AP55,$AO54,$AO55))</f>
        <v>D10</v>
      </c>
      <c r="AV55" s="237">
        <v>0</v>
      </c>
      <c r="AW55" s="441"/>
      <c r="AX55" s="410"/>
      <c r="AY55" s="411"/>
      <c r="AZ55" s="411"/>
      <c r="BA55" s="411"/>
      <c r="BB55" s="411"/>
      <c r="BC55" s="411"/>
      <c r="BD55" s="175"/>
      <c r="BE55" s="175"/>
      <c r="BF55" s="500"/>
      <c r="BH55" s="47"/>
      <c r="BI55" s="47"/>
      <c r="BJ55" s="47"/>
      <c r="BK55" s="47"/>
      <c r="BL55" s="204"/>
      <c r="BM55" s="204"/>
      <c r="BN55" s="202"/>
      <c r="BO55" s="205"/>
      <c r="BP55" s="287"/>
      <c r="BQ55" s="287"/>
      <c r="BR55" s="282"/>
      <c r="BS55" s="282"/>
      <c r="BT55" s="284"/>
      <c r="BU55" s="284"/>
      <c r="BV55" s="284"/>
      <c r="BW55" s="284"/>
      <c r="BX55" s="205"/>
      <c r="BY55" s="205"/>
      <c r="BZ55" s="374"/>
      <c r="CA55" s="512"/>
      <c r="CB55" s="512"/>
      <c r="CC55" s="512"/>
      <c r="CD55" s="458"/>
      <c r="CG55" s="373"/>
      <c r="CH55" s="256"/>
      <c r="CI55" s="256"/>
      <c r="CJ55" s="256"/>
      <c r="CK55" s="373"/>
      <c r="CL55" s="417" t="str">
        <f>IF(CK52=CK53,"&amp;",IF(CK52&lt;CK53,CH52,CH53))</f>
        <v>C16</v>
      </c>
      <c r="CM55" s="373"/>
      <c r="CN55" s="373"/>
      <c r="CO55" s="373"/>
      <c r="CP55" s="373"/>
      <c r="CQ55" s="373"/>
      <c r="CR55" s="373"/>
      <c r="CS55" s="182"/>
      <c r="CT55" s="182"/>
      <c r="CU55" s="182"/>
      <c r="CV55" s="183"/>
      <c r="CW55" s="182"/>
      <c r="CX55" s="465"/>
      <c r="CY55" s="178"/>
      <c r="CZ55" s="178"/>
      <c r="DA55" s="178"/>
      <c r="DB55" s="179"/>
      <c r="DD55" s="448"/>
      <c r="DH55" s="148"/>
    </row>
    <row r="56" spans="4:114" ht="24.95" customHeight="1" thickTop="1" thickBot="1">
      <c r="AD56" s="43">
        <v>41</v>
      </c>
      <c r="AE56" s="265"/>
      <c r="AF56" s="264" t="s">
        <v>127</v>
      </c>
      <c r="AG56" s="271"/>
      <c r="AH56" s="268">
        <v>41</v>
      </c>
      <c r="AJ56" s="466">
        <v>41</v>
      </c>
      <c r="AK56" s="209"/>
      <c r="AL56" s="541">
        <v>11</v>
      </c>
      <c r="AM56" s="359">
        <v>21</v>
      </c>
      <c r="AN56" s="216" t="s">
        <v>16</v>
      </c>
      <c r="AO56" s="99" t="str">
        <f t="shared" ref="AO56:AO74" si="3">IF(ISNA(MATCH(AJ56,$AH$16:$AH$115,0)),"",INDEX($AF$16:$AF$117,0))</f>
        <v>A11</v>
      </c>
      <c r="AP56" s="181">
        <v>1</v>
      </c>
      <c r="AQ56" s="408"/>
      <c r="AR56" s="533">
        <v>11</v>
      </c>
      <c r="AS56" s="359">
        <v>8</v>
      </c>
      <c r="AT56" s="230"/>
      <c r="AU56" s="262" t="str">
        <f>IF($AP56=$AP57,"résultat",IF($AP56&gt;$AP57,$AO56,$AO57))</f>
        <v>A11</v>
      </c>
      <c r="AV56" s="236">
        <v>1</v>
      </c>
      <c r="AW56" s="415"/>
      <c r="AX56" s="533">
        <v>11</v>
      </c>
      <c r="AY56" s="189"/>
      <c r="AZ56" s="189"/>
      <c r="BA56" s="467"/>
      <c r="BB56" s="189"/>
      <c r="BC56" s="189"/>
      <c r="BD56" s="454">
        <v>1</v>
      </c>
      <c r="BE56" s="243"/>
      <c r="BF56" s="240" t="str">
        <f>IF($AK$57+$AK$58=42,IF($AV56=$AV57,"résultat",IF($AV56&gt;$AV57,$AU56,$AU57)),IF($AK$57+$AK$58=43,IF($AV56=$AV57,"résultat",IF($AV56&gt;$AV57,$AU56,$AU57))))</f>
        <v>A11</v>
      </c>
      <c r="BH56" s="47"/>
      <c r="BI56" s="47"/>
      <c r="BJ56" s="47"/>
      <c r="BK56" s="47"/>
      <c r="BL56" s="204"/>
      <c r="BM56" s="204"/>
      <c r="BN56" s="202"/>
      <c r="BO56" s="507"/>
      <c r="BP56" s="504" t="s">
        <v>196</v>
      </c>
      <c r="BQ56" s="507"/>
      <c r="BR56" s="202"/>
      <c r="BS56" s="202"/>
      <c r="BT56" s="507"/>
      <c r="BU56" s="507"/>
      <c r="BV56" s="507"/>
      <c r="BW56" s="507"/>
      <c r="BX56" s="205"/>
      <c r="BY56" s="205"/>
      <c r="BZ56" s="202"/>
      <c r="CA56" s="205"/>
      <c r="CB56" s="504" t="s">
        <v>73</v>
      </c>
      <c r="CC56" s="352"/>
      <c r="CD56" s="180"/>
      <c r="CG56" s="178"/>
      <c r="CH56" s="517"/>
      <c r="CI56" s="513" t="s">
        <v>185</v>
      </c>
      <c r="CJ56" s="352"/>
      <c r="CK56" s="180"/>
    </row>
    <row r="57" spans="4:114" ht="24.95" customHeight="1" thickBot="1">
      <c r="AD57" s="39">
        <v>42</v>
      </c>
      <c r="AE57" s="264"/>
      <c r="AF57" s="264" t="s">
        <v>128</v>
      </c>
      <c r="AG57" s="464"/>
      <c r="AH57" s="268">
        <v>42</v>
      </c>
      <c r="AJ57" s="468">
        <v>42</v>
      </c>
      <c r="AK57" s="209" t="str">
        <f>CONCATENATE(O22,O23)</f>
        <v>42</v>
      </c>
      <c r="AL57" s="542"/>
      <c r="AM57" s="360"/>
      <c r="AN57" s="217" t="s">
        <v>17</v>
      </c>
      <c r="AO57" s="98" t="str">
        <f t="shared" si="3"/>
        <v>B11</v>
      </c>
      <c r="AP57" s="184">
        <v>0</v>
      </c>
      <c r="AQ57" s="408"/>
      <c r="AR57" s="534"/>
      <c r="AS57" s="360"/>
      <c r="AT57" s="231"/>
      <c r="AU57" s="339" t="str">
        <f>IF($AP58=$AP59,"résultat",IF($AP58&gt;$AP59,$AO58,$AO59))</f>
        <v>C11</v>
      </c>
      <c r="AV57" s="237">
        <v>0</v>
      </c>
      <c r="AW57" s="415"/>
      <c r="AX57" s="534"/>
      <c r="AY57" s="531">
        <v>6</v>
      </c>
      <c r="AZ57" s="199"/>
      <c r="BA57" s="238" t="str">
        <f>IF($AK57+$AK58=42,IF($AV56=$AV57,"résultat",IF($AV56&lt;$AV57,$AU56,$AU57)),IF($AK57+$AK58=43," "))</f>
        <v>C11</v>
      </c>
      <c r="BB57" s="273">
        <v>1</v>
      </c>
      <c r="BC57" s="148"/>
      <c r="BD57" s="453">
        <v>2</v>
      </c>
      <c r="BE57" s="247" t="str">
        <f>+AK57</f>
        <v>42</v>
      </c>
      <c r="BF57" s="185" t="str">
        <f>IF($AK$57+$AK$58=42,IF($AV56=$AV57,"résultat",IF($AV56&lt;$AV57,$AU56,$AU57)),IF($AK$57+$AK$58=43,IF($AV56=$AV57,"résultat",IF($AV56&lt;$AV57,$AU56,$AU57))))</f>
        <v>C11</v>
      </c>
      <c r="BH57" s="637" t="s">
        <v>271</v>
      </c>
      <c r="BI57" s="637"/>
      <c r="BJ57" s="637"/>
      <c r="BK57" s="637"/>
      <c r="BL57" s="637"/>
      <c r="BM57" s="638"/>
      <c r="BN57" s="519">
        <v>9</v>
      </c>
      <c r="BO57" s="524" t="str">
        <f>+BF48</f>
        <v>A9</v>
      </c>
      <c r="BP57" s="525"/>
      <c r="BQ57" s="547"/>
      <c r="BR57" s="283">
        <v>1</v>
      </c>
      <c r="BS57" s="242"/>
      <c r="BT57" s="529" t="s">
        <v>299</v>
      </c>
      <c r="BU57" s="529"/>
      <c r="BV57" s="529"/>
      <c r="BW57" s="529"/>
      <c r="BX57" s="529"/>
      <c r="BY57" s="530"/>
      <c r="BZ57" s="519">
        <v>25</v>
      </c>
      <c r="CA57" s="560" t="str">
        <f>+BF45</f>
        <v>C8</v>
      </c>
      <c r="CB57" s="561"/>
      <c r="CC57" s="571"/>
      <c r="CD57" s="277">
        <v>1</v>
      </c>
      <c r="CG57" s="575">
        <v>1</v>
      </c>
      <c r="CH57" s="577" t="str">
        <f>+BF48</f>
        <v>A9</v>
      </c>
      <c r="CI57" s="578"/>
      <c r="CJ57" s="579"/>
      <c r="CK57" s="273">
        <v>1</v>
      </c>
    </row>
    <row r="58" spans="4:114" ht="24.95" customHeight="1" thickBot="1">
      <c r="AD58" s="43">
        <v>43</v>
      </c>
      <c r="AE58" s="265"/>
      <c r="AF58" s="264" t="s">
        <v>129</v>
      </c>
      <c r="AG58" s="464"/>
      <c r="AH58" s="268">
        <v>43</v>
      </c>
      <c r="AJ58" s="469">
        <v>43</v>
      </c>
      <c r="AK58" s="209"/>
      <c r="AL58" s="542"/>
      <c r="AM58" s="361">
        <v>22</v>
      </c>
      <c r="AN58" s="218" t="s">
        <v>64</v>
      </c>
      <c r="AO58" s="99" t="str">
        <f t="shared" si="3"/>
        <v>C11</v>
      </c>
      <c r="AP58" s="186">
        <v>1</v>
      </c>
      <c r="AQ58" s="408"/>
      <c r="AR58" s="534"/>
      <c r="AS58" s="361">
        <v>9</v>
      </c>
      <c r="AT58" s="232"/>
      <c r="AU58" s="224" t="str">
        <f>IF($AP56=$AP57,"résultat",IF($AP56&lt;$AP57,$AO56,$AO57))</f>
        <v>B11</v>
      </c>
      <c r="AV58" s="236">
        <v>1</v>
      </c>
      <c r="AW58" s="415"/>
      <c r="AX58" s="534"/>
      <c r="AY58" s="532"/>
      <c r="AZ58" s="200"/>
      <c r="BA58" s="201" t="str">
        <f>IF($AK57+$AK58=42,IF($AV58=$AV59,"résultat",IF($AV58&gt;$AV59,$AU58,$AU59)),IF($AK57+$AK58=43," "))</f>
        <v>B11</v>
      </c>
      <c r="BB58" s="187">
        <v>0</v>
      </c>
      <c r="BC58" s="148"/>
      <c r="BD58" s="455">
        <v>3</v>
      </c>
      <c r="BE58" s="243"/>
      <c r="BF58" s="350" t="str">
        <f>IF($AK$57+$AK$58=42," ",IF($AK$57+$AK$58=43,IF(AV58=AV59,"résultat",IF(AV58&gt;AV59,AU58,AU59))))</f>
        <v xml:space="preserve"> </v>
      </c>
      <c r="BH58" s="641" t="s">
        <v>313</v>
      </c>
      <c r="BI58" s="641"/>
      <c r="BJ58" s="641"/>
      <c r="BK58" s="641"/>
      <c r="BL58" s="641"/>
      <c r="BM58" s="642"/>
      <c r="BN58" s="520"/>
      <c r="BO58" s="521" t="str">
        <f>+BF38</f>
        <v>B6</v>
      </c>
      <c r="BP58" s="522"/>
      <c r="BQ58" s="523"/>
      <c r="BR58" s="420">
        <v>0</v>
      </c>
      <c r="BS58" s="426"/>
      <c r="BT58" s="643" t="s">
        <v>326</v>
      </c>
      <c r="BU58" s="643"/>
      <c r="BV58" s="641" t="s">
        <v>317</v>
      </c>
      <c r="BW58" s="641"/>
      <c r="BX58" s="641"/>
      <c r="BY58" s="642"/>
      <c r="BZ58" s="520"/>
      <c r="CA58" s="551" t="str">
        <f>IF(J15&lt;890,BF58,IF(J15&gt;890,BF109))</f>
        <v>A24</v>
      </c>
      <c r="CB58" s="552"/>
      <c r="CC58" s="553"/>
      <c r="CD58" s="278">
        <v>0</v>
      </c>
      <c r="CG58" s="576"/>
      <c r="CH58" s="580" t="str">
        <f>+BF17</f>
        <v>C1</v>
      </c>
      <c r="CI58" s="581"/>
      <c r="CJ58" s="582"/>
      <c r="CK58" s="187">
        <v>0</v>
      </c>
    </row>
    <row r="59" spans="4:114" ht="24.95" customHeight="1" thickBot="1">
      <c r="AD59" s="39">
        <v>44</v>
      </c>
      <c r="AE59" s="264"/>
      <c r="AF59" s="264" t="s">
        <v>130</v>
      </c>
      <c r="AG59" s="464"/>
      <c r="AH59" s="268">
        <v>44</v>
      </c>
      <c r="AJ59" s="469">
        <v>44</v>
      </c>
      <c r="AK59" s="209"/>
      <c r="AL59" s="543"/>
      <c r="AM59" s="360"/>
      <c r="AN59" s="219" t="s">
        <v>55</v>
      </c>
      <c r="AO59" s="291" t="str">
        <f>IF(ISNA(MATCH(AJ59,$AH$16:$AH$115,0)),"OFFICE",INDEX($AF$16:$AF$117,0))</f>
        <v>D11</v>
      </c>
      <c r="AP59" s="220">
        <v>0</v>
      </c>
      <c r="AQ59" s="408"/>
      <c r="AR59" s="535"/>
      <c r="AS59" s="362"/>
      <c r="AT59" s="233"/>
      <c r="AU59" s="224" t="str">
        <f>IF($AP58=$AP59,"résultat",IF($AP58&lt;$AP59,$AO58,$AO59))</f>
        <v>D11</v>
      </c>
      <c r="AV59" s="237">
        <v>0</v>
      </c>
      <c r="AW59" s="415"/>
      <c r="AX59" s="535"/>
      <c r="AY59" s="175"/>
      <c r="AZ59" s="175"/>
      <c r="BA59" s="194"/>
      <c r="BB59" s="175"/>
      <c r="BC59" s="175"/>
      <c r="BD59" s="188"/>
      <c r="BE59" s="175"/>
      <c r="BF59" s="500"/>
      <c r="BH59" s="3"/>
      <c r="BI59" s="3"/>
      <c r="BJ59" s="3"/>
      <c r="BK59" s="3"/>
      <c r="BL59" s="3"/>
      <c r="BM59" s="3"/>
      <c r="BN59" s="1"/>
      <c r="BO59" s="3"/>
      <c r="BP59" s="3"/>
      <c r="BQ59" s="3"/>
      <c r="BR59" s="1"/>
      <c r="BS59" s="1"/>
      <c r="BT59" s="3"/>
      <c r="BU59" s="3"/>
      <c r="BV59" s="3"/>
      <c r="BW59" s="3"/>
      <c r="BX59" s="3"/>
      <c r="BY59" s="3"/>
      <c r="BZ59" s="1"/>
      <c r="CA59" s="3"/>
      <c r="CB59" s="3"/>
      <c r="CC59" s="3"/>
      <c r="CD59" s="1"/>
      <c r="CG59" s="191"/>
      <c r="CH59" s="193"/>
      <c r="CI59" s="193"/>
      <c r="CJ59" s="193"/>
      <c r="CK59" s="229"/>
    </row>
    <row r="60" spans="4:114" ht="24.95" customHeight="1" thickTop="1" thickBot="1">
      <c r="AD60" s="43">
        <v>45</v>
      </c>
      <c r="AE60" s="265"/>
      <c r="AF60" s="264" t="s">
        <v>131</v>
      </c>
      <c r="AG60" s="271"/>
      <c r="AH60" s="268">
        <v>45</v>
      </c>
      <c r="AJ60" s="466">
        <v>45</v>
      </c>
      <c r="AK60" s="209"/>
      <c r="AL60" s="541">
        <v>12</v>
      </c>
      <c r="AM60" s="359">
        <v>23</v>
      </c>
      <c r="AN60" s="216" t="s">
        <v>16</v>
      </c>
      <c r="AO60" s="99" t="str">
        <f t="shared" si="3"/>
        <v>A12</v>
      </c>
      <c r="AP60" s="181">
        <v>1</v>
      </c>
      <c r="AQ60" s="408"/>
      <c r="AR60" s="533">
        <v>12</v>
      </c>
      <c r="AS60" s="359">
        <v>10</v>
      </c>
      <c r="AT60" s="230"/>
      <c r="AU60" s="262" t="str">
        <f>IF($AP60=$AP61,"résultat",IF($AP60&gt;$AP61,$AO60,$AO61))</f>
        <v>A12</v>
      </c>
      <c r="AV60" s="236">
        <v>1</v>
      </c>
      <c r="AW60" s="409"/>
      <c r="AX60" s="533">
        <v>12</v>
      </c>
      <c r="AY60" s="189"/>
      <c r="AZ60" s="189"/>
      <c r="BA60" s="196"/>
      <c r="BB60" s="189"/>
      <c r="BC60" s="189"/>
      <c r="BD60" s="454">
        <v>1</v>
      </c>
      <c r="BE60" s="243"/>
      <c r="BF60" s="240" t="str">
        <f>IF($AK$61+$AK$62=42,IF($AV60=$AV61,"résultat",IF($AV60&gt;$AV61,$AU60,$AU61)),IF($AK$61+$AK$62=43,IF(AV60=AV61,"résultat",IF(AV60&gt;AV61,AU60,AU61)),0))</f>
        <v>A12</v>
      </c>
      <c r="BH60" s="47"/>
      <c r="BI60" s="47"/>
      <c r="BJ60" s="47"/>
      <c r="BK60" s="47"/>
      <c r="BL60" s="204"/>
      <c r="BM60" s="204"/>
      <c r="BN60" s="202"/>
      <c r="BO60" s="205"/>
      <c r="BP60" s="287"/>
      <c r="BQ60" s="287"/>
      <c r="BR60" s="282"/>
      <c r="BS60" s="282"/>
      <c r="BT60" s="284"/>
      <c r="BU60" s="284"/>
      <c r="BV60" s="284"/>
      <c r="BW60" s="284"/>
      <c r="BX60" s="205"/>
      <c r="BY60" s="205"/>
      <c r="BZ60" s="288"/>
      <c r="CA60" s="193"/>
      <c r="CB60" s="287"/>
      <c r="CC60" s="287"/>
      <c r="CD60" s="242"/>
      <c r="CG60" s="244"/>
      <c r="CH60" s="246"/>
      <c r="CI60" s="246"/>
      <c r="CJ60" s="246"/>
      <c r="CK60" s="182"/>
    </row>
    <row r="61" spans="4:114" ht="24.95" customHeight="1" thickBot="1">
      <c r="AD61" s="39">
        <v>46</v>
      </c>
      <c r="AE61" s="264"/>
      <c r="AF61" s="264" t="s">
        <v>132</v>
      </c>
      <c r="AG61" s="271"/>
      <c r="AH61" s="268">
        <v>46</v>
      </c>
      <c r="AJ61" s="468">
        <v>46</v>
      </c>
      <c r="AK61" s="209" t="str">
        <f>CONCATENATE(P22,P23)</f>
        <v>42</v>
      </c>
      <c r="AL61" s="542"/>
      <c r="AM61" s="360"/>
      <c r="AN61" s="217" t="s">
        <v>17</v>
      </c>
      <c r="AO61" s="98" t="str">
        <f t="shared" si="3"/>
        <v>B12</v>
      </c>
      <c r="AP61" s="184">
        <v>0</v>
      </c>
      <c r="AQ61" s="408"/>
      <c r="AR61" s="534"/>
      <c r="AS61" s="360"/>
      <c r="AT61" s="231"/>
      <c r="AU61" s="339" t="str">
        <f>IF($AP62=$AP63,"résultat",IF($AP62&gt;$AP63,$AO62,$AO63))</f>
        <v>C12</v>
      </c>
      <c r="AV61" s="237">
        <v>0</v>
      </c>
      <c r="AW61" s="415"/>
      <c r="AX61" s="534"/>
      <c r="AY61" s="531">
        <v>8</v>
      </c>
      <c r="AZ61" s="199"/>
      <c r="BA61" s="238" t="str">
        <f>IF($AK61+$AK62=42,IF($AV60=$AV61,"résultat",IF($AV60&lt;$AV61,$AU60,$AU61)),IF($AK61+$AK62=43," "))</f>
        <v>C12</v>
      </c>
      <c r="BB61" s="273">
        <v>1</v>
      </c>
      <c r="BC61" s="242"/>
      <c r="BD61" s="453">
        <v>2</v>
      </c>
      <c r="BE61" s="247" t="str">
        <f>+AK61</f>
        <v>42</v>
      </c>
      <c r="BF61" s="185" t="str">
        <f>IF($AK$61+$AK$62=42,IF($BB61=$BB62,"résultat",IF($BB61&gt;$BB62,$BA61,$BA62)),IF($AK$61+$AK$62=43,IF(AV60=AV61,"résultat",IF(AV60&lt;AV61,AU60,AU61)),0))</f>
        <v>C12</v>
      </c>
      <c r="BH61" s="47"/>
      <c r="BI61" s="47"/>
      <c r="BJ61" s="47"/>
      <c r="BK61" s="47"/>
      <c r="BL61" s="204"/>
      <c r="BM61" s="204"/>
      <c r="BN61" s="179"/>
      <c r="BO61" s="503"/>
      <c r="BP61" s="504" t="s">
        <v>74</v>
      </c>
      <c r="BQ61" s="352"/>
      <c r="BR61" s="282"/>
      <c r="BS61" s="282"/>
      <c r="BT61" s="284"/>
      <c r="BU61" s="284"/>
      <c r="BV61" s="284"/>
      <c r="BW61" s="284"/>
      <c r="BX61" s="205"/>
      <c r="BY61" s="205"/>
      <c r="BZ61" s="179"/>
      <c r="CA61" s="503"/>
      <c r="CB61" s="504" t="s">
        <v>75</v>
      </c>
      <c r="CC61" s="505"/>
      <c r="CD61" s="180"/>
      <c r="CG61" s="244"/>
      <c r="CH61" s="246"/>
      <c r="CI61" s="513" t="s">
        <v>186</v>
      </c>
      <c r="CJ61" s="514"/>
    </row>
    <row r="62" spans="4:114" ht="24.95" customHeight="1" thickBot="1">
      <c r="AD62" s="43">
        <v>47</v>
      </c>
      <c r="AE62" s="265"/>
      <c r="AF62" s="264" t="s">
        <v>139</v>
      </c>
      <c r="AG62" s="464"/>
      <c r="AH62" s="268">
        <v>47</v>
      </c>
      <c r="AJ62" s="468">
        <v>47</v>
      </c>
      <c r="AK62" s="209"/>
      <c r="AL62" s="542"/>
      <c r="AM62" s="361">
        <v>24</v>
      </c>
      <c r="AN62" s="218" t="s">
        <v>64</v>
      </c>
      <c r="AO62" s="99" t="str">
        <f t="shared" si="3"/>
        <v>C12</v>
      </c>
      <c r="AP62" s="186">
        <v>1</v>
      </c>
      <c r="AQ62" s="408"/>
      <c r="AR62" s="534"/>
      <c r="AS62" s="361">
        <v>11</v>
      </c>
      <c r="AT62" s="232"/>
      <c r="AU62" s="224" t="str">
        <f>IF($AP60=$AP61,"résultat",IF($AP60&lt;$AP61,$AO60,$AO61))</f>
        <v>B12</v>
      </c>
      <c r="AV62" s="236">
        <v>1</v>
      </c>
      <c r="AW62" s="415"/>
      <c r="AX62" s="534"/>
      <c r="AY62" s="532"/>
      <c r="AZ62" s="200"/>
      <c r="BA62" s="201" t="str">
        <f>IF($AK61+$AK62=42,IF($AV62=$AV63,"résultat",IF($AV62&gt;$AV63,$AU62,$AU63)),IF($AK61+$AK62=43," "))</f>
        <v>B12</v>
      </c>
      <c r="BB62" s="187">
        <v>0</v>
      </c>
      <c r="BC62" s="242"/>
      <c r="BD62" s="455">
        <v>3</v>
      </c>
      <c r="BE62" s="243"/>
      <c r="BF62" s="350" t="str">
        <f>IF($AK$61+$AK$62=42," ",IF($AK$61+$AK$50=43,IF(AV62=AV63,"résultat",IF(AV62&gt;AV63,AU62,AU63)),0))</f>
        <v xml:space="preserve"> </v>
      </c>
      <c r="BG62" s="470"/>
      <c r="BH62" s="637" t="s">
        <v>272</v>
      </c>
      <c r="BI62" s="637"/>
      <c r="BJ62" s="637"/>
      <c r="BK62" s="637"/>
      <c r="BL62" s="637"/>
      <c r="BM62" s="638"/>
      <c r="BN62" s="519">
        <v>10</v>
      </c>
      <c r="BO62" s="524" t="str">
        <f>+BF52</f>
        <v>A10</v>
      </c>
      <c r="BP62" s="525"/>
      <c r="BQ62" s="526"/>
      <c r="BR62" s="277">
        <v>1</v>
      </c>
      <c r="BS62" s="242"/>
      <c r="BT62" s="529" t="s">
        <v>298</v>
      </c>
      <c r="BU62" s="529"/>
      <c r="BV62" s="529"/>
      <c r="BW62" s="529"/>
      <c r="BX62" s="529"/>
      <c r="BY62" s="530"/>
      <c r="BZ62" s="519">
        <v>26</v>
      </c>
      <c r="CA62" s="560" t="str">
        <f>+BF41</f>
        <v>C7</v>
      </c>
      <c r="CB62" s="561"/>
      <c r="CC62" s="562"/>
      <c r="CD62" s="283">
        <v>1</v>
      </c>
      <c r="CG62" s="575">
        <v>2</v>
      </c>
      <c r="CH62" s="577" t="str">
        <f>+BF52</f>
        <v>A10</v>
      </c>
      <c r="CI62" s="578"/>
      <c r="CJ62" s="579"/>
      <c r="CK62" s="273">
        <v>1</v>
      </c>
    </row>
    <row r="63" spans="4:114" ht="24.95" customHeight="1" thickBot="1">
      <c r="D63" s="471"/>
      <c r="AD63" s="39">
        <v>48</v>
      </c>
      <c r="AE63" s="264"/>
      <c r="AF63" s="264" t="s">
        <v>140</v>
      </c>
      <c r="AG63" s="270"/>
      <c r="AH63" s="268">
        <v>48</v>
      </c>
      <c r="AJ63" s="469">
        <v>48</v>
      </c>
      <c r="AK63" s="209"/>
      <c r="AL63" s="543"/>
      <c r="AM63" s="360"/>
      <c r="AN63" s="219" t="s">
        <v>55</v>
      </c>
      <c r="AO63" s="291" t="str">
        <f>IF(ISNA(MATCH(AJ63,$AH$16:$AH$115,0)),"OFFICE",INDEX($AF$16:$AF$117,0))</f>
        <v>D12</v>
      </c>
      <c r="AP63" s="220">
        <v>0</v>
      </c>
      <c r="AQ63" s="408"/>
      <c r="AR63" s="535"/>
      <c r="AS63" s="362"/>
      <c r="AT63" s="233"/>
      <c r="AU63" s="224" t="str">
        <f>IF($AP62=$AP63,"résultat",IF($AP62&lt;$AP63,$AO62,$AO63))</f>
        <v>D12</v>
      </c>
      <c r="AV63" s="237">
        <v>0</v>
      </c>
      <c r="AW63" s="441"/>
      <c r="AX63" s="535"/>
      <c r="AY63" s="175"/>
      <c r="AZ63" s="175"/>
      <c r="BA63" s="500"/>
      <c r="BB63" s="175"/>
      <c r="BC63" s="175"/>
      <c r="BD63" s="175"/>
      <c r="BE63" s="175"/>
      <c r="BF63" s="500"/>
      <c r="BH63" s="641" t="s">
        <v>314</v>
      </c>
      <c r="BI63" s="641"/>
      <c r="BJ63" s="641"/>
      <c r="BK63" s="641"/>
      <c r="BL63" s="641"/>
      <c r="BM63" s="642"/>
      <c r="BN63" s="520"/>
      <c r="BO63" s="548" t="str">
        <f>+BF42</f>
        <v>B7</v>
      </c>
      <c r="BP63" s="549"/>
      <c r="BQ63" s="550"/>
      <c r="BR63" s="278">
        <v>0</v>
      </c>
      <c r="BS63" s="242"/>
      <c r="BT63" s="644" t="s">
        <v>327</v>
      </c>
      <c r="BU63" s="644"/>
      <c r="BV63" s="641" t="s">
        <v>318</v>
      </c>
      <c r="BW63" s="641"/>
      <c r="BX63" s="641"/>
      <c r="BY63" s="642"/>
      <c r="BZ63" s="520"/>
      <c r="CA63" s="551" t="str">
        <f>IF(J15&lt;890,BF62,IF(J15&gt;890,BF110))</f>
        <v>C24</v>
      </c>
      <c r="CB63" s="552"/>
      <c r="CC63" s="553"/>
      <c r="CD63" s="420">
        <v>0</v>
      </c>
      <c r="CG63" s="576"/>
      <c r="CH63" s="580" t="str">
        <f>+BF21</f>
        <v>C2</v>
      </c>
      <c r="CI63" s="581"/>
      <c r="CJ63" s="582"/>
      <c r="CK63" s="187">
        <v>0</v>
      </c>
    </row>
    <row r="64" spans="4:114" ht="24.95" customHeight="1" thickTop="1" thickBot="1">
      <c r="AD64" s="43">
        <v>49</v>
      </c>
      <c r="AE64" s="265"/>
      <c r="AF64" s="264" t="s">
        <v>141</v>
      </c>
      <c r="AG64" s="271"/>
      <c r="AH64" s="268">
        <v>49</v>
      </c>
      <c r="AJ64" s="466">
        <v>49</v>
      </c>
      <c r="AK64" s="209"/>
      <c r="AL64" s="541">
        <v>13</v>
      </c>
      <c r="AM64" s="359">
        <v>25</v>
      </c>
      <c r="AN64" s="216" t="s">
        <v>16</v>
      </c>
      <c r="AO64" s="99" t="str">
        <f t="shared" si="3"/>
        <v>A13</v>
      </c>
      <c r="AP64" s="181">
        <v>1</v>
      </c>
      <c r="AQ64" s="408"/>
      <c r="AR64" s="533">
        <v>13</v>
      </c>
      <c r="AS64" s="359">
        <v>12</v>
      </c>
      <c r="AT64" s="230"/>
      <c r="AU64" s="262" t="str">
        <f>IF($AP64=$AP65,"résultat",IF($AP64&gt;$AP65,$AO64,$AO65))</f>
        <v>A13</v>
      </c>
      <c r="AV64" s="236">
        <v>1</v>
      </c>
      <c r="AW64" s="415"/>
      <c r="AX64" s="533">
        <v>13</v>
      </c>
      <c r="AY64" s="189"/>
      <c r="AZ64" s="189"/>
      <c r="BA64" s="198"/>
      <c r="BB64" s="189"/>
      <c r="BC64" s="189"/>
      <c r="BD64" s="454">
        <v>1</v>
      </c>
      <c r="BE64" s="243"/>
      <c r="BF64" s="240" t="str">
        <f>IF($AK$65+$AK$66=42,IF($AV64=$AV65,"résultat",IF($AV64&gt;$AV65,$AU64,$AU65)),IF($AK$65+$AK$66=43,IF(AV64=AV65,"résultat",IF(AV64&gt;AV65,AU64,AU65)),0))</f>
        <v>A13</v>
      </c>
      <c r="BH64" s="3"/>
      <c r="BI64" s="3"/>
      <c r="BJ64" s="3"/>
      <c r="BK64" s="3"/>
      <c r="BL64" s="3"/>
      <c r="BM64" s="3"/>
      <c r="BN64" s="1"/>
      <c r="BO64" s="3"/>
      <c r="BP64" s="3"/>
      <c r="BQ64" s="3"/>
      <c r="BR64" s="1"/>
      <c r="BS64" s="1"/>
      <c r="BT64" s="3"/>
      <c r="BU64" s="3"/>
      <c r="BV64" s="3"/>
      <c r="BW64" s="3"/>
      <c r="BX64" s="3"/>
      <c r="BY64" s="3"/>
      <c r="BZ64" s="1"/>
      <c r="CA64" s="3"/>
      <c r="CB64" s="3"/>
      <c r="CC64" s="3"/>
      <c r="CD64" s="1"/>
      <c r="CG64" s="191"/>
      <c r="CH64" s="193"/>
      <c r="CI64" s="193"/>
      <c r="CJ64" s="193"/>
      <c r="CK64" s="229"/>
    </row>
    <row r="65" spans="1:89" ht="24.95" customHeight="1" thickBot="1">
      <c r="AD65" s="39">
        <v>50</v>
      </c>
      <c r="AE65" s="264"/>
      <c r="AF65" s="264" t="s">
        <v>142</v>
      </c>
      <c r="AG65" s="464"/>
      <c r="AH65" s="268">
        <v>50</v>
      </c>
      <c r="AJ65" s="468">
        <v>50</v>
      </c>
      <c r="AK65" s="209" t="str">
        <f>CONCATENATE(Q22,Q23)</f>
        <v>42</v>
      </c>
      <c r="AL65" s="542"/>
      <c r="AM65" s="360"/>
      <c r="AN65" s="217" t="s">
        <v>17</v>
      </c>
      <c r="AO65" s="98" t="str">
        <f t="shared" si="3"/>
        <v>B13</v>
      </c>
      <c r="AP65" s="184">
        <v>0</v>
      </c>
      <c r="AQ65" s="408"/>
      <c r="AR65" s="534"/>
      <c r="AS65" s="360"/>
      <c r="AT65" s="231"/>
      <c r="AU65" s="339" t="str">
        <f>IF($AP66=$AP67,"résultat",IF($AP66&gt;$AP67,$AO66,$AO67))</f>
        <v>C13</v>
      </c>
      <c r="AV65" s="237">
        <v>0</v>
      </c>
      <c r="AW65" s="415"/>
      <c r="AX65" s="534"/>
      <c r="AY65" s="531">
        <v>2</v>
      </c>
      <c r="AZ65" s="199"/>
      <c r="BA65" s="238" t="str">
        <f>IF($AK65+$AK66=42,IF($AV64=$AV65,"résultat",IF($AV64&lt;$AV65,$AU64,$AU65)),IF($AK65+$AK66=43," "))</f>
        <v>C13</v>
      </c>
      <c r="BB65" s="273">
        <v>1</v>
      </c>
      <c r="BC65" s="242"/>
      <c r="BD65" s="453">
        <v>2</v>
      </c>
      <c r="BE65" s="247" t="str">
        <f>+AK65</f>
        <v>42</v>
      </c>
      <c r="BF65" s="185" t="str">
        <f>IF($AK$65+$AK$66=42,IF($BB65=$BB66,"résultat",IF($BB65&gt;$BB66,$BA65,$BA66)),IF($AK$65+$AK$66=43,IF(AV64=AV65,"résultat",IF(AV64&lt;AV65,AU64,AU65)),0))</f>
        <v>C13</v>
      </c>
      <c r="BH65" s="47"/>
      <c r="BI65" s="47"/>
      <c r="BJ65" s="47"/>
      <c r="BK65" s="47"/>
      <c r="BL65" s="204"/>
      <c r="BM65" s="204"/>
      <c r="BN65" s="288"/>
      <c r="BO65" s="193"/>
      <c r="BP65" s="193"/>
      <c r="BQ65" s="193"/>
      <c r="BR65" s="242"/>
      <c r="BS65" s="242"/>
      <c r="BT65" s="501"/>
      <c r="BU65" s="501"/>
      <c r="BV65" s="501"/>
      <c r="BW65" s="501"/>
      <c r="BX65" s="205"/>
      <c r="BY65" s="205"/>
      <c r="BZ65" s="288"/>
      <c r="CA65" s="193"/>
      <c r="CB65" s="287"/>
      <c r="CC65" s="287"/>
      <c r="CD65" s="242"/>
      <c r="CG65" s="472"/>
      <c r="CH65" s="515"/>
      <c r="CI65" s="515"/>
      <c r="CJ65" s="192"/>
      <c r="CK65" s="288"/>
    </row>
    <row r="66" spans="1:89" ht="24.95" customHeight="1" thickBot="1">
      <c r="AD66" s="43">
        <v>51</v>
      </c>
      <c r="AE66" s="265"/>
      <c r="AF66" s="264" t="s">
        <v>143</v>
      </c>
      <c r="AG66" s="464"/>
      <c r="AH66" s="268">
        <v>51</v>
      </c>
      <c r="AJ66" s="468">
        <v>51</v>
      </c>
      <c r="AK66" s="209"/>
      <c r="AL66" s="542"/>
      <c r="AM66" s="361">
        <v>26</v>
      </c>
      <c r="AN66" s="218" t="s">
        <v>64</v>
      </c>
      <c r="AO66" s="99" t="str">
        <f t="shared" si="3"/>
        <v>C13</v>
      </c>
      <c r="AP66" s="186">
        <v>1</v>
      </c>
      <c r="AQ66" s="408"/>
      <c r="AR66" s="534"/>
      <c r="AS66" s="361">
        <v>13</v>
      </c>
      <c r="AT66" s="232"/>
      <c r="AU66" s="224" t="str">
        <f>IF($AP64=$AP65,"résultat",IF($AP64&lt;$AP65,$AO64,$AO65))</f>
        <v>B13</v>
      </c>
      <c r="AV66" s="236">
        <v>1</v>
      </c>
      <c r="AW66" s="415"/>
      <c r="AX66" s="534"/>
      <c r="AY66" s="532"/>
      <c r="AZ66" s="200"/>
      <c r="BA66" s="201" t="str">
        <f>IF($AK65+$AK66=42,IF($AV66=$AV67,"résultat",IF($AV66&gt;$AV67,$AU66,$AU67)),IF($AK65+$AK66=43," "))</f>
        <v>B13</v>
      </c>
      <c r="BB66" s="187">
        <v>0</v>
      </c>
      <c r="BC66" s="242"/>
      <c r="BD66" s="455">
        <v>3</v>
      </c>
      <c r="BE66" s="243"/>
      <c r="BF66" s="350" t="str">
        <f>IF($AK$65+$AK$66=42," ",IF($AK$65+$AK$66=43,IF(AV66=AV67,"résultat",IF(AV66&gt;AV67,AU66,AU67)),0))</f>
        <v xml:space="preserve"> </v>
      </c>
      <c r="BH66" s="47"/>
      <c r="BI66" s="47"/>
      <c r="BJ66" s="47"/>
      <c r="BK66" s="47"/>
      <c r="BL66" s="204"/>
      <c r="BM66" s="204"/>
      <c r="BN66" s="179"/>
      <c r="BO66" s="503"/>
      <c r="BP66" s="504" t="s">
        <v>197</v>
      </c>
      <c r="BQ66" s="505"/>
      <c r="BR66" s="180"/>
      <c r="BS66" s="180"/>
      <c r="BT66" s="508"/>
      <c r="BU66" s="508"/>
      <c r="BV66" s="508"/>
      <c r="BW66" s="508"/>
      <c r="BX66" s="205"/>
      <c r="BY66" s="205"/>
      <c r="BZ66" s="179"/>
      <c r="CA66" s="503"/>
      <c r="CB66" s="504" t="s">
        <v>203</v>
      </c>
      <c r="CC66" s="352"/>
      <c r="CD66" s="202"/>
      <c r="CG66" s="244"/>
      <c r="CH66" s="246"/>
      <c r="CI66" s="513" t="s">
        <v>68</v>
      </c>
      <c r="CJ66" s="352"/>
      <c r="CK66" s="182"/>
    </row>
    <row r="67" spans="1:89" ht="24.95" customHeight="1" thickBot="1">
      <c r="AD67" s="39">
        <v>52</v>
      </c>
      <c r="AE67" s="264"/>
      <c r="AF67" s="264" t="s">
        <v>144</v>
      </c>
      <c r="AG67" s="270"/>
      <c r="AH67" s="268">
        <v>52</v>
      </c>
      <c r="AJ67" s="469">
        <v>52</v>
      </c>
      <c r="AK67" s="209"/>
      <c r="AL67" s="543"/>
      <c r="AM67" s="360"/>
      <c r="AN67" s="219" t="s">
        <v>55</v>
      </c>
      <c r="AO67" s="291" t="str">
        <f>IF(ISNA(MATCH(AJ67,$AH$16:$AH$115,0)),"OFFICE",INDEX($AF$16:$AF$117,0))</f>
        <v>D13</v>
      </c>
      <c r="AP67" s="220">
        <v>0</v>
      </c>
      <c r="AQ67" s="408"/>
      <c r="AR67" s="535"/>
      <c r="AS67" s="362"/>
      <c r="AT67" s="233"/>
      <c r="AU67" s="224" t="str">
        <f>IF($AP66=$AP67,"résultat",IF($AP66&lt;$AP67,$AO66,$AO67))</f>
        <v>D13</v>
      </c>
      <c r="AV67" s="237">
        <v>0</v>
      </c>
      <c r="AW67" s="415"/>
      <c r="AX67" s="535"/>
      <c r="AY67" s="175"/>
      <c r="AZ67" s="175"/>
      <c r="BA67" s="194"/>
      <c r="BB67" s="175"/>
      <c r="BC67" s="175"/>
      <c r="BD67" s="188"/>
      <c r="BE67" s="175"/>
      <c r="BF67" s="500"/>
      <c r="BH67" s="637" t="s">
        <v>273</v>
      </c>
      <c r="BI67" s="637"/>
      <c r="BJ67" s="637"/>
      <c r="BK67" s="637"/>
      <c r="BL67" s="637"/>
      <c r="BM67" s="638"/>
      <c r="BN67" s="519">
        <v>11</v>
      </c>
      <c r="BO67" s="524" t="str">
        <f>+BF56</f>
        <v>A11</v>
      </c>
      <c r="BP67" s="525"/>
      <c r="BQ67" s="547"/>
      <c r="BR67" s="283">
        <v>1</v>
      </c>
      <c r="BS67" s="242"/>
      <c r="BT67" s="529" t="s">
        <v>297</v>
      </c>
      <c r="BU67" s="529"/>
      <c r="BV67" s="529"/>
      <c r="BW67" s="529"/>
      <c r="BX67" s="529"/>
      <c r="BY67" s="530"/>
      <c r="BZ67" s="519">
        <v>27</v>
      </c>
      <c r="CA67" s="560" t="str">
        <f>+BF37</f>
        <v>C6</v>
      </c>
      <c r="CB67" s="561"/>
      <c r="CC67" s="562"/>
      <c r="CD67" s="283">
        <v>1</v>
      </c>
      <c r="CG67" s="575">
        <v>3</v>
      </c>
      <c r="CH67" s="577" t="str">
        <f>+BF56</f>
        <v>A11</v>
      </c>
      <c r="CI67" s="578"/>
      <c r="CJ67" s="579"/>
      <c r="CK67" s="273">
        <v>1</v>
      </c>
    </row>
    <row r="68" spans="1:89" ht="24.95" customHeight="1" thickTop="1" thickBot="1">
      <c r="AD68" s="43">
        <v>53</v>
      </c>
      <c r="AE68" s="265"/>
      <c r="AF68" s="264" t="s">
        <v>145</v>
      </c>
      <c r="AG68" s="271"/>
      <c r="AH68" s="268">
        <v>53</v>
      </c>
      <c r="AJ68" s="466">
        <v>53</v>
      </c>
      <c r="AK68" s="209"/>
      <c r="AL68" s="541">
        <v>14</v>
      </c>
      <c r="AM68" s="359">
        <v>27</v>
      </c>
      <c r="AN68" s="216" t="s">
        <v>16</v>
      </c>
      <c r="AO68" s="99" t="str">
        <f t="shared" si="3"/>
        <v>A14</v>
      </c>
      <c r="AP68" s="181">
        <v>1</v>
      </c>
      <c r="AQ68" s="408"/>
      <c r="AR68" s="533">
        <v>14</v>
      </c>
      <c r="AS68" s="359">
        <v>14</v>
      </c>
      <c r="AT68" s="230"/>
      <c r="AU68" s="262" t="str">
        <f>IF($AP68=$AP69,"résultat",IF($AP68&gt;$AP69,$AO68,$AO69))</f>
        <v>A14</v>
      </c>
      <c r="AV68" s="236">
        <v>1</v>
      </c>
      <c r="AW68" s="409"/>
      <c r="AX68" s="533">
        <v>14</v>
      </c>
      <c r="AY68" s="189"/>
      <c r="AZ68" s="189"/>
      <c r="BA68" s="196"/>
      <c r="BB68" s="189"/>
      <c r="BC68" s="189"/>
      <c r="BD68" s="454">
        <v>1</v>
      </c>
      <c r="BE68" s="243"/>
      <c r="BF68" s="240" t="str">
        <f>IF($AK$69+$AK$68=42,IF($AV68=$AV69,"résultat",IF($AV68&gt;$AV69,$AU68,$AU69)),IF($AK$69+$AK$68=43,IF(AV68=AV69,"résultat",IF(AV68&gt;AV69,AU68,AU69)),0))</f>
        <v>A14</v>
      </c>
      <c r="BH68" s="641" t="s">
        <v>315</v>
      </c>
      <c r="BI68" s="641"/>
      <c r="BJ68" s="641"/>
      <c r="BK68" s="641"/>
      <c r="BL68" s="641"/>
      <c r="BM68" s="642"/>
      <c r="BN68" s="520"/>
      <c r="BO68" s="548" t="str">
        <f>+BF46</f>
        <v>B8</v>
      </c>
      <c r="BP68" s="549"/>
      <c r="BQ68" s="550"/>
      <c r="BR68" s="420">
        <v>0</v>
      </c>
      <c r="BS68" s="426"/>
      <c r="BT68" s="643" t="s">
        <v>324</v>
      </c>
      <c r="BU68" s="643"/>
      <c r="BV68" s="643"/>
      <c r="BW68" s="641" t="s">
        <v>319</v>
      </c>
      <c r="BX68" s="641"/>
      <c r="BY68" s="642"/>
      <c r="BZ68" s="520"/>
      <c r="CA68" s="551" t="str">
        <f>IF(J15&lt;890,BF66,IF(J15&gt;890,BF105))</f>
        <v>A23</v>
      </c>
      <c r="CB68" s="552"/>
      <c r="CC68" s="553"/>
      <c r="CD68" s="420">
        <v>0</v>
      </c>
      <c r="CG68" s="576"/>
      <c r="CH68" s="580" t="str">
        <f>+BF25</f>
        <v>C3</v>
      </c>
      <c r="CI68" s="581"/>
      <c r="CJ68" s="582"/>
      <c r="CK68" s="187">
        <v>0</v>
      </c>
    </row>
    <row r="69" spans="1:89" ht="24.95" customHeight="1" thickBot="1">
      <c r="B69" s="471"/>
      <c r="C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39">
        <v>54</v>
      </c>
      <c r="AE69" s="264"/>
      <c r="AF69" s="264" t="s">
        <v>146</v>
      </c>
      <c r="AG69" s="270"/>
      <c r="AH69" s="268">
        <v>54</v>
      </c>
      <c r="AJ69" s="468">
        <v>54</v>
      </c>
      <c r="AK69" s="209" t="str">
        <f>CONCATENATE(R22,R23)</f>
        <v>42</v>
      </c>
      <c r="AL69" s="542"/>
      <c r="AM69" s="360"/>
      <c r="AN69" s="217" t="s">
        <v>17</v>
      </c>
      <c r="AO69" s="98" t="str">
        <f t="shared" si="3"/>
        <v>B14</v>
      </c>
      <c r="AP69" s="184">
        <v>0</v>
      </c>
      <c r="AQ69" s="408"/>
      <c r="AR69" s="534"/>
      <c r="AS69" s="360"/>
      <c r="AT69" s="231"/>
      <c r="AU69" s="339" t="str">
        <f>IF($AP70=$AP71,"résultat",IF($AP70&gt;$AP71,$AO70,$AO71))</f>
        <v>C14</v>
      </c>
      <c r="AV69" s="237">
        <v>0</v>
      </c>
      <c r="AW69" s="415"/>
      <c r="AX69" s="534"/>
      <c r="AY69" s="531">
        <v>4</v>
      </c>
      <c r="AZ69" s="199"/>
      <c r="BA69" s="238" t="str">
        <f>IF($AK69+$AK70=42,IF($AV68=$AV69,"résultat",IF($AV68&lt;$AV69,$AU68,$AU69)),IF($AK69+$AK70=43," "))</f>
        <v>C14</v>
      </c>
      <c r="BB69" s="273">
        <v>1</v>
      </c>
      <c r="BC69" s="242"/>
      <c r="BD69" s="453">
        <v>2</v>
      </c>
      <c r="BE69" s="247" t="str">
        <f>+AK69</f>
        <v>42</v>
      </c>
      <c r="BF69" s="185" t="str">
        <f>IF($AK$69+$AK$68=42,IF($BB69=$BB70,"résultat",IF($BB69&gt;$BB70,$BA69,$BA70)),IF($AK$68+$AK$69=43,IF(AV68=AV69,"résultat",IF(AV68&lt;AV69,AU68,AU69)),0))</f>
        <v>C14</v>
      </c>
      <c r="BH69" s="3"/>
      <c r="BI69" s="3"/>
      <c r="BJ69" s="3"/>
      <c r="BK69" s="3"/>
      <c r="BL69" s="3"/>
      <c r="BM69" s="3"/>
      <c r="BN69" s="1"/>
      <c r="BO69" s="3"/>
      <c r="BP69" s="3"/>
      <c r="BQ69" s="3"/>
      <c r="BR69" s="1"/>
      <c r="BS69" s="1"/>
      <c r="BT69" s="3"/>
      <c r="BU69" s="3"/>
      <c r="BV69" s="3"/>
      <c r="BW69" s="3"/>
      <c r="BX69" s="3"/>
      <c r="BY69" s="3"/>
      <c r="BZ69" s="1"/>
      <c r="CA69" s="3"/>
      <c r="CB69" s="3"/>
      <c r="CC69" s="3"/>
      <c r="CD69" s="1"/>
      <c r="CG69" s="191"/>
      <c r="CH69" s="193"/>
      <c r="CI69" s="193"/>
      <c r="CJ69" s="193"/>
      <c r="CK69" s="229"/>
    </row>
    <row r="70" spans="1:89" ht="24.95" customHeight="1" thickBot="1">
      <c r="AD70" s="43">
        <v>55</v>
      </c>
      <c r="AE70" s="265"/>
      <c r="AF70" s="264" t="s">
        <v>147</v>
      </c>
      <c r="AG70" s="464"/>
      <c r="AH70" s="268">
        <v>55</v>
      </c>
      <c r="AJ70" s="468">
        <v>55</v>
      </c>
      <c r="AK70" s="209"/>
      <c r="AL70" s="542"/>
      <c r="AM70" s="361">
        <v>28</v>
      </c>
      <c r="AN70" s="218" t="s">
        <v>64</v>
      </c>
      <c r="AO70" s="99" t="str">
        <f t="shared" si="3"/>
        <v>C14</v>
      </c>
      <c r="AP70" s="186">
        <v>1</v>
      </c>
      <c r="AQ70" s="408"/>
      <c r="AR70" s="534"/>
      <c r="AS70" s="361">
        <v>15</v>
      </c>
      <c r="AT70" s="232"/>
      <c r="AU70" s="224" t="str">
        <f>IF($AP68=$AP69,"résultat",IF($AP68&lt;$AP69,$AO68,$AO69))</f>
        <v>B14</v>
      </c>
      <c r="AV70" s="236">
        <v>1</v>
      </c>
      <c r="AW70" s="415"/>
      <c r="AX70" s="534"/>
      <c r="AY70" s="532"/>
      <c r="AZ70" s="200"/>
      <c r="BA70" s="201" t="str">
        <f>IF($AK69+$AK70=42,IF($AV70=$AV71,"résultat",IF($AV70&gt;$AV71,$AU70,$AU71)),IF($AK69+$AK70=43," "))</f>
        <v>B14</v>
      </c>
      <c r="BB70" s="187">
        <v>0</v>
      </c>
      <c r="BC70" s="242"/>
      <c r="BD70" s="455">
        <v>3</v>
      </c>
      <c r="BE70" s="243"/>
      <c r="BF70" s="350" t="str">
        <f>IF($AK$68+$AK$69=42," ",IF($AK$68+$AK$69=43,IF(AV70=AV71,"résultat",IF(AV70&gt;AV71,AU70,AU71)),0))</f>
        <v xml:space="preserve"> </v>
      </c>
      <c r="BH70" s="47"/>
      <c r="BI70" s="47"/>
      <c r="BJ70" s="47"/>
      <c r="BK70" s="47"/>
      <c r="BL70" s="204"/>
      <c r="BM70" s="204"/>
      <c r="BN70" s="288"/>
      <c r="BO70" s="193"/>
      <c r="BP70" s="193"/>
      <c r="BQ70" s="193"/>
      <c r="BR70" s="242"/>
      <c r="BS70" s="242"/>
      <c r="BT70" s="501"/>
      <c r="BU70" s="501"/>
      <c r="BV70" s="501"/>
      <c r="BW70" s="501"/>
      <c r="BX70" s="205"/>
      <c r="BY70" s="205"/>
      <c r="BZ70" s="288"/>
      <c r="CA70" s="193"/>
      <c r="CB70" s="287"/>
      <c r="CC70" s="287"/>
      <c r="CD70" s="242"/>
      <c r="CG70" s="191"/>
      <c r="CH70" s="516"/>
      <c r="CI70" s="193"/>
      <c r="CJ70" s="193"/>
      <c r="CK70" s="229"/>
    </row>
    <row r="71" spans="1:89" ht="24.95" customHeight="1" thickBot="1">
      <c r="AD71" s="39">
        <v>56</v>
      </c>
      <c r="AE71" s="264"/>
      <c r="AF71" s="264" t="s">
        <v>148</v>
      </c>
      <c r="AG71" s="270"/>
      <c r="AH71" s="268">
        <v>56</v>
      </c>
      <c r="AJ71" s="469">
        <v>56</v>
      </c>
      <c r="AK71" s="209"/>
      <c r="AL71" s="543"/>
      <c r="AM71" s="360"/>
      <c r="AN71" s="219" t="s">
        <v>55</v>
      </c>
      <c r="AO71" s="291" t="str">
        <f>IF(ISNA(MATCH(AJ71,$AH$16:$AH$115,0)),"OFFICE",INDEX($AF$16:$AF$117,0))</f>
        <v>D14</v>
      </c>
      <c r="AP71" s="220">
        <v>0</v>
      </c>
      <c r="AQ71" s="408"/>
      <c r="AR71" s="535"/>
      <c r="AS71" s="362"/>
      <c r="AT71" s="233"/>
      <c r="AU71" s="224" t="str">
        <f>IF($AP70=$AP71,"résultat",IF($AP70&lt;$AP71,$AO70,$AO71))</f>
        <v>D14</v>
      </c>
      <c r="AV71" s="237">
        <v>0</v>
      </c>
      <c r="AW71" s="441"/>
      <c r="AX71" s="535"/>
      <c r="AY71" s="175"/>
      <c r="AZ71" s="175"/>
      <c r="BA71" s="194"/>
      <c r="BB71" s="175"/>
      <c r="BC71" s="175"/>
      <c r="BD71" s="175"/>
      <c r="BE71" s="175"/>
      <c r="BF71" s="500"/>
      <c r="BH71" s="47"/>
      <c r="BI71" s="47"/>
      <c r="BJ71" s="47"/>
      <c r="BK71" s="47"/>
      <c r="BL71" s="204"/>
      <c r="BM71" s="204"/>
      <c r="BN71" s="202"/>
      <c r="BO71" s="205"/>
      <c r="BP71" s="504" t="s">
        <v>198</v>
      </c>
      <c r="BQ71" s="352"/>
      <c r="BR71" s="180"/>
      <c r="BS71" s="180"/>
      <c r="BT71" s="508"/>
      <c r="BU71" s="508"/>
      <c r="BV71" s="508"/>
      <c r="BW71" s="508"/>
      <c r="BX71" s="205"/>
      <c r="BY71" s="205"/>
      <c r="BZ71" s="179"/>
      <c r="CA71" s="503"/>
      <c r="CB71" s="504" t="s">
        <v>204</v>
      </c>
      <c r="CC71" s="352"/>
      <c r="CD71" s="282"/>
      <c r="CG71" s="244"/>
      <c r="CH71" s="246"/>
      <c r="CI71" s="513" t="s">
        <v>69</v>
      </c>
      <c r="CJ71" s="352"/>
      <c r="CK71" s="182"/>
    </row>
    <row r="72" spans="1:89" ht="24.95" customHeight="1" thickTop="1" thickBot="1">
      <c r="A72" s="473"/>
      <c r="AD72" s="43">
        <v>57</v>
      </c>
      <c r="AE72" s="265"/>
      <c r="AF72" s="264" t="s">
        <v>149</v>
      </c>
      <c r="AG72" s="271"/>
      <c r="AH72" s="268">
        <v>57</v>
      </c>
      <c r="AJ72" s="466">
        <v>57</v>
      </c>
      <c r="AK72" s="209"/>
      <c r="AL72" s="541">
        <v>15</v>
      </c>
      <c r="AM72" s="359">
        <v>29</v>
      </c>
      <c r="AN72" s="216" t="s">
        <v>16</v>
      </c>
      <c r="AO72" s="99" t="str">
        <f t="shared" si="3"/>
        <v>A15</v>
      </c>
      <c r="AP72" s="181">
        <v>1</v>
      </c>
      <c r="AQ72" s="408"/>
      <c r="AR72" s="533">
        <v>15</v>
      </c>
      <c r="AS72" s="359">
        <v>16</v>
      </c>
      <c r="AT72" s="230"/>
      <c r="AU72" s="262" t="str">
        <f>IF($AP72=$AP73,"résultat",IF($AP72&gt;$AP73,$AO72,$AO73))</f>
        <v>A15</v>
      </c>
      <c r="AV72" s="236">
        <v>1</v>
      </c>
      <c r="AW72" s="415"/>
      <c r="AX72" s="533">
        <v>15</v>
      </c>
      <c r="AY72" s="189"/>
      <c r="AZ72" s="189"/>
      <c r="BA72" s="196"/>
      <c r="BB72" s="189"/>
      <c r="BC72" s="189"/>
      <c r="BD72" s="454">
        <v>1</v>
      </c>
      <c r="BE72" s="243"/>
      <c r="BF72" s="240" t="str">
        <f>IF($AK$73+$AK$74=42,IF($AV72=$AV73,"résultat",IF($AV72&gt;$AV73,$AU72,$AU73)),IF($AK$73+$AK$74=43,IF(AV72=AV73,"résultat",IF(AV72&gt;AV73,AU72,AU73)),0))</f>
        <v>A15</v>
      </c>
      <c r="BH72" s="637" t="s">
        <v>274</v>
      </c>
      <c r="BI72" s="637"/>
      <c r="BJ72" s="637"/>
      <c r="BK72" s="637"/>
      <c r="BL72" s="637"/>
      <c r="BM72" s="638"/>
      <c r="BN72" s="519">
        <v>12</v>
      </c>
      <c r="BO72" s="524" t="str">
        <f>+BF60</f>
        <v>A12</v>
      </c>
      <c r="BP72" s="525"/>
      <c r="BQ72" s="547"/>
      <c r="BR72" s="283">
        <v>1</v>
      </c>
      <c r="BS72" s="242"/>
      <c r="BT72" s="529" t="s">
        <v>296</v>
      </c>
      <c r="BU72" s="529"/>
      <c r="BV72" s="529"/>
      <c r="BW72" s="529"/>
      <c r="BX72" s="529"/>
      <c r="BY72" s="530"/>
      <c r="BZ72" s="519">
        <v>28</v>
      </c>
      <c r="CA72" s="560" t="str">
        <f>+BF33</f>
        <v>C5</v>
      </c>
      <c r="CB72" s="561"/>
      <c r="CC72" s="562"/>
      <c r="CD72" s="283">
        <v>1</v>
      </c>
      <c r="CG72" s="575">
        <v>4</v>
      </c>
      <c r="CH72" s="577" t="str">
        <f>+BF60</f>
        <v>A12</v>
      </c>
      <c r="CI72" s="578"/>
      <c r="CJ72" s="579"/>
      <c r="CK72" s="273">
        <v>1</v>
      </c>
    </row>
    <row r="73" spans="1:89" ht="24.95" customHeight="1" thickBot="1">
      <c r="AD73" s="39">
        <v>58</v>
      </c>
      <c r="AE73" s="264"/>
      <c r="AF73" s="264" t="s">
        <v>150</v>
      </c>
      <c r="AG73" s="270"/>
      <c r="AH73" s="268">
        <v>58</v>
      </c>
      <c r="AJ73" s="469">
        <v>58</v>
      </c>
      <c r="AK73" s="209" t="str">
        <f>CONCATENATE(S22,S23)</f>
        <v>42</v>
      </c>
      <c r="AL73" s="542"/>
      <c r="AM73" s="360"/>
      <c r="AN73" s="217" t="s">
        <v>17</v>
      </c>
      <c r="AO73" s="98" t="str">
        <f t="shared" si="3"/>
        <v>B15</v>
      </c>
      <c r="AP73" s="184">
        <v>0</v>
      </c>
      <c r="AQ73" s="408"/>
      <c r="AR73" s="534"/>
      <c r="AS73" s="360"/>
      <c r="AT73" s="231"/>
      <c r="AU73" s="339" t="str">
        <f>IF($AP74=$AP75,"résultat",IF($AP74&gt;$AP75,$AO74,$AO75))</f>
        <v>C15</v>
      </c>
      <c r="AV73" s="237">
        <v>0</v>
      </c>
      <c r="AW73" s="415"/>
      <c r="AX73" s="534"/>
      <c r="AY73" s="531">
        <v>6</v>
      </c>
      <c r="AZ73" s="199"/>
      <c r="BA73" s="238" t="str">
        <f>IF($AK73+$AK74=42,IF($AV72=$AV73,"résultat",IF($AV72&lt;$AV73,$AU72,$AU73)),IF($AK73+$AK74=43," "))</f>
        <v>C15</v>
      </c>
      <c r="BB73" s="273">
        <v>1</v>
      </c>
      <c r="BC73" s="242"/>
      <c r="BD73" s="453">
        <v>2</v>
      </c>
      <c r="BE73" s="247" t="str">
        <f>+AK73</f>
        <v>42</v>
      </c>
      <c r="BF73" s="185" t="str">
        <f>IF($AK$73+$AK$74=42,IF($BB73=$BB74,"résultat",IF($BB73&gt;$BB74,$BA73,$BA74)),IF($AK$73+$AK$74=43,IF(AV72=AV73,"résultat",IF(AV72&lt;AV73,AU72,AU73)),0))</f>
        <v>C15</v>
      </c>
      <c r="BH73" s="641" t="s">
        <v>290</v>
      </c>
      <c r="BI73" s="641"/>
      <c r="BJ73" s="641"/>
      <c r="BK73" s="641"/>
      <c r="BL73" s="641"/>
      <c r="BM73" s="642"/>
      <c r="BN73" s="520"/>
      <c r="BO73" s="548" t="str">
        <f>+BF50</f>
        <v>B9</v>
      </c>
      <c r="BP73" s="549"/>
      <c r="BQ73" s="550"/>
      <c r="BR73" s="420">
        <v>0</v>
      </c>
      <c r="BS73" s="426"/>
      <c r="BT73" s="702" t="s">
        <v>325</v>
      </c>
      <c r="BU73" s="702"/>
      <c r="BV73" s="702"/>
      <c r="BW73" s="641" t="s">
        <v>276</v>
      </c>
      <c r="BX73" s="641"/>
      <c r="BY73" s="642"/>
      <c r="BZ73" s="520"/>
      <c r="CA73" s="551" t="str">
        <f>IF(J15&lt;890,BF70,IF(J15&gt;890,BF106))</f>
        <v>C23</v>
      </c>
      <c r="CB73" s="552"/>
      <c r="CC73" s="553"/>
      <c r="CD73" s="420">
        <v>0</v>
      </c>
      <c r="CG73" s="576"/>
      <c r="CH73" s="580" t="str">
        <f>+BF29</f>
        <v>C4</v>
      </c>
      <c r="CI73" s="581"/>
      <c r="CJ73" s="582"/>
      <c r="CK73" s="187">
        <v>0</v>
      </c>
    </row>
    <row r="74" spans="1:89" ht="24.95" customHeight="1" thickBot="1">
      <c r="AD74" s="43">
        <v>59</v>
      </c>
      <c r="AE74" s="265"/>
      <c r="AF74" s="264" t="s">
        <v>151</v>
      </c>
      <c r="AG74" s="271"/>
      <c r="AH74" s="268">
        <v>59</v>
      </c>
      <c r="AJ74" s="468">
        <v>59</v>
      </c>
      <c r="AK74" s="209"/>
      <c r="AL74" s="542"/>
      <c r="AM74" s="290"/>
      <c r="AN74" s="218" t="s">
        <v>64</v>
      </c>
      <c r="AO74" s="99" t="str">
        <f t="shared" si="3"/>
        <v>C15</v>
      </c>
      <c r="AP74" s="186">
        <v>1</v>
      </c>
      <c r="AQ74" s="408"/>
      <c r="AR74" s="534"/>
      <c r="AS74" s="361">
        <v>17</v>
      </c>
      <c r="AT74" s="232"/>
      <c r="AU74" s="224" t="str">
        <f>IF($AP72=$AP73,"résultat",IF($AP72&lt;$AP73,$AO72,$AO73))</f>
        <v>B15</v>
      </c>
      <c r="AV74" s="236">
        <v>1</v>
      </c>
      <c r="AW74" s="415"/>
      <c r="AX74" s="534"/>
      <c r="AY74" s="532"/>
      <c r="AZ74" s="200"/>
      <c r="BA74" s="201" t="str">
        <f>IF($AK73+$AK74=42,IF($AV74=$AV75,"résultat",IF($AV74&gt;$AV75,$AU74,$AU75)),IF($AK73+$AK74=43," "))</f>
        <v>B15</v>
      </c>
      <c r="BB74" s="187">
        <v>0</v>
      </c>
      <c r="BC74" s="242"/>
      <c r="BD74" s="455">
        <v>3</v>
      </c>
      <c r="BE74" s="243"/>
      <c r="BF74" s="350" t="str">
        <f>IF($AK$73+$AK$74=42," ",IF($AK$73+$AK$74=43,IF(AV74=AV75,"résultat",IF(AV74&gt;AV75,AU74,AU75)),0))</f>
        <v xml:space="preserve"> </v>
      </c>
      <c r="BH74" s="3"/>
      <c r="BI74" s="3"/>
      <c r="BJ74" s="3"/>
      <c r="BK74" s="3"/>
      <c r="BL74" s="3"/>
      <c r="BM74" s="3"/>
      <c r="BN74" s="1"/>
      <c r="BO74" s="3"/>
      <c r="BP74" s="3"/>
      <c r="BQ74" s="3"/>
      <c r="BR74" s="1"/>
      <c r="BS74" s="1"/>
      <c r="BT74" s="3"/>
      <c r="BU74" s="3"/>
      <c r="BV74" s="3"/>
      <c r="BW74" s="3"/>
      <c r="BX74" s="3"/>
      <c r="BY74" s="3"/>
      <c r="BZ74" s="1"/>
      <c r="CA74" s="3"/>
      <c r="CB74" s="3"/>
      <c r="CC74" s="3"/>
      <c r="CD74" s="1"/>
      <c r="CG74" s="191"/>
      <c r="CH74" s="193"/>
      <c r="CI74" s="193"/>
      <c r="CJ74" s="193"/>
      <c r="CK74" s="229"/>
    </row>
    <row r="75" spans="1:89" ht="24.95" customHeight="1" thickBot="1">
      <c r="AD75" s="39">
        <v>60</v>
      </c>
      <c r="AE75" s="264"/>
      <c r="AF75" s="264" t="s">
        <v>152</v>
      </c>
      <c r="AG75" s="271"/>
      <c r="AH75" s="268">
        <v>60</v>
      </c>
      <c r="AJ75" s="469">
        <v>60</v>
      </c>
      <c r="AK75" s="209"/>
      <c r="AL75" s="543"/>
      <c r="AM75" s="360" t="str">
        <f>IF(OR(AND(J15&gt;650,J15&lt;660)),"Off."," ")</f>
        <v xml:space="preserve"> </v>
      </c>
      <c r="AN75" s="219" t="s">
        <v>55</v>
      </c>
      <c r="AO75" s="291" t="str">
        <f>IF(ISNA(MATCH(AJ75,$AH$16:$AH$115,0)),"OFFICE",INDEX($AF$16:$AF$117,0))</f>
        <v>D15</v>
      </c>
      <c r="AP75" s="220">
        <v>0</v>
      </c>
      <c r="AQ75" s="408"/>
      <c r="AR75" s="535"/>
      <c r="AS75" s="362"/>
      <c r="AT75" s="233"/>
      <c r="AU75" s="224" t="str">
        <f>IF($AP74=$AP75,"résultat",IF($AP74&lt;$AP75,$AO74,$AO75))</f>
        <v>D15</v>
      </c>
      <c r="AV75" s="237">
        <v>0</v>
      </c>
      <c r="AW75" s="415"/>
      <c r="AX75" s="535"/>
      <c r="AY75" s="175"/>
      <c r="AZ75" s="175"/>
      <c r="BA75" s="194"/>
      <c r="BB75" s="175"/>
      <c r="BC75" s="175"/>
      <c r="BD75" s="188"/>
      <c r="BE75" s="175"/>
      <c r="BF75" s="500"/>
      <c r="BH75" s="47"/>
      <c r="BI75" s="47"/>
      <c r="BJ75" s="47"/>
      <c r="BK75" s="47"/>
      <c r="BL75" s="204"/>
      <c r="BM75" s="204"/>
      <c r="BN75" s="288"/>
      <c r="BO75" s="193"/>
      <c r="BP75" s="193"/>
      <c r="BQ75" s="193"/>
      <c r="BR75" s="242"/>
      <c r="BS75" s="242"/>
      <c r="BT75" s="501"/>
      <c r="BU75" s="501"/>
      <c r="BV75" s="501"/>
      <c r="BW75" s="501"/>
      <c r="BX75" s="205"/>
      <c r="BY75" s="205"/>
      <c r="BZ75" s="374"/>
      <c r="CA75" s="512"/>
      <c r="CB75" s="512"/>
      <c r="CC75" s="512"/>
      <c r="CD75" s="458"/>
      <c r="CG75" s="191"/>
      <c r="CH75" s="516"/>
      <c r="CI75" s="193"/>
      <c r="CJ75" s="193"/>
      <c r="CK75" s="229"/>
    </row>
    <row r="76" spans="1:89" ht="24.95" customHeight="1" thickTop="1" thickBot="1">
      <c r="H76" s="474"/>
      <c r="AD76" s="43">
        <v>61</v>
      </c>
      <c r="AE76" s="265"/>
      <c r="AF76" s="264" t="s">
        <v>153</v>
      </c>
      <c r="AG76" s="271"/>
      <c r="AH76" s="268">
        <v>61</v>
      </c>
      <c r="AJ76" s="466">
        <v>61</v>
      </c>
      <c r="AK76" s="209"/>
      <c r="AL76" s="541">
        <v>16</v>
      </c>
      <c r="AM76" s="359">
        <f>IF(OR(AND(J15&gt;650,J15&lt;670)),30,0)</f>
        <v>0</v>
      </c>
      <c r="AN76" s="216" t="s">
        <v>16</v>
      </c>
      <c r="AO76" s="99" t="str">
        <f>IF(ISNA(MATCH(AJ76,$AH$16:$AH$115,0)),"",INDEX($AF$16:$AF$117,0))</f>
        <v>A16</v>
      </c>
      <c r="AP76" s="181">
        <v>1</v>
      </c>
      <c r="AQ76" s="408"/>
      <c r="AR76" s="533">
        <v>16</v>
      </c>
      <c r="AS76" s="359">
        <v>18</v>
      </c>
      <c r="AT76" s="230"/>
      <c r="AU76" s="262" t="str">
        <f>IF($AP76=$AP77,"résultat",IF($AP76&gt;$AP77,$AO76,$AO77))</f>
        <v>A16</v>
      </c>
      <c r="AV76" s="236">
        <v>1</v>
      </c>
      <c r="AW76" s="409"/>
      <c r="AX76" s="533">
        <v>16</v>
      </c>
      <c r="AY76" s="189"/>
      <c r="AZ76" s="189"/>
      <c r="BA76" s="196"/>
      <c r="BB76" s="189"/>
      <c r="BC76" s="189"/>
      <c r="BD76" s="454">
        <v>1</v>
      </c>
      <c r="BE76" s="243"/>
      <c r="BF76" s="240" t="str">
        <f>IF($AK$77+$AK$78=42,IF($AV76=$AV77,"résultat",IF($AV76&gt;$AV77,$AU76,$AU77)),IF($AK$77+$AK$78=43,IF(AV76=AV77,"résultat",IF(AV76&gt;AV77,AU76,AU77)),0))</f>
        <v>A16</v>
      </c>
      <c r="BH76" s="47"/>
      <c r="BI76" s="47"/>
      <c r="BJ76" s="47"/>
      <c r="BK76" s="47"/>
      <c r="BL76" s="204"/>
      <c r="BM76" s="204"/>
      <c r="BN76" s="202"/>
      <c r="BO76" s="205"/>
      <c r="BP76" s="504" t="s">
        <v>199</v>
      </c>
      <c r="BQ76" s="352"/>
      <c r="BR76" s="180"/>
      <c r="BS76" s="180"/>
      <c r="BT76" s="508"/>
      <c r="BU76" s="508"/>
      <c r="BV76" s="508"/>
      <c r="BW76" s="508"/>
      <c r="BX76" s="205"/>
      <c r="BY76" s="205"/>
      <c r="BZ76" s="179"/>
      <c r="CA76" s="503"/>
      <c r="CB76" s="504" t="s">
        <v>205</v>
      </c>
      <c r="CC76" s="505"/>
      <c r="CD76" s="180"/>
      <c r="CG76" s="244"/>
      <c r="CH76" s="246"/>
      <c r="CI76" s="513" t="s">
        <v>70</v>
      </c>
      <c r="CJ76" s="352"/>
      <c r="CK76" s="182"/>
    </row>
    <row r="77" spans="1:89" ht="24.95" customHeight="1" thickBot="1">
      <c r="AD77" s="39">
        <v>62</v>
      </c>
      <c r="AE77" s="264"/>
      <c r="AF77" s="264" t="s">
        <v>154</v>
      </c>
      <c r="AG77" s="271"/>
      <c r="AH77" s="268">
        <v>62</v>
      </c>
      <c r="AJ77" s="468">
        <v>62</v>
      </c>
      <c r="AK77" s="209" t="str">
        <f>CONCATENATE(T22,T23)</f>
        <v>42</v>
      </c>
      <c r="AL77" s="542"/>
      <c r="AM77" s="360"/>
      <c r="AN77" s="217" t="s">
        <v>17</v>
      </c>
      <c r="AO77" s="98" t="str">
        <f>IF(ISNA(MATCH(AJ77,$AH$16:$AH$115,0)),"",INDEX($AF$16:$AF$117,0))</f>
        <v>B16</v>
      </c>
      <c r="AP77" s="184">
        <v>0</v>
      </c>
      <c r="AQ77" s="408"/>
      <c r="AR77" s="534"/>
      <c r="AS77" s="360"/>
      <c r="AT77" s="231"/>
      <c r="AU77" s="339" t="str">
        <f>IF($AP78=$AP79,"résultat",IF($AP78&gt;$AP79,$AO78,$AO79))</f>
        <v>C16</v>
      </c>
      <c r="AV77" s="237">
        <v>0</v>
      </c>
      <c r="AW77" s="415"/>
      <c r="AX77" s="534"/>
      <c r="AY77" s="531">
        <v>8</v>
      </c>
      <c r="AZ77" s="199"/>
      <c r="BA77" s="238" t="str">
        <f>IF($AK77+$AK78=42,IF($AV76=$AV77,"résultat",IF($AV76&lt;$AV77,$AU76,$AU77)),IF($AK77+$AK78=43," "))</f>
        <v>C16</v>
      </c>
      <c r="BB77" s="273">
        <v>1</v>
      </c>
      <c r="BC77" s="242"/>
      <c r="BD77" s="453">
        <v>2</v>
      </c>
      <c r="BE77" s="247" t="str">
        <f>+AK77</f>
        <v>42</v>
      </c>
      <c r="BF77" s="185" t="str">
        <f>IF($AK$77+$AK$78=42,IF($BB77=$BB78,"résultat",IF($BB77&gt;$BB78,$BA77,$BA78)),IF($AK$77+$AK$78=43,IF(AV76=AV77,"résultat",IF(AV76&lt;AV77,AU76,AU77)),0))</f>
        <v>C16</v>
      </c>
      <c r="BH77" s="637" t="s">
        <v>275</v>
      </c>
      <c r="BI77" s="637"/>
      <c r="BJ77" s="637"/>
      <c r="BK77" s="637"/>
      <c r="BL77" s="637"/>
      <c r="BM77" s="638"/>
      <c r="BN77" s="519">
        <v>13</v>
      </c>
      <c r="BO77" s="524" t="str">
        <f>+BF64</f>
        <v>A13</v>
      </c>
      <c r="BP77" s="525"/>
      <c r="BQ77" s="526"/>
      <c r="BR77" s="277">
        <v>1</v>
      </c>
      <c r="BS77" s="242"/>
      <c r="BT77" s="529" t="s">
        <v>295</v>
      </c>
      <c r="BU77" s="529"/>
      <c r="BV77" s="529"/>
      <c r="BW77" s="529"/>
      <c r="BX77" s="529"/>
      <c r="BY77" s="530"/>
      <c r="BZ77" s="519">
        <v>29</v>
      </c>
      <c r="CA77" s="560" t="str">
        <f>+BF29</f>
        <v>C4</v>
      </c>
      <c r="CB77" s="561"/>
      <c r="CC77" s="562"/>
      <c r="CD77" s="283">
        <v>1</v>
      </c>
      <c r="CG77" s="575">
        <v>5</v>
      </c>
      <c r="CH77" s="602" t="str">
        <f>+BF64</f>
        <v>A13</v>
      </c>
      <c r="CI77" s="578"/>
      <c r="CJ77" s="579"/>
      <c r="CK77" s="273">
        <v>1</v>
      </c>
    </row>
    <row r="78" spans="1:89" ht="24.95" customHeight="1" thickBot="1">
      <c r="AD78" s="43">
        <v>63</v>
      </c>
      <c r="AE78" s="265"/>
      <c r="AF78" s="264" t="s">
        <v>155</v>
      </c>
      <c r="AG78" s="271"/>
      <c r="AH78" s="268">
        <v>63</v>
      </c>
      <c r="AJ78" s="468">
        <v>63</v>
      </c>
      <c r="AK78" s="209"/>
      <c r="AL78" s="542"/>
      <c r="AM78" s="290"/>
      <c r="AN78" s="218" t="s">
        <v>64</v>
      </c>
      <c r="AO78" s="99" t="str">
        <f>IF(ISNA(MATCH(AJ78,$AH$16:$AH$115,0)),"",INDEX($AF$16:$AF$117,0))</f>
        <v>C16</v>
      </c>
      <c r="AP78" s="186">
        <v>1</v>
      </c>
      <c r="AQ78" s="408"/>
      <c r="AR78" s="534"/>
      <c r="AS78" s="361">
        <v>19</v>
      </c>
      <c r="AT78" s="232"/>
      <c r="AU78" s="224" t="str">
        <f>IF($AP76=$AP77,"résultat",IF($AP76&lt;$AP77,$AO76,$AO77))</f>
        <v>B16</v>
      </c>
      <c r="AV78" s="236">
        <v>1</v>
      </c>
      <c r="AW78" s="415"/>
      <c r="AX78" s="534"/>
      <c r="AY78" s="532"/>
      <c r="AZ78" s="200"/>
      <c r="BA78" s="201" t="str">
        <f>IF($AK77+$AK78=42,IF($AV78=$AV79,"résultat",IF($AV78&gt;$AV79,$AU78,$AU79)),IF($AK77+$AK78=43," "))</f>
        <v>B16</v>
      </c>
      <c r="BB78" s="187">
        <v>0</v>
      </c>
      <c r="BC78" s="242"/>
      <c r="BD78" s="455">
        <v>3</v>
      </c>
      <c r="BE78" s="243"/>
      <c r="BF78" s="350" t="str">
        <f>IF($AK$77+$AK$78=42," ",IF($AK$77+$AK$78=43,IF(AV78=AV79,"résultat",IF(AV78&gt;AV79,AU78,AU79)),0))</f>
        <v xml:space="preserve"> </v>
      </c>
      <c r="BH78" s="529" t="s">
        <v>291</v>
      </c>
      <c r="BI78" s="529"/>
      <c r="BJ78" s="529"/>
      <c r="BK78" s="529"/>
      <c r="BL78" s="529"/>
      <c r="BM78" s="530"/>
      <c r="BN78" s="520"/>
      <c r="BO78" s="566" t="str">
        <f>+BF94</f>
        <v>C20</v>
      </c>
      <c r="BP78" s="567"/>
      <c r="BQ78" s="568"/>
      <c r="BR78" s="420">
        <v>0</v>
      </c>
      <c r="BS78" s="426"/>
      <c r="BT78" s="643" t="s">
        <v>322</v>
      </c>
      <c r="BU78" s="643"/>
      <c r="BV78" s="643"/>
      <c r="BW78" s="643"/>
      <c r="BX78" s="641" t="s">
        <v>277</v>
      </c>
      <c r="BY78" s="642"/>
      <c r="BZ78" s="520"/>
      <c r="CA78" s="551" t="str">
        <f>IF(J15&lt;850,BF74,IF(J15&gt;850,BF101))</f>
        <v>A22</v>
      </c>
      <c r="CB78" s="552"/>
      <c r="CC78" s="553"/>
      <c r="CD78" s="420">
        <v>0</v>
      </c>
      <c r="CG78" s="576"/>
      <c r="CH78" s="580" t="str">
        <f>+BF33</f>
        <v>C5</v>
      </c>
      <c r="CI78" s="581"/>
      <c r="CJ78" s="582"/>
      <c r="CK78" s="187">
        <v>0</v>
      </c>
    </row>
    <row r="79" spans="1:89" ht="24.95" customHeight="1" thickBot="1">
      <c r="AD79" s="39">
        <v>64</v>
      </c>
      <c r="AE79" s="264"/>
      <c r="AF79" s="264" t="s">
        <v>156</v>
      </c>
      <c r="AG79" s="270"/>
      <c r="AH79" s="268">
        <v>64</v>
      </c>
      <c r="AJ79" s="469">
        <v>64</v>
      </c>
      <c r="AK79" s="209"/>
      <c r="AL79" s="543"/>
      <c r="AM79" s="360" t="str">
        <f>IF(OR(AND(J15&gt;650,J15&lt;670)),"Off."," ")</f>
        <v xml:space="preserve"> </v>
      </c>
      <c r="AN79" s="219" t="s">
        <v>55</v>
      </c>
      <c r="AO79" s="291" t="str">
        <f>IF(ISNA(MATCH(AJ79,$AH$16:$AH$115,0)),"OFFICE",INDEX($AF$16:$AF$117,0))</f>
        <v>D16</v>
      </c>
      <c r="AP79" s="220">
        <v>0</v>
      </c>
      <c r="AQ79" s="408"/>
      <c r="AR79" s="535"/>
      <c r="AS79" s="362"/>
      <c r="AT79" s="233"/>
      <c r="AU79" s="224" t="str">
        <f>IF($AP78=$AP79,"résultat",IF($AP78&lt;$AP79,$AO78,$AO79))</f>
        <v>D16</v>
      </c>
      <c r="AV79" s="237">
        <v>0</v>
      </c>
      <c r="AW79" s="441"/>
      <c r="AX79" s="535"/>
      <c r="AY79" s="175"/>
      <c r="AZ79" s="175"/>
      <c r="BA79" s="500"/>
      <c r="BB79" s="175"/>
      <c r="BC79" s="175"/>
      <c r="BD79" s="175"/>
      <c r="BE79" s="175"/>
      <c r="BF79" s="500"/>
      <c r="BH79" s="3"/>
      <c r="BI79" s="3"/>
      <c r="BJ79" s="3"/>
      <c r="BK79" s="3"/>
      <c r="BL79" s="3"/>
      <c r="BM79" s="3"/>
      <c r="BN79" s="1"/>
      <c r="BO79" s="3"/>
      <c r="BP79" s="3"/>
      <c r="BQ79" s="3"/>
      <c r="BR79" s="1"/>
      <c r="BS79" s="1"/>
      <c r="BT79" s="3"/>
      <c r="BU79" s="3"/>
      <c r="BV79" s="3"/>
      <c r="BW79" s="3"/>
      <c r="BX79" s="3"/>
      <c r="BY79" s="3"/>
      <c r="BZ79" s="1"/>
      <c r="CA79" s="3"/>
      <c r="CB79" s="3"/>
      <c r="CC79" s="3"/>
      <c r="CD79" s="1"/>
      <c r="CG79" s="191"/>
      <c r="CH79" s="193"/>
      <c r="CI79" s="193"/>
      <c r="CJ79" s="193"/>
      <c r="CK79" s="229"/>
    </row>
    <row r="80" spans="1:89" ht="24.95" customHeight="1" thickTop="1" thickBot="1">
      <c r="AD80" s="43">
        <v>65</v>
      </c>
      <c r="AE80" s="265"/>
      <c r="AF80" s="264" t="s">
        <v>210</v>
      </c>
      <c r="AG80" s="271"/>
      <c r="AH80" s="268">
        <v>65</v>
      </c>
      <c r="AJ80" s="466">
        <v>65</v>
      </c>
      <c r="AK80" s="209"/>
      <c r="AL80" s="541">
        <v>17</v>
      </c>
      <c r="AM80" s="359">
        <v>29</v>
      </c>
      <c r="AN80" s="216" t="s">
        <v>16</v>
      </c>
      <c r="AO80" s="99" t="str">
        <f>IF(ISNA(MATCH(AJ80,$AH$16:$AH$115,0)),"",INDEX($AF$16:$AF$117,0))</f>
        <v>A17</v>
      </c>
      <c r="AP80" s="181">
        <v>1</v>
      </c>
      <c r="AQ80" s="408"/>
      <c r="AR80" s="533">
        <v>17</v>
      </c>
      <c r="AS80" s="359">
        <v>18</v>
      </c>
      <c r="AT80" s="230"/>
      <c r="AU80" s="262" t="str">
        <f>IF($AP80=$AP81,"résultat",IF($AP80&gt;$AP81,$AO80,$AO81))</f>
        <v>A17</v>
      </c>
      <c r="AV80" s="236">
        <v>1</v>
      </c>
      <c r="AW80" s="415"/>
      <c r="AX80" s="533">
        <v>17</v>
      </c>
      <c r="AY80" s="189"/>
      <c r="AZ80" s="189"/>
      <c r="BA80" s="196"/>
      <c r="BB80" s="189"/>
      <c r="BC80" s="189"/>
      <c r="BD80" s="454">
        <v>1</v>
      </c>
      <c r="BE80" s="243"/>
      <c r="BF80" s="240" t="str">
        <f>IF($AK$81+$AK$82=42,IF($AV80=$AV81,"résultat",IF($AV80&gt;$AV81,$AU80,$AU81)),IF($AK$81+$AK$82=43,IF(AV80=AV81,"résultat",IF(AV80&gt;AV81,AU80,AU81)),0))</f>
        <v>A17</v>
      </c>
      <c r="BH80" s="47"/>
      <c r="BI80" s="47"/>
      <c r="BJ80" s="47"/>
      <c r="BK80" s="47"/>
      <c r="BL80" s="204"/>
      <c r="BM80" s="204"/>
      <c r="BN80" s="288"/>
      <c r="BO80" s="193"/>
      <c r="BP80" s="287"/>
      <c r="BQ80" s="287"/>
      <c r="BR80" s="242"/>
      <c r="BS80" s="242"/>
      <c r="BT80" s="501"/>
      <c r="BU80" s="501"/>
      <c r="BV80" s="501"/>
      <c r="BW80" s="501"/>
      <c r="BX80" s="205"/>
      <c r="BY80" s="205"/>
      <c r="BZ80" s="148"/>
      <c r="CA80" s="506"/>
      <c r="CB80" s="506"/>
      <c r="CC80" s="506"/>
      <c r="CG80" s="191"/>
      <c r="CH80" s="516"/>
      <c r="CI80" s="193"/>
      <c r="CJ80" s="193"/>
      <c r="CK80" s="229"/>
    </row>
    <row r="81" spans="30:89" ht="24.95" customHeight="1" thickBot="1">
      <c r="AD81" s="39">
        <v>66</v>
      </c>
      <c r="AE81" s="264"/>
      <c r="AF81" s="264" t="s">
        <v>211</v>
      </c>
      <c r="AG81" s="270"/>
      <c r="AH81" s="268">
        <v>66</v>
      </c>
      <c r="AJ81" s="469">
        <v>66</v>
      </c>
      <c r="AK81" s="209" t="str">
        <f>CONCATENATE(U22,U23)</f>
        <v>42</v>
      </c>
      <c r="AL81" s="542"/>
      <c r="AM81" s="360"/>
      <c r="AN81" s="217" t="s">
        <v>17</v>
      </c>
      <c r="AO81" s="98" t="str">
        <f>IF(ISNA(MATCH(AJ81,$AH$16:$AH$115,0)),"",INDEX($AF$16:$AF$117,0))</f>
        <v>B17</v>
      </c>
      <c r="AP81" s="184">
        <v>0</v>
      </c>
      <c r="AQ81" s="408"/>
      <c r="AR81" s="534"/>
      <c r="AS81" s="360"/>
      <c r="AT81" s="231"/>
      <c r="AU81" s="339" t="str">
        <f>IF($AP82=$AP83,"résultat",IF($AP82&gt;$AP83,$AO82,$AO83))</f>
        <v>C17</v>
      </c>
      <c r="AV81" s="237">
        <v>0</v>
      </c>
      <c r="AW81" s="415"/>
      <c r="AX81" s="534"/>
      <c r="AY81" s="531">
        <v>10</v>
      </c>
      <c r="AZ81" s="199"/>
      <c r="BA81" s="238" t="str">
        <f>IF($AK81+$AK82=42,IF($AV80=$AV81,"résultat",IF($AV80&lt;$AV81,$AU80,$AU81)),IF($AK81+$AK82=43," "))</f>
        <v>C17</v>
      </c>
      <c r="BB81" s="273">
        <v>1</v>
      </c>
      <c r="BC81" s="242"/>
      <c r="BD81" s="453">
        <v>2</v>
      </c>
      <c r="BE81" s="247" t="str">
        <f t="shared" ref="BE81" si="4">+AK81</f>
        <v>42</v>
      </c>
      <c r="BF81" s="185" t="str">
        <f>IF($AK$81+$AK$82=42,IF($BB81=$BB82,"résultat",IF($BB81&gt;$BB82,$BA81,$BA82)),IF($AK$81+$AK$82=43,IF(AV80=AV81,"résultat",IF(AV80&lt;AV81,AU80,AU81)),0))</f>
        <v>C17</v>
      </c>
      <c r="BH81" s="47"/>
      <c r="BI81" s="47"/>
      <c r="BJ81" s="47"/>
      <c r="BK81" s="47"/>
      <c r="BL81" s="204"/>
      <c r="BM81" s="204"/>
      <c r="BN81" s="179"/>
      <c r="BO81" s="503"/>
      <c r="BP81" s="504" t="s">
        <v>200</v>
      </c>
      <c r="BQ81" s="505"/>
      <c r="BR81" s="180"/>
      <c r="BS81" s="180"/>
      <c r="BT81" s="508"/>
      <c r="BU81" s="508"/>
      <c r="BV81" s="508"/>
      <c r="BW81" s="508"/>
      <c r="BX81" s="205"/>
      <c r="BY81" s="205"/>
      <c r="BZ81" s="202"/>
      <c r="CA81" s="205"/>
      <c r="CB81" s="504" t="s">
        <v>206</v>
      </c>
      <c r="CC81" s="352"/>
      <c r="CD81" s="180"/>
      <c r="CG81" s="244"/>
      <c r="CH81" s="246"/>
      <c r="CI81" s="513" t="s">
        <v>71</v>
      </c>
      <c r="CJ81" s="352"/>
      <c r="CK81" s="182"/>
    </row>
    <row r="82" spans="30:89" ht="24.95" customHeight="1" thickBot="1">
      <c r="AD82" s="43">
        <v>67</v>
      </c>
      <c r="AE82" s="265"/>
      <c r="AF82" s="264" t="s">
        <v>212</v>
      </c>
      <c r="AG82" s="271"/>
      <c r="AH82" s="268">
        <v>67</v>
      </c>
      <c r="AJ82" s="468">
        <v>67</v>
      </c>
      <c r="AK82" s="209"/>
      <c r="AL82" s="542"/>
      <c r="AM82" s="290"/>
      <c r="AN82" s="218" t="s">
        <v>64</v>
      </c>
      <c r="AO82" s="99" t="str">
        <f>IF(ISNA(MATCH(AJ82,$AH$16:$AH$115,0)),"",INDEX($AF$16:$AF$117,0))</f>
        <v>C17</v>
      </c>
      <c r="AP82" s="186">
        <v>1</v>
      </c>
      <c r="AQ82" s="408"/>
      <c r="AR82" s="534"/>
      <c r="AS82" s="361">
        <v>19</v>
      </c>
      <c r="AT82" s="232"/>
      <c r="AU82" s="224" t="str">
        <f>IF($AP80=$AP81,"résultat",IF($AP80&lt;$AP81,$AO80,$AO81))</f>
        <v>B17</v>
      </c>
      <c r="AV82" s="236">
        <v>1</v>
      </c>
      <c r="AW82" s="415"/>
      <c r="AX82" s="534"/>
      <c r="AY82" s="532"/>
      <c r="AZ82" s="200"/>
      <c r="BA82" s="201" t="str">
        <f>IF($AK81+$AK82=42,IF($AV82=$AV83,"résultat",IF($AV82&gt;$AV83,$AU82,$AU83)),IF($AK81+$AK82=43," "))</f>
        <v>B17</v>
      </c>
      <c r="BB82" s="187">
        <v>0</v>
      </c>
      <c r="BC82" s="242"/>
      <c r="BD82" s="455">
        <v>3</v>
      </c>
      <c r="BE82" s="243"/>
      <c r="BF82" s="350" t="str">
        <f>IF($AK$81+$AK$82=42," ",IF($AK$81+$AK$82=43,IF(AV82=AV83,"résultat",IF(AV82&gt;AV83,AU82,AU83)),0))</f>
        <v xml:space="preserve"> </v>
      </c>
      <c r="BH82" s="637" t="s">
        <v>279</v>
      </c>
      <c r="BI82" s="637"/>
      <c r="BJ82" s="637"/>
      <c r="BK82" s="637"/>
      <c r="BL82" s="637"/>
      <c r="BM82" s="638"/>
      <c r="BN82" s="519">
        <v>14</v>
      </c>
      <c r="BO82" s="524" t="str">
        <f>+BF68</f>
        <v>A14</v>
      </c>
      <c r="BP82" s="525"/>
      <c r="BQ82" s="547"/>
      <c r="BR82" s="283">
        <v>1</v>
      </c>
      <c r="BS82" s="242"/>
      <c r="BT82" s="529" t="s">
        <v>294</v>
      </c>
      <c r="BU82" s="529"/>
      <c r="BV82" s="529"/>
      <c r="BW82" s="529"/>
      <c r="BX82" s="529"/>
      <c r="BY82" s="530"/>
      <c r="BZ82" s="519">
        <v>30</v>
      </c>
      <c r="CA82" s="560" t="str">
        <f>+BF25</f>
        <v>C3</v>
      </c>
      <c r="CB82" s="561"/>
      <c r="CC82" s="562"/>
      <c r="CD82" s="283">
        <v>1</v>
      </c>
      <c r="CG82" s="575">
        <v>6</v>
      </c>
      <c r="CH82" s="577" t="str">
        <f>+BF68</f>
        <v>A14</v>
      </c>
      <c r="CI82" s="578"/>
      <c r="CJ82" s="579"/>
      <c r="CK82" s="273">
        <v>1</v>
      </c>
    </row>
    <row r="83" spans="30:89" ht="24.95" customHeight="1" thickBot="1">
      <c r="AD83" s="39">
        <v>68</v>
      </c>
      <c r="AE83" s="264"/>
      <c r="AF83" s="264" t="s">
        <v>213</v>
      </c>
      <c r="AG83" s="270"/>
      <c r="AH83" s="268">
        <v>68</v>
      </c>
      <c r="AJ83" s="469">
        <v>68</v>
      </c>
      <c r="AK83" s="209"/>
      <c r="AL83" s="543"/>
      <c r="AM83" s="360" t="str">
        <f>IF(OR(AND(J15&gt;650,J15&lt;670)),"Off."," ")</f>
        <v xml:space="preserve"> </v>
      </c>
      <c r="AN83" s="219" t="s">
        <v>55</v>
      </c>
      <c r="AO83" s="291" t="str">
        <f>IF(ISNA(MATCH(AJ83,$AH$16:$AH$115,0)),"OFFICE",INDEX($AF$16:$AF$117,0))</f>
        <v>D17</v>
      </c>
      <c r="AP83" s="220">
        <v>0</v>
      </c>
      <c r="AQ83" s="408"/>
      <c r="AR83" s="535"/>
      <c r="AS83" s="362"/>
      <c r="AT83" s="233"/>
      <c r="AU83" s="224" t="str">
        <f>IF($AP82=$AP83,"résultat",IF($AP82&lt;$AP83,$AO82,$AO83))</f>
        <v>D17</v>
      </c>
      <c r="AV83" s="237">
        <v>0</v>
      </c>
      <c r="AW83" s="415"/>
      <c r="AX83" s="535"/>
      <c r="AY83" s="175"/>
      <c r="AZ83" s="175"/>
      <c r="BA83" s="194"/>
      <c r="BB83" s="175"/>
      <c r="BC83" s="175"/>
      <c r="BD83" s="188">
        <v>3</v>
      </c>
      <c r="BE83" s="175"/>
      <c r="BF83" s="500"/>
      <c r="BH83" s="529" t="s">
        <v>290</v>
      </c>
      <c r="BI83" s="529"/>
      <c r="BJ83" s="529"/>
      <c r="BK83" s="529"/>
      <c r="BL83" s="529"/>
      <c r="BM83" s="530"/>
      <c r="BN83" s="520"/>
      <c r="BO83" s="566" t="str">
        <f>+BF90</f>
        <v>C19</v>
      </c>
      <c r="BP83" s="567"/>
      <c r="BQ83" s="568"/>
      <c r="BR83" s="420">
        <v>0</v>
      </c>
      <c r="BS83" s="426"/>
      <c r="BT83" s="702" t="s">
        <v>323</v>
      </c>
      <c r="BU83" s="702"/>
      <c r="BV83" s="702"/>
      <c r="BW83" s="702"/>
      <c r="BX83" s="641" t="s">
        <v>278</v>
      </c>
      <c r="BY83" s="642"/>
      <c r="BZ83" s="520"/>
      <c r="CA83" s="551" t="str">
        <f>IF(J15&lt;850,BF78,IF(J15&gt;850,BF102))</f>
        <v>C22</v>
      </c>
      <c r="CB83" s="552"/>
      <c r="CC83" s="553"/>
      <c r="CD83" s="420">
        <v>0</v>
      </c>
      <c r="CG83" s="576"/>
      <c r="CH83" s="580" t="str">
        <f>+BF37</f>
        <v>C6</v>
      </c>
      <c r="CI83" s="581"/>
      <c r="CJ83" s="582"/>
      <c r="CK83" s="187">
        <v>0</v>
      </c>
    </row>
    <row r="84" spans="30:89" ht="24.95" customHeight="1" thickTop="1" thickBot="1">
      <c r="AD84" s="43">
        <v>69</v>
      </c>
      <c r="AE84" s="265"/>
      <c r="AF84" s="264" t="s">
        <v>214</v>
      </c>
      <c r="AG84" s="271"/>
      <c r="AH84" s="268">
        <v>69</v>
      </c>
      <c r="AJ84" s="466">
        <v>69</v>
      </c>
      <c r="AK84" s="209"/>
      <c r="AL84" s="541">
        <v>18</v>
      </c>
      <c r="AM84" s="359">
        <v>31</v>
      </c>
      <c r="AN84" s="216" t="s">
        <v>16</v>
      </c>
      <c r="AO84" s="99" t="str">
        <f>IF(ISNA(MATCH(AJ84,$AH$16:$AH$115,0)),"",INDEX($AF$16:$AF$117,0))</f>
        <v>A18</v>
      </c>
      <c r="AP84" s="181">
        <v>1</v>
      </c>
      <c r="AQ84" s="408"/>
      <c r="AR84" s="533">
        <v>18</v>
      </c>
      <c r="AS84" s="359">
        <v>18</v>
      </c>
      <c r="AT84" s="230"/>
      <c r="AU84" s="262" t="str">
        <f>IF($AP84=$AP85,"résultat",IF($AP84&gt;$AP85,$AO84,$AO85))</f>
        <v>A18</v>
      </c>
      <c r="AV84" s="236">
        <v>1</v>
      </c>
      <c r="AW84" s="409"/>
      <c r="AX84" s="533">
        <v>18</v>
      </c>
      <c r="AY84" s="189"/>
      <c r="AZ84" s="189"/>
      <c r="BA84" s="196"/>
      <c r="BB84" s="189"/>
      <c r="BC84" s="189"/>
      <c r="BD84" s="454">
        <v>1</v>
      </c>
      <c r="BE84" s="243"/>
      <c r="BF84" s="240" t="str">
        <f>IF($AK$85+$AK$86=42,IF($AV84=$AV85,"résultat",IF($AV84&gt;$AV85,$AU84,$AU85)),IF($AK$85+$AK$86=43,IF(AV84=AV85,"résultat",IF(AV84&gt;AV85,AU84,AU85)),0))</f>
        <v>A18</v>
      </c>
      <c r="BH84" s="3"/>
      <c r="BI84" s="3"/>
      <c r="BJ84" s="3"/>
      <c r="BK84" s="3"/>
      <c r="BL84" s="3"/>
      <c r="BM84" s="3"/>
      <c r="BN84" s="1"/>
      <c r="BO84" s="3"/>
      <c r="BP84" s="3"/>
      <c r="BQ84" s="3"/>
      <c r="BR84" s="1"/>
      <c r="BS84" s="1"/>
      <c r="BT84" s="3"/>
      <c r="BU84" s="3"/>
      <c r="BV84" s="3"/>
      <c r="BW84" s="3"/>
      <c r="BX84" s="3"/>
      <c r="BY84" s="3"/>
      <c r="BZ84" s="1"/>
      <c r="CA84" s="3"/>
      <c r="CB84" s="3"/>
      <c r="CC84" s="3"/>
      <c r="CD84" s="1"/>
      <c r="CG84" s="191"/>
      <c r="CH84" s="193"/>
      <c r="CI84" s="193"/>
      <c r="CJ84" s="193"/>
      <c r="CK84" s="229"/>
    </row>
    <row r="85" spans="30:89" ht="24.95" customHeight="1" thickBot="1">
      <c r="AD85" s="39">
        <v>70</v>
      </c>
      <c r="AE85" s="264"/>
      <c r="AF85" s="264" t="s">
        <v>215</v>
      </c>
      <c r="AG85" s="270"/>
      <c r="AH85" s="268">
        <v>70</v>
      </c>
      <c r="AJ85" s="469">
        <v>70</v>
      </c>
      <c r="AK85" s="209" t="str">
        <f>CONCATENATE(V22,V23)</f>
        <v>42</v>
      </c>
      <c r="AL85" s="542"/>
      <c r="AM85" s="360"/>
      <c r="AN85" s="217" t="s">
        <v>17</v>
      </c>
      <c r="AO85" s="98" t="str">
        <f>IF(ISNA(MATCH(AJ85,$AH$16:$AH$115,0)),"",INDEX($AF$16:$AF$117,0))</f>
        <v>B18</v>
      </c>
      <c r="AP85" s="184">
        <v>0</v>
      </c>
      <c r="AQ85" s="408"/>
      <c r="AR85" s="534"/>
      <c r="AS85" s="360"/>
      <c r="AT85" s="231"/>
      <c r="AU85" s="339" t="str">
        <f>IF($AP86=$AP87,"résultat",IF($AP86&gt;$AP87,$AO86,$AO87))</f>
        <v>C18</v>
      </c>
      <c r="AV85" s="237">
        <v>0</v>
      </c>
      <c r="AW85" s="415"/>
      <c r="AX85" s="534"/>
      <c r="AY85" s="531">
        <v>12</v>
      </c>
      <c r="AZ85" s="199"/>
      <c r="BA85" s="238" t="str">
        <f>IF($AK85+$AK86=42,IF($AV84=$AV85,"résultat",IF($AV84&lt;$AV85,$AU84,$AU85)),IF($AK85+$AK86=43," "))</f>
        <v>C18</v>
      </c>
      <c r="BB85" s="273">
        <v>1</v>
      </c>
      <c r="BC85" s="242"/>
      <c r="BD85" s="453">
        <v>2</v>
      </c>
      <c r="BE85" s="247" t="str">
        <f t="shared" ref="BE85" si="5">+AK85</f>
        <v>42</v>
      </c>
      <c r="BF85" s="185" t="str">
        <f>IF($AK$85+$AK$86=42,IF($BB85=$BB86,"résultat",IF($BB85&gt;$BB86,$BA85,$BA86)),IF($AK$85+$AK$86=43,IF(AV84=AV85,"résultat",IF(AV84&lt;AV85,AU84,AU85)),0))</f>
        <v>C18</v>
      </c>
      <c r="BH85" s="47"/>
      <c r="BI85" s="47"/>
      <c r="BJ85" s="47"/>
      <c r="BK85" s="47"/>
      <c r="BL85" s="204"/>
      <c r="BM85" s="204"/>
      <c r="BN85" s="288"/>
      <c r="BO85" s="193"/>
      <c r="BP85" s="287"/>
      <c r="BQ85" s="287"/>
      <c r="BR85" s="242"/>
      <c r="BS85" s="242"/>
      <c r="BT85" s="501"/>
      <c r="BU85" s="501"/>
      <c r="BV85" s="501"/>
      <c r="BW85" s="501"/>
      <c r="BX85" s="205"/>
      <c r="BY85" s="205"/>
      <c r="BZ85" s="148"/>
      <c r="CA85" s="506"/>
      <c r="CB85" s="506"/>
      <c r="CC85" s="506"/>
      <c r="CD85" s="282"/>
      <c r="CG85" s="191"/>
      <c r="CH85" s="516"/>
      <c r="CI85" s="193"/>
      <c r="CJ85" s="193"/>
      <c r="CK85" s="229"/>
    </row>
    <row r="86" spans="30:89" ht="24.95" customHeight="1" thickBot="1">
      <c r="AD86" s="43">
        <v>71</v>
      </c>
      <c r="AE86" s="265"/>
      <c r="AF86" s="264" t="s">
        <v>216</v>
      </c>
      <c r="AG86" s="271"/>
      <c r="AH86" s="268">
        <v>71</v>
      </c>
      <c r="AJ86" s="468">
        <v>71</v>
      </c>
      <c r="AK86" s="209"/>
      <c r="AL86" s="542"/>
      <c r="AM86" s="361">
        <v>32</v>
      </c>
      <c r="AN86" s="218" t="s">
        <v>64</v>
      </c>
      <c r="AO86" s="99" t="str">
        <f>IF(ISNA(MATCH(AJ86,$AH$16:$AH$115,0)),"",INDEX($AF$16:$AF$117,0))</f>
        <v>C18</v>
      </c>
      <c r="AP86" s="186">
        <v>1</v>
      </c>
      <c r="AQ86" s="408"/>
      <c r="AR86" s="534"/>
      <c r="AS86" s="361">
        <v>19</v>
      </c>
      <c r="AT86" s="232"/>
      <c r="AU86" s="224" t="str">
        <f>IF($AP84=$AP85,"résultat",IF($AP84&lt;$AP85,$AO84,$AO85))</f>
        <v>B18</v>
      </c>
      <c r="AV86" s="236">
        <v>1</v>
      </c>
      <c r="AW86" s="415"/>
      <c r="AX86" s="534"/>
      <c r="AY86" s="532"/>
      <c r="AZ86" s="200"/>
      <c r="BA86" s="201" t="str">
        <f>IF($AK85+$AK86=42,IF($AV86=$AV87,"résultat",IF($AV86&gt;$AV87,$AU86,$AU87)),IF($AK85+$AK86=43," "))</f>
        <v>B18</v>
      </c>
      <c r="BB86" s="187">
        <v>0</v>
      </c>
      <c r="BC86" s="242"/>
      <c r="BD86" s="455">
        <v>3</v>
      </c>
      <c r="BE86" s="243"/>
      <c r="BF86" s="350" t="str">
        <f>IF($AK$85+$AK$86=42," ",IF($AK$85+$AK$86=43,IF(AV86=AV87,"résultat",IF(AV86&gt;AV87,AU86,AU87)),0))</f>
        <v xml:space="preserve"> </v>
      </c>
      <c r="BH86" s="47"/>
      <c r="BI86" s="47"/>
      <c r="BJ86" s="47"/>
      <c r="BK86" s="47"/>
      <c r="BL86" s="204"/>
      <c r="BM86" s="204"/>
      <c r="BN86" s="179"/>
      <c r="BO86" s="503"/>
      <c r="BP86" s="504" t="s">
        <v>201</v>
      </c>
      <c r="BQ86" s="352"/>
      <c r="BR86" s="202"/>
      <c r="BS86" s="202"/>
      <c r="BT86" s="507"/>
      <c r="BU86" s="507"/>
      <c r="BV86" s="507"/>
      <c r="BW86" s="507"/>
      <c r="BX86" s="205"/>
      <c r="BY86" s="205"/>
      <c r="BZ86" s="179"/>
      <c r="CA86" s="503"/>
      <c r="CB86" s="504" t="s">
        <v>207</v>
      </c>
      <c r="CC86" s="505"/>
      <c r="CD86" s="180"/>
      <c r="CG86" s="244"/>
      <c r="CH86" s="246"/>
      <c r="CI86" s="513" t="s">
        <v>187</v>
      </c>
      <c r="CJ86" s="352"/>
      <c r="CK86" s="182"/>
    </row>
    <row r="87" spans="30:89" ht="24.95" customHeight="1" thickBot="1">
      <c r="AD87" s="39">
        <v>72</v>
      </c>
      <c r="AE87" s="264"/>
      <c r="AF87" s="264" t="s">
        <v>217</v>
      </c>
      <c r="AG87" s="270"/>
      <c r="AH87" s="268">
        <v>72</v>
      </c>
      <c r="AJ87" s="469">
        <v>72</v>
      </c>
      <c r="AK87" s="209"/>
      <c r="AL87" s="543"/>
      <c r="AM87" s="360"/>
      <c r="AN87" s="219" t="s">
        <v>55</v>
      </c>
      <c r="AO87" s="291" t="str">
        <f>IF(ISNA(MATCH(AJ87,$AH$16:$AH$115,0)),"OFFICE",INDEX($AF$16:$AF$117,0))</f>
        <v>D18</v>
      </c>
      <c r="AP87" s="220">
        <v>0</v>
      </c>
      <c r="AQ87" s="408"/>
      <c r="AR87" s="535"/>
      <c r="AS87" s="362"/>
      <c r="AT87" s="233"/>
      <c r="AU87" s="224" t="str">
        <f>IF($AP86=$AP87,"résultat",IF($AP86&lt;$AP87,$AO86,$AO87))</f>
        <v>D18</v>
      </c>
      <c r="AV87" s="237">
        <v>0</v>
      </c>
      <c r="AW87" s="441"/>
      <c r="AX87" s="535"/>
      <c r="AY87" s="175"/>
      <c r="AZ87" s="175"/>
      <c r="BA87" s="500"/>
      <c r="BB87" s="175"/>
      <c r="BC87" s="175"/>
      <c r="BD87" s="175"/>
      <c r="BE87" s="175"/>
      <c r="BF87" s="500"/>
      <c r="BH87" s="637" t="s">
        <v>280</v>
      </c>
      <c r="BI87" s="637"/>
      <c r="BJ87" s="637"/>
      <c r="BK87" s="637"/>
      <c r="BL87" s="637"/>
      <c r="BM87" s="638"/>
      <c r="BN87" s="367">
        <v>15</v>
      </c>
      <c r="BO87" s="524" t="str">
        <f>+BF72</f>
        <v>A15</v>
      </c>
      <c r="BP87" s="525"/>
      <c r="BQ87" s="547"/>
      <c r="BR87" s="283">
        <v>1</v>
      </c>
      <c r="BS87" s="242"/>
      <c r="BT87" s="529" t="s">
        <v>293</v>
      </c>
      <c r="BU87" s="529"/>
      <c r="BV87" s="529"/>
      <c r="BW87" s="529"/>
      <c r="BX87" s="529"/>
      <c r="BY87" s="530"/>
      <c r="BZ87" s="367">
        <v>31</v>
      </c>
      <c r="CA87" s="560" t="str">
        <f>+BF21</f>
        <v>C2</v>
      </c>
      <c r="CB87" s="561"/>
      <c r="CC87" s="562"/>
      <c r="CD87" s="283">
        <v>1</v>
      </c>
      <c r="CG87" s="575">
        <v>7</v>
      </c>
      <c r="CH87" s="577" t="str">
        <f>+BF72</f>
        <v>A15</v>
      </c>
      <c r="CI87" s="578"/>
      <c r="CJ87" s="579"/>
      <c r="CK87" s="273">
        <v>1</v>
      </c>
    </row>
    <row r="88" spans="30:89" ht="24.95" customHeight="1" thickTop="1" thickBot="1">
      <c r="AD88" s="43">
        <v>73</v>
      </c>
      <c r="AE88" s="265"/>
      <c r="AF88" s="264" t="s">
        <v>218</v>
      </c>
      <c r="AG88" s="271"/>
      <c r="AH88" s="268">
        <v>73</v>
      </c>
      <c r="AJ88" s="475">
        <v>73</v>
      </c>
      <c r="AK88" s="209"/>
      <c r="AL88" s="541">
        <v>19</v>
      </c>
      <c r="AM88" s="359">
        <v>29</v>
      </c>
      <c r="AN88" s="216" t="s">
        <v>16</v>
      </c>
      <c r="AO88" s="99" t="str">
        <f>IF(ISNA(MATCH(AJ88,$AH$16:$AH$115,0)),"",INDEX($AF$16:$AF$117,0))</f>
        <v>A19</v>
      </c>
      <c r="AP88" s="181">
        <v>1</v>
      </c>
      <c r="AQ88" s="408"/>
      <c r="AR88" s="572">
        <v>19</v>
      </c>
      <c r="AS88" s="359">
        <v>18</v>
      </c>
      <c r="AT88" s="230"/>
      <c r="AU88" s="262" t="str">
        <f>IF($AP88=$AP89,"résultat",IF($AP88&gt;$AP89,$AO88,$AO89))</f>
        <v>A19</v>
      </c>
      <c r="AV88" s="236">
        <v>1</v>
      </c>
      <c r="AW88" s="415"/>
      <c r="AX88" s="572">
        <v>19</v>
      </c>
      <c r="AY88" s="189"/>
      <c r="AZ88" s="189"/>
      <c r="BA88" s="196"/>
      <c r="BB88" s="189"/>
      <c r="BC88" s="189"/>
      <c r="BD88" s="242"/>
      <c r="BE88" s="242"/>
      <c r="BF88" s="501"/>
      <c r="BH88" s="529" t="s">
        <v>289</v>
      </c>
      <c r="BI88" s="529"/>
      <c r="BJ88" s="529"/>
      <c r="BK88" s="529"/>
      <c r="BL88" s="529"/>
      <c r="BM88" s="530"/>
      <c r="BN88" s="368"/>
      <c r="BO88" s="566" t="str">
        <f>+BF85</f>
        <v>C18</v>
      </c>
      <c r="BP88" s="567"/>
      <c r="BQ88" s="568"/>
      <c r="BR88" s="420">
        <v>0</v>
      </c>
      <c r="BS88" s="426"/>
      <c r="BT88" s="700" t="s">
        <v>321</v>
      </c>
      <c r="BU88" s="700"/>
      <c r="BV88" s="700"/>
      <c r="BW88" s="700"/>
      <c r="BX88" s="700"/>
      <c r="BY88" s="511" t="s">
        <v>287</v>
      </c>
      <c r="BZ88" s="368"/>
      <c r="CA88" s="551" t="str">
        <f>IF(J15&lt;810,BF82,IF(J15&gt;810,BF97))</f>
        <v>A21</v>
      </c>
      <c r="CB88" s="552"/>
      <c r="CC88" s="553"/>
      <c r="CD88" s="420">
        <v>0</v>
      </c>
      <c r="CG88" s="576"/>
      <c r="CH88" s="580" t="str">
        <f>+BF41</f>
        <v>C7</v>
      </c>
      <c r="CI88" s="581"/>
      <c r="CJ88" s="582"/>
      <c r="CK88" s="187">
        <v>0</v>
      </c>
    </row>
    <row r="89" spans="30:89" ht="24.95" customHeight="1" thickBot="1">
      <c r="AD89" s="39">
        <v>74</v>
      </c>
      <c r="AE89" s="264"/>
      <c r="AF89" s="264" t="s">
        <v>219</v>
      </c>
      <c r="AG89" s="270"/>
      <c r="AH89" s="268">
        <v>74</v>
      </c>
      <c r="AJ89" s="476">
        <v>74</v>
      </c>
      <c r="AK89" s="209" t="str">
        <f>CONCATENATE(W22,W23)</f>
        <v>42</v>
      </c>
      <c r="AL89" s="542"/>
      <c r="AM89" s="360"/>
      <c r="AN89" s="217" t="s">
        <v>17</v>
      </c>
      <c r="AO89" s="98" t="str">
        <f>IF(ISNA(MATCH(AJ89,$AH$16:$AH$115,0)),"",INDEX($AF$16:$AF$117,0))</f>
        <v>B19</v>
      </c>
      <c r="AP89" s="184">
        <v>0</v>
      </c>
      <c r="AQ89" s="408"/>
      <c r="AR89" s="573"/>
      <c r="AS89" s="360"/>
      <c r="AT89" s="231"/>
      <c r="AU89" s="339" t="str">
        <f>IF($AP90=$AP91,"résultat",IF($AP90&gt;$AP91,$AO90,$AO91))</f>
        <v>C19</v>
      </c>
      <c r="AV89" s="237">
        <v>0</v>
      </c>
      <c r="AW89" s="415"/>
      <c r="AX89" s="573"/>
      <c r="AY89" s="531">
        <v>14</v>
      </c>
      <c r="AZ89" s="199"/>
      <c r="BA89" s="238" t="str">
        <f>IF($AK89+$AK90=32,IF($AV88=$AV89,"résultat",IF($AV88&lt;$AV89,$AU88,$AU89)),IF($AK89+$AK90=42,IF($AV88=$AV89,"résultat",IF($AV88&lt;$AV89,$AU88,$AU89)),IF($AK89+$AK90=43,IF($AV88=$AV89,"résultat",IF($AV88&lt;$AV89,$AU88,$AU89)))))</f>
        <v>C19</v>
      </c>
      <c r="BB89" s="273">
        <v>1</v>
      </c>
      <c r="BC89" s="242"/>
      <c r="BD89" s="477">
        <v>1</v>
      </c>
      <c r="BE89" s="635" t="str">
        <f>+AK89</f>
        <v>42</v>
      </c>
      <c r="BF89" s="240" t="str">
        <f>IF($AK$88+$AK$89=42,IF($AV88=$AV89,"résultat",IF($AV88&gt;$AV89,$AU88,$AU89)),IF($AK$88+$AK$89=32,IF(AV88=AV89,"résultat",IF(AV88&gt;AV89,AU88,AU89)),0))</f>
        <v>A19</v>
      </c>
      <c r="BH89" s="3"/>
      <c r="BI89" s="3"/>
      <c r="BJ89" s="3"/>
      <c r="BK89" s="3"/>
      <c r="BL89" s="3"/>
      <c r="BM89" s="3"/>
      <c r="BN89" s="1"/>
      <c r="BO89" s="3"/>
      <c r="BP89" s="3"/>
      <c r="BQ89" s="3"/>
      <c r="BR89" s="1"/>
      <c r="BS89" s="1"/>
      <c r="BT89" s="3"/>
      <c r="BU89" s="3"/>
      <c r="BV89" s="3"/>
      <c r="BW89" s="3"/>
      <c r="BX89" s="3"/>
      <c r="BY89" s="3"/>
      <c r="BZ89" s="1"/>
      <c r="CA89" s="3"/>
      <c r="CB89" s="3"/>
      <c r="CC89" s="3"/>
      <c r="CD89" s="1"/>
      <c r="CG89" s="191"/>
      <c r="CH89" s="193"/>
      <c r="CI89" s="193"/>
      <c r="CJ89" s="193"/>
      <c r="CK89" s="229"/>
    </row>
    <row r="90" spans="30:89" ht="24.95" customHeight="1" thickBot="1">
      <c r="AD90" s="43">
        <v>75</v>
      </c>
      <c r="AE90" s="265"/>
      <c r="AF90" s="264" t="s">
        <v>220</v>
      </c>
      <c r="AG90" s="271"/>
      <c r="AH90" s="268">
        <v>75</v>
      </c>
      <c r="AJ90" s="478">
        <v>75</v>
      </c>
      <c r="AK90" s="209"/>
      <c r="AL90" s="542"/>
      <c r="AM90" s="361">
        <v>30</v>
      </c>
      <c r="AN90" s="218" t="s">
        <v>64</v>
      </c>
      <c r="AO90" s="99" t="str">
        <f>IF(ISNA(MATCH(AJ90,$AH$16:$AH$115,0)),"",INDEX($AF$16:$AF$117,0))</f>
        <v>C19</v>
      </c>
      <c r="AP90" s="186">
        <v>1</v>
      </c>
      <c r="AQ90" s="408"/>
      <c r="AR90" s="573"/>
      <c r="AS90" s="361">
        <v>19</v>
      </c>
      <c r="AT90" s="232"/>
      <c r="AU90" s="224" t="str">
        <f>IF($AP88=$AP89,"résultat",IF($AP88&lt;$AP89,$AO88,$AO89))</f>
        <v>B19</v>
      </c>
      <c r="AV90" s="236">
        <v>1</v>
      </c>
      <c r="AW90" s="415"/>
      <c r="AX90" s="573"/>
      <c r="AY90" s="532"/>
      <c r="AZ90" s="200"/>
      <c r="BA90" s="201" t="str">
        <f>IF($AK89+$AK90=32,IF($AV90=$AV91,"résultat",IF($AV90&gt;$AV91,$AU90,$AU91)),IF($AK89+$AK90=42,IF($AV90=$AV91,"résultat",IF($AV90&gt;$AV91,$AU90,$AU91)),IF($AK89+$AK90=43,IF($AV90=$AV91,"résultat",IF($AV90&gt;$AV91,$AU90,$AU91)))))</f>
        <v>B19</v>
      </c>
      <c r="BB90" s="187">
        <v>0</v>
      </c>
      <c r="BC90" s="242"/>
      <c r="BD90" s="455">
        <v>2</v>
      </c>
      <c r="BE90" s="636"/>
      <c r="BF90" s="348" t="str">
        <f>IF($AK$88+$AK$89=42,IF($BB89=$BB90,"résultat",IF($BB89&gt;$BB90,$BA89,$BA90)),IF($AK$88+$AK$89=32,IF($BB89=$BB90,"résultat",IF($BB89&gt;$BB90,$BA89,$BA90)),0))</f>
        <v>C19</v>
      </c>
      <c r="BH90" s="47"/>
      <c r="BI90" s="47"/>
      <c r="BJ90" s="47"/>
      <c r="BK90" s="47"/>
      <c r="BL90" s="204"/>
      <c r="BM90" s="204"/>
      <c r="BN90" s="288"/>
      <c r="BO90" s="193"/>
      <c r="BP90" s="287"/>
      <c r="BQ90" s="287"/>
      <c r="BR90" s="242"/>
      <c r="BS90" s="242"/>
      <c r="BT90" s="501"/>
      <c r="BU90" s="501"/>
      <c r="BV90" s="501"/>
      <c r="BW90" s="501"/>
      <c r="BX90" s="205"/>
      <c r="BY90" s="205"/>
      <c r="BZ90" s="148"/>
      <c r="CA90" s="506"/>
      <c r="CB90" s="506"/>
      <c r="CC90" s="506"/>
      <c r="CG90" s="191"/>
      <c r="CH90" s="516"/>
      <c r="CI90" s="193"/>
      <c r="CJ90" s="193"/>
      <c r="CK90" s="229"/>
    </row>
    <row r="91" spans="30:89" ht="24.95" customHeight="1" thickBot="1">
      <c r="AD91" s="39">
        <v>76</v>
      </c>
      <c r="AE91" s="264"/>
      <c r="AF91" s="264" t="s">
        <v>221</v>
      </c>
      <c r="AG91" s="270"/>
      <c r="AH91" s="268">
        <v>76</v>
      </c>
      <c r="AJ91" s="476">
        <f>IF(W$22+W$21=4,76," ")</f>
        <v>76</v>
      </c>
      <c r="AK91" s="209"/>
      <c r="AL91" s="543"/>
      <c r="AM91" s="360"/>
      <c r="AN91" s="219" t="s">
        <v>55</v>
      </c>
      <c r="AO91" s="291" t="str">
        <f>IF(ISNA(MATCH(AJ91,$AH$16:$AH$115,0)),"OFFICE",INDEX($AF$16:$AF$117,0))</f>
        <v>D19</v>
      </c>
      <c r="AP91" s="220">
        <v>0</v>
      </c>
      <c r="AQ91" s="408"/>
      <c r="AR91" s="574"/>
      <c r="AS91" s="362"/>
      <c r="AT91" s="233"/>
      <c r="AU91" s="224" t="str">
        <f>IF($AP90=$AP91,"résultat",IF($AP90&lt;$AP91,$AO90,$AO91))</f>
        <v>D19</v>
      </c>
      <c r="AV91" s="237">
        <v>0</v>
      </c>
      <c r="AW91" s="415"/>
      <c r="AX91" s="574"/>
      <c r="AY91" s="175"/>
      <c r="AZ91" s="175"/>
      <c r="BA91" s="194"/>
      <c r="BB91" s="175"/>
      <c r="BC91" s="175"/>
      <c r="BD91" s="175"/>
      <c r="BE91" s="175"/>
      <c r="BF91" s="500"/>
      <c r="BH91" s="47"/>
      <c r="BI91" s="47"/>
      <c r="BJ91" s="47"/>
      <c r="BK91" s="47"/>
      <c r="BL91" s="204"/>
      <c r="BM91" s="204"/>
      <c r="BN91" s="179"/>
      <c r="BO91" s="503"/>
      <c r="BP91" s="504" t="s">
        <v>202</v>
      </c>
      <c r="BQ91" s="352"/>
      <c r="BR91" s="282"/>
      <c r="BS91" s="282"/>
      <c r="BT91" s="284"/>
      <c r="BU91" s="284"/>
      <c r="BV91" s="284"/>
      <c r="BW91" s="284"/>
      <c r="BX91" s="205"/>
      <c r="BY91" s="205"/>
      <c r="BZ91" s="202"/>
      <c r="CA91" s="205"/>
      <c r="CB91" s="504" t="s">
        <v>208</v>
      </c>
      <c r="CC91" s="352"/>
      <c r="CD91" s="180"/>
      <c r="CG91" s="244"/>
      <c r="CH91" s="246"/>
      <c r="CI91" s="513" t="s">
        <v>72</v>
      </c>
      <c r="CJ91" s="352"/>
      <c r="CK91" s="182"/>
    </row>
    <row r="92" spans="30:89" ht="24.95" customHeight="1" thickTop="1" thickBot="1">
      <c r="AD92" s="43">
        <v>77</v>
      </c>
      <c r="AE92" s="265"/>
      <c r="AF92" s="264" t="s">
        <v>222</v>
      </c>
      <c r="AG92" s="271"/>
      <c r="AH92" s="268">
        <v>77</v>
      </c>
      <c r="AJ92" s="479">
        <f>IF(OR(AND($J$15&gt;800,$J$15&lt;810)),77,IF(OR(AND($J$15&gt;810,$J$15&lt;820)),76,IF(OR(AND($J$15&gt;820,$J$15&lt;970)),77,0)))</f>
        <v>77</v>
      </c>
      <c r="AK92" s="209"/>
      <c r="AL92" s="541">
        <v>20</v>
      </c>
      <c r="AM92" s="359">
        <v>31</v>
      </c>
      <c r="AN92" s="216" t="s">
        <v>16</v>
      </c>
      <c r="AO92" s="99" t="str">
        <f>IF(ISNA(MATCH(AJ92,$AH$16:$AH$115,0)),"",INDEX($AF$16:$AF$117,0))</f>
        <v>A20</v>
      </c>
      <c r="AP92" s="181">
        <v>1</v>
      </c>
      <c r="AQ92" s="408"/>
      <c r="AR92" s="572">
        <v>20</v>
      </c>
      <c r="AS92" s="359">
        <v>18</v>
      </c>
      <c r="AT92" s="230"/>
      <c r="AU92" s="262" t="str">
        <f>IF($AP92=$AP93,"résultat",IF($AP92&gt;$AP93,$AO92,$AO93))</f>
        <v>A20</v>
      </c>
      <c r="AV92" s="236">
        <v>1</v>
      </c>
      <c r="AW92" s="409"/>
      <c r="AX92" s="572">
        <v>20</v>
      </c>
      <c r="AY92" s="189"/>
      <c r="AZ92" s="189"/>
      <c r="BA92" s="196"/>
      <c r="BB92" s="189"/>
      <c r="BC92" s="189"/>
      <c r="BD92" s="189"/>
      <c r="BE92" s="189"/>
      <c r="BF92" s="502"/>
      <c r="BH92" s="637" t="s">
        <v>281</v>
      </c>
      <c r="BI92" s="637"/>
      <c r="BJ92" s="637"/>
      <c r="BK92" s="637"/>
      <c r="BL92" s="637"/>
      <c r="BM92" s="638"/>
      <c r="BN92" s="367">
        <v>16</v>
      </c>
      <c r="BO92" s="524" t="str">
        <f>+BF76</f>
        <v>A16</v>
      </c>
      <c r="BP92" s="525"/>
      <c r="BQ92" s="526"/>
      <c r="BR92" s="277">
        <v>1</v>
      </c>
      <c r="BS92" s="242"/>
      <c r="BT92" s="529" t="s">
        <v>292</v>
      </c>
      <c r="BU92" s="529"/>
      <c r="BV92" s="529"/>
      <c r="BW92" s="529"/>
      <c r="BX92" s="529"/>
      <c r="BY92" s="530"/>
      <c r="BZ92" s="367">
        <v>32</v>
      </c>
      <c r="CA92" s="560" t="str">
        <f>+BF17</f>
        <v>C1</v>
      </c>
      <c r="CB92" s="561"/>
      <c r="CC92" s="562"/>
      <c r="CD92" s="283">
        <v>1</v>
      </c>
      <c r="CG92" s="575">
        <v>8</v>
      </c>
      <c r="CH92" s="577" t="str">
        <f>+BF76</f>
        <v>A16</v>
      </c>
      <c r="CI92" s="578"/>
      <c r="CJ92" s="579"/>
      <c r="CK92" s="273">
        <v>1</v>
      </c>
    </row>
    <row r="93" spans="30:89" ht="24.95" customHeight="1" thickBot="1">
      <c r="AD93" s="39">
        <v>78</v>
      </c>
      <c r="AE93" s="264"/>
      <c r="AF93" s="264" t="s">
        <v>223</v>
      </c>
      <c r="AG93" s="270"/>
      <c r="AH93" s="268">
        <v>78</v>
      </c>
      <c r="AJ93" s="476">
        <f>IF(OR(AND($J$15&gt;800,$J$15&lt;810)),78,IF(OR(AND($J$15&gt;810,$J$15&lt;820)),77,IF(OR(AND($J$15&gt;820,$J$15&lt;970)),78,0)))</f>
        <v>78</v>
      </c>
      <c r="AK93" s="209" t="str">
        <f>CONCATENATE(X$22,X$23)</f>
        <v>42</v>
      </c>
      <c r="AL93" s="542"/>
      <c r="AM93" s="360"/>
      <c r="AN93" s="217" t="s">
        <v>17</v>
      </c>
      <c r="AO93" s="98" t="str">
        <f>IF(ISNA(MATCH(AJ93,$AH$16:$AH$115,0)),"",INDEX($AF$16:$AF$117,0))</f>
        <v>B20</v>
      </c>
      <c r="AP93" s="184">
        <v>0</v>
      </c>
      <c r="AQ93" s="408"/>
      <c r="AR93" s="573"/>
      <c r="AS93" s="360"/>
      <c r="AT93" s="231"/>
      <c r="AU93" s="339" t="str">
        <f>IF($AP94=$AP95,"résultat",IF($AP94&gt;$AP95,$AO94,$AO95))</f>
        <v>C20</v>
      </c>
      <c r="AV93" s="237">
        <v>0</v>
      </c>
      <c r="AW93" s="415"/>
      <c r="AX93" s="573"/>
      <c r="AY93" s="531">
        <v>16</v>
      </c>
      <c r="AZ93" s="199"/>
      <c r="BA93" s="238" t="str">
        <f>IF($AK93+$AK94=32,IF($AV92=$AV93,"résultat",IF($AV92&lt;$AV93,$AU92,$AU93)),IF($AK93+$AK94=42,IF($AV92=$AV93,"résultat",IF($AV92&lt;$AV93,$AU92,$AU93)),IF($AK93+$AK94=43,IF($AV92=$AV93,"résultat",IF($AV92&lt;$AV93,$AU92,$AU93)))))</f>
        <v>C20</v>
      </c>
      <c r="BB93" s="273">
        <v>1</v>
      </c>
      <c r="BC93" s="242"/>
      <c r="BD93" s="477">
        <v>1</v>
      </c>
      <c r="BE93" s="635" t="str">
        <f>+AK93</f>
        <v>42</v>
      </c>
      <c r="BF93" s="240" t="str">
        <f>IF($AK$93+$AK$94=42,IF($AV92=$AV93,"résultat",IF($AV92&gt;$AV93,$AU92,$AU93)),IF($AK$93+$AK$94=32,IF(AV92=AV93,"résultat",IF(AV92&gt;AV93,AU92,AU93)),0))</f>
        <v>A20</v>
      </c>
      <c r="BH93" s="529" t="s">
        <v>288</v>
      </c>
      <c r="BI93" s="529"/>
      <c r="BJ93" s="529"/>
      <c r="BK93" s="529"/>
      <c r="BL93" s="529"/>
      <c r="BM93" s="530"/>
      <c r="BN93" s="368"/>
      <c r="BO93" s="566" t="str">
        <f>+BF81</f>
        <v>C17</v>
      </c>
      <c r="BP93" s="567"/>
      <c r="BQ93" s="568"/>
      <c r="BR93" s="278">
        <v>0</v>
      </c>
      <c r="BS93" s="242"/>
      <c r="BT93" s="529" t="s">
        <v>320</v>
      </c>
      <c r="BU93" s="529"/>
      <c r="BV93" s="529"/>
      <c r="BW93" s="529"/>
      <c r="BX93" s="529"/>
      <c r="BY93" s="511" t="s">
        <v>286</v>
      </c>
      <c r="BZ93" s="368"/>
      <c r="CA93" s="551" t="str">
        <f>IF(J15&lt;810,BF86,IF(J15&gt;810,BF98))</f>
        <v>C21</v>
      </c>
      <c r="CB93" s="552"/>
      <c r="CC93" s="553"/>
      <c r="CD93" s="420">
        <v>0</v>
      </c>
      <c r="CG93" s="576"/>
      <c r="CH93" s="580" t="str">
        <f>+BF45</f>
        <v>C8</v>
      </c>
      <c r="CI93" s="581"/>
      <c r="CJ93" s="582"/>
      <c r="CK93" s="187">
        <v>0</v>
      </c>
    </row>
    <row r="94" spans="30:89" ht="24.95" customHeight="1" thickBot="1">
      <c r="AD94" s="43">
        <v>79</v>
      </c>
      <c r="AE94" s="265"/>
      <c r="AF94" s="264" t="s">
        <v>224</v>
      </c>
      <c r="AG94" s="271"/>
      <c r="AH94" s="268">
        <v>79</v>
      </c>
      <c r="AJ94" s="478">
        <f>IF(OR(AND($J$15&gt;800,$J$15&lt;810)),79,IF(OR(AND($J$15&gt;810,$J$15&lt;820)),78,IF(OR(AND($J$15&gt;820,$J$15&lt;970)),79,0)))</f>
        <v>79</v>
      </c>
      <c r="AK94" s="209"/>
      <c r="AL94" s="542"/>
      <c r="AM94" s="361">
        <v>32</v>
      </c>
      <c r="AN94" s="218" t="s">
        <v>64</v>
      </c>
      <c r="AO94" s="99" t="str">
        <f>IF(ISNA(MATCH(AJ94,$AH$16:$AH$115,0)),"",INDEX($AF$16:$AF$117,0))</f>
        <v>C20</v>
      </c>
      <c r="AP94" s="186">
        <v>1</v>
      </c>
      <c r="AQ94" s="408"/>
      <c r="AR94" s="573"/>
      <c r="AS94" s="361">
        <v>19</v>
      </c>
      <c r="AT94" s="232"/>
      <c r="AU94" s="224" t="str">
        <f>IF($AP92=$AP93,"résultat",IF($AP92&lt;$AP93,$AO92,$AO93))</f>
        <v>B20</v>
      </c>
      <c r="AV94" s="236">
        <v>1</v>
      </c>
      <c r="AW94" s="415"/>
      <c r="AX94" s="573"/>
      <c r="AY94" s="532"/>
      <c r="AZ94" s="200"/>
      <c r="BA94" s="201" t="str">
        <f>IF($AK93+$AK94=32,IF($AV94=$AV95,"résultat",IF($AV94&gt;$AV95,$AU94,$AU95)),IF($AK93+$AK94=42,IF($AV94=$AV95,"résultat",IF($AV94&gt;$AV95,$AU94,$AU95)),IF($AK93+$AK94=43,IF($AV94=$AV95,"résultat",IF($AV94&gt;$AV95,$AU94,$AU95)))))</f>
        <v>B20</v>
      </c>
      <c r="BB94" s="187">
        <v>0</v>
      </c>
      <c r="BC94" s="242"/>
      <c r="BD94" s="455">
        <v>2</v>
      </c>
      <c r="BE94" s="636"/>
      <c r="BF94" s="348" t="str">
        <f>IF($AK$93+$AK$94=42,IF($BB93=$BB94,"résultat",IF($BB93&gt;$BB94,$BA93,$BA94)),IF($AK$93+$AK$94=32,IF($BB93=$BB94,"résultat",IF($BB93&gt;$BB94,$BA93,$BA94)),0))</f>
        <v>C20</v>
      </c>
      <c r="BH94" s="47"/>
      <c r="BI94" s="47"/>
      <c r="BJ94" s="47"/>
      <c r="BK94" s="47"/>
      <c r="BL94" s="204"/>
      <c r="BM94" s="204"/>
      <c r="BO94" s="148"/>
      <c r="BP94" s="148"/>
      <c r="BQ94" s="148"/>
      <c r="BR94" s="148"/>
      <c r="BS94" s="148"/>
      <c r="BT94" s="148"/>
      <c r="BU94" s="148"/>
      <c r="BV94" s="148"/>
      <c r="BW94" s="148"/>
      <c r="BX94" s="210"/>
      <c r="BY94" s="210"/>
      <c r="BZ94" s="148"/>
      <c r="CA94" s="148"/>
      <c r="CB94" s="148"/>
      <c r="CC94" s="148"/>
      <c r="CG94" s="191"/>
      <c r="CH94" s="288"/>
      <c r="CI94" s="288"/>
      <c r="CJ94" s="288"/>
      <c r="CK94" s="229"/>
    </row>
    <row r="95" spans="30:89" ht="24.95" customHeight="1" thickBot="1">
      <c r="AD95" s="39">
        <v>80</v>
      </c>
      <c r="AE95" s="264"/>
      <c r="AF95" s="264" t="s">
        <v>225</v>
      </c>
      <c r="AG95" s="270"/>
      <c r="AH95" s="268">
        <v>80</v>
      </c>
      <c r="AJ95" s="476">
        <f>IF(X$22+X$21=4,80," ")</f>
        <v>80</v>
      </c>
      <c r="AK95" s="209"/>
      <c r="AL95" s="543"/>
      <c r="AM95" s="360"/>
      <c r="AN95" s="219" t="s">
        <v>55</v>
      </c>
      <c r="AO95" s="291" t="str">
        <f>IF(ISNA(MATCH(AJ95,$AH$16:$AH$115,0)),"OFFICE",INDEX($AF$16:$AF$117,0))</f>
        <v>D20</v>
      </c>
      <c r="AP95" s="220">
        <v>0</v>
      </c>
      <c r="AQ95" s="408"/>
      <c r="AR95" s="574"/>
      <c r="AS95" s="362"/>
      <c r="AT95" s="233"/>
      <c r="AU95" s="224" t="str">
        <f>IF($AP94=$AP95,"résultat",IF($AP94&lt;$AP95,$AO94,$AO95))</f>
        <v>D20</v>
      </c>
      <c r="AV95" s="237">
        <v>0</v>
      </c>
      <c r="AW95" s="441"/>
      <c r="AX95" s="574"/>
      <c r="AY95" s="175"/>
      <c r="AZ95" s="175"/>
      <c r="BA95" s="500"/>
      <c r="BB95" s="175"/>
      <c r="BC95" s="175"/>
      <c r="BD95" s="175"/>
      <c r="BE95" s="175"/>
      <c r="BF95" s="500"/>
      <c r="CJ95" s="54"/>
    </row>
    <row r="96" spans="30:89" ht="24.95" customHeight="1" thickTop="1" thickBot="1">
      <c r="AD96" s="43">
        <v>81</v>
      </c>
      <c r="AE96" s="265"/>
      <c r="AF96" s="264" t="s">
        <v>230</v>
      </c>
      <c r="AG96" s="271"/>
      <c r="AH96" s="268">
        <v>81</v>
      </c>
      <c r="AI96" s="480"/>
      <c r="AJ96" s="479">
        <f>IF(OR(AND($J$15&gt;800,$J$15&lt;810)),0,IF(OR(AND($J$15&gt;810,$J$15&lt;820)),79,IF(OR(AND($J$15&gt;820,$J$15&lt;830)),80,IF(OR(AND($J$15&gt;830,$J$15&lt;850)),81,IF(OR(AND($J$15&gt;850,$J$15&lt;860)),80,IF(OR(AND($J$15&gt;860,$J$15&lt;970)),81,0))))))</f>
        <v>81</v>
      </c>
      <c r="AK96" s="209"/>
      <c r="AL96" s="541">
        <v>21</v>
      </c>
      <c r="AM96" s="359">
        <v>29</v>
      </c>
      <c r="AN96" s="216" t="s">
        <v>16</v>
      </c>
      <c r="AO96" s="99" t="str">
        <f>IF(ISNA(MATCH(AJ96,$AH$16:$AH$115,0)),"",INDEX($AF$16:$AF$117,0))</f>
        <v>A21</v>
      </c>
      <c r="AP96" s="181">
        <v>1</v>
      </c>
      <c r="AQ96" s="408"/>
      <c r="AR96" s="572">
        <v>21</v>
      </c>
      <c r="AS96" s="359">
        <v>18</v>
      </c>
      <c r="AT96" s="230"/>
      <c r="AU96" s="262" t="str">
        <f>IF($AP96=$AP97,"résultat",IF($AP96&gt;$AP97,$AO96,$AO97))</f>
        <v>A21</v>
      </c>
      <c r="AV96" s="236">
        <v>1</v>
      </c>
      <c r="AW96" s="415"/>
      <c r="AX96" s="572">
        <v>21</v>
      </c>
      <c r="AY96" s="189"/>
      <c r="AZ96" s="189"/>
      <c r="BA96" s="196"/>
      <c r="BB96" s="189"/>
      <c r="BC96" s="189"/>
      <c r="BD96" s="189"/>
      <c r="BE96" s="189"/>
      <c r="BF96" s="502"/>
      <c r="BG96" s="243"/>
      <c r="CJ96" s="54"/>
    </row>
    <row r="97" spans="30:64" ht="24.95" customHeight="1" thickBot="1">
      <c r="AD97" s="39">
        <v>82</v>
      </c>
      <c r="AE97" s="264"/>
      <c r="AF97" s="264" t="s">
        <v>231</v>
      </c>
      <c r="AG97" s="270"/>
      <c r="AH97" s="268">
        <v>82</v>
      </c>
      <c r="AJ97" s="476">
        <f>IF(OR(AND($J$15&gt;800,$J$15&lt;810)),0,IF(OR(AND($J$15&gt;810,$J$15&lt;820)),80,IF(OR(AND($J$15&gt;820,$J$15&lt;830)),81,IF(OR(AND($J$15&gt;830,$J$15&lt;850)),82,IF(OR(AND($J$15&gt;850,$J$15&lt;860)),81,IF(OR(AND($J$15&gt;860,$J$15&lt;970)),82,0))))))</f>
        <v>82</v>
      </c>
      <c r="AK97" s="209" t="str">
        <f>CONCATENATE(Y$22,Y$23)</f>
        <v>42</v>
      </c>
      <c r="AL97" s="542"/>
      <c r="AM97" s="360"/>
      <c r="AN97" s="217" t="s">
        <v>17</v>
      </c>
      <c r="AO97" s="98" t="str">
        <f>IF(ISNA(MATCH(AJ97,$AH$16:$AH$115,0)),"",INDEX($AF$16:$AF$117,0))</f>
        <v>B21</v>
      </c>
      <c r="AP97" s="184">
        <v>0</v>
      </c>
      <c r="AQ97" s="408"/>
      <c r="AR97" s="573"/>
      <c r="AS97" s="360"/>
      <c r="AT97" s="231"/>
      <c r="AU97" s="339" t="str">
        <f>IF($AP98=$AP99,"résultat",IF($AP98&gt;$AP99,$AO98,$AO99))</f>
        <v>C21</v>
      </c>
      <c r="AV97" s="237">
        <v>0</v>
      </c>
      <c r="AW97" s="415"/>
      <c r="AX97" s="573"/>
      <c r="AY97" s="531">
        <v>18</v>
      </c>
      <c r="AZ97" s="199"/>
      <c r="BA97" s="238" t="str">
        <f>IF($AK97+$AK98=0," ",IF($AK97+$AK98=32,IF($AV96=$AV97,"résultat",IF($AV96&lt;$AV97,$AU96,$AU97)),IF($AK97+$AK98=42,IF($AV96=$AV97,"résultat",IF($AV96&lt;$AV97,$AU96,$AU97)),IF($AK97+$AK98=43,IF($AV96=$AV97,"résultat",IF($AV96&lt;$AV97,$AU96,$AU97))))))</f>
        <v>C21</v>
      </c>
      <c r="BB97" s="273">
        <v>1</v>
      </c>
      <c r="BC97" s="242"/>
      <c r="BD97" s="477">
        <v>1</v>
      </c>
      <c r="BE97" s="635" t="str">
        <f>+AK97</f>
        <v>42</v>
      </c>
      <c r="BF97" s="240" t="str">
        <f>IF($AK$97+$AK$98=42,IF($AV96=$AV97,"résultat",IF($AV96&gt;$AV97,$AU96,$AU97)),IF($AK$97+$AK$98=32,IF(AV96=AV97,"résultat",IF(AV96&gt;AV97,AU96,AU97)),0))</f>
        <v>A21</v>
      </c>
    </row>
    <row r="98" spans="30:64" ht="24.95" customHeight="1" thickBot="1">
      <c r="AD98" s="43">
        <v>83</v>
      </c>
      <c r="AE98" s="265"/>
      <c r="AF98" s="264" t="s">
        <v>232</v>
      </c>
      <c r="AG98" s="271"/>
      <c r="AH98" s="268">
        <v>83</v>
      </c>
      <c r="AJ98" s="476">
        <f>IF(OR(AND($J$15&gt;800,$J$15&lt;810)),0,IF(OR(AND($J$15&gt;810,$J$15&lt;820)),81,IF(OR(AND($J$15&gt;820,$J$15&lt;830)),82,IF(OR(AND($J$15&gt;830,$J$15&lt;850)),83,IF(OR(AND($J$15&gt;850,$J$15&lt;860)),82,IF(OR(AND($J$15&gt;860,$J$15&lt;970)),83,0))))))</f>
        <v>83</v>
      </c>
      <c r="AK98" s="209"/>
      <c r="AL98" s="542"/>
      <c r="AM98" s="290"/>
      <c r="AN98" s="218" t="s">
        <v>64</v>
      </c>
      <c r="AO98" s="99" t="str">
        <f>IF(ISNA(MATCH(AJ98,$AH$16:$AH$115,0)),"",INDEX($AF$16:$AF$117,0))</f>
        <v>C21</v>
      </c>
      <c r="AP98" s="186">
        <v>1</v>
      </c>
      <c r="AQ98" s="408"/>
      <c r="AR98" s="573"/>
      <c r="AS98" s="361">
        <v>19</v>
      </c>
      <c r="AT98" s="232"/>
      <c r="AU98" s="224" t="str">
        <f>IF($AP96=$AP97,"résultat",IF($AP96&lt;$AP97,$AO96,$AO97))</f>
        <v>B21</v>
      </c>
      <c r="AV98" s="236">
        <v>1</v>
      </c>
      <c r="AW98" s="415"/>
      <c r="AX98" s="573"/>
      <c r="AY98" s="532"/>
      <c r="AZ98" s="200"/>
      <c r="BA98" s="201" t="str">
        <f>IF($AK97+$AK98=0," ",IF($AK97+$AK98=32,IF($AV98=$AV99,"résultat",IF($AV98&gt;$AV99,$AU98,$AU99)),IF($AK97+$AK98=42,IF($AV98=$AV99,"résultat",IF($AV98&gt;$AV99,$AU98,$AU99)),IF($AK97+$AK98=43,IF($AV98=$AV99,"résultat",IF($AV98&gt;$AV99,$AU98,$AU99))))))</f>
        <v>B21</v>
      </c>
      <c r="BB98" s="187">
        <v>0</v>
      </c>
      <c r="BC98" s="242"/>
      <c r="BD98" s="455">
        <v>2</v>
      </c>
      <c r="BE98" s="636"/>
      <c r="BF98" s="348" t="str">
        <f>IF($AK$97+$AK$98=42,IF($BB97=$BB98,"résultat",IF($BB97&gt;$BB98,$BA97,$BA98)),IF($AK$97+$AK$98=32,IF($BB97=$BB98,"résultat",IF($BB97&gt;$BB98,$BA97,$BA98)),0))</f>
        <v>C21</v>
      </c>
    </row>
    <row r="99" spans="30:64" ht="24.95" customHeight="1" thickBot="1">
      <c r="AD99" s="39">
        <v>84</v>
      </c>
      <c r="AE99" s="264"/>
      <c r="AF99" s="264" t="s">
        <v>233</v>
      </c>
      <c r="AG99" s="270"/>
      <c r="AH99" s="268">
        <v>84</v>
      </c>
      <c r="AJ99" s="476">
        <f>IF(Y$22+Y$21=4,84," ")</f>
        <v>84</v>
      </c>
      <c r="AK99" s="209"/>
      <c r="AL99" s="543"/>
      <c r="AM99" s="360" t="str">
        <f>IF(OR(AND(J31&gt;650,J31&lt;670)),"Off."," ")</f>
        <v xml:space="preserve"> </v>
      </c>
      <c r="AN99" s="219" t="s">
        <v>55</v>
      </c>
      <c r="AO99" s="291" t="str">
        <f>IF(ISNA(MATCH(AJ99,$AH$16:$AH$115,0)),"OFFICE",INDEX($AF$16:$AF$117,0))</f>
        <v>D21</v>
      </c>
      <c r="AP99" s="220">
        <v>0</v>
      </c>
      <c r="AQ99" s="408"/>
      <c r="AR99" s="574"/>
      <c r="AS99" s="362"/>
      <c r="AT99" s="233"/>
      <c r="AU99" s="224" t="str">
        <f>IF($AP98=$AP99,"résultat",IF($AP98&lt;$AP99,$AO98,$AO99))</f>
        <v>D21</v>
      </c>
      <c r="AV99" s="237">
        <v>0</v>
      </c>
      <c r="AW99" s="415"/>
      <c r="AX99" s="574"/>
      <c r="AY99" s="175"/>
      <c r="AZ99" s="175"/>
      <c r="BA99" s="194"/>
      <c r="BB99" s="175"/>
      <c r="BC99" s="175"/>
      <c r="BD99" s="175"/>
      <c r="BE99" s="175"/>
      <c r="BF99" s="500"/>
    </row>
    <row r="100" spans="30:64" ht="24.95" customHeight="1" thickTop="1" thickBot="1">
      <c r="AD100" s="43">
        <v>85</v>
      </c>
      <c r="AE100" s="265"/>
      <c r="AF100" s="264" t="s">
        <v>234</v>
      </c>
      <c r="AG100" s="271"/>
      <c r="AH100" s="268">
        <v>85</v>
      </c>
      <c r="AJ100" s="475">
        <f>IF(OR(AND($J$15&gt;800,$J$15&lt;850)),0,IF(OR(AND($J$15&gt;850,$J$15&lt;860)),83,IF(OR(AND($J$15&gt;860,$J$15&lt;870),AND($J$15&gt;890,$J$15&lt;900)),84,IF(OR(AND(J15&gt;870,J15&lt;890),AND($J$15&gt;900,$J$15&lt;970)),85,0))))</f>
        <v>85</v>
      </c>
      <c r="AK100" s="209"/>
      <c r="AL100" s="541">
        <v>22</v>
      </c>
      <c r="AM100" s="359">
        <v>31</v>
      </c>
      <c r="AN100" s="216" t="s">
        <v>16</v>
      </c>
      <c r="AO100" s="99" t="str">
        <f>IF(ISNA(MATCH(AJ100,$AH$16:$AH$115,0)),"",INDEX($AF$16:$AF$117,0))</f>
        <v>A22</v>
      </c>
      <c r="AP100" s="181">
        <v>1</v>
      </c>
      <c r="AQ100" s="408"/>
      <c r="AR100" s="572">
        <v>22</v>
      </c>
      <c r="AS100" s="359">
        <v>18</v>
      </c>
      <c r="AT100" s="230"/>
      <c r="AU100" s="262" t="str">
        <f>IF($AP100=$AP101,"résultat",IF($AP100&gt;$AP101,$AO100,$AO101))</f>
        <v>A22</v>
      </c>
      <c r="AV100" s="236">
        <v>1</v>
      </c>
      <c r="AW100" s="409"/>
      <c r="AX100" s="572">
        <v>22</v>
      </c>
      <c r="AY100" s="189"/>
      <c r="AZ100" s="189"/>
      <c r="BA100" s="196"/>
      <c r="BB100" s="189"/>
      <c r="BC100" s="189"/>
      <c r="BD100" s="189"/>
      <c r="BE100" s="189"/>
      <c r="BF100" s="502"/>
    </row>
    <row r="101" spans="30:64" ht="24.95" customHeight="1" thickBot="1">
      <c r="AD101" s="39">
        <v>86</v>
      </c>
      <c r="AE101" s="264"/>
      <c r="AF101" s="264" t="s">
        <v>235</v>
      </c>
      <c r="AG101" s="270"/>
      <c r="AH101" s="268">
        <v>86</v>
      </c>
      <c r="AJ101" s="478">
        <f>IF(OR(AND($J$15&gt;800,$J$15&lt;850)),0,IF(OR(AND($J$15&gt;850,$J$15&lt;860)),84,IF(OR(AND($J$15&gt;860,$J$15&lt;870),AND($J$15&gt;890,$J$15&lt;900)),85,IF(OR(AND(J15&gt;870,J15&lt;890),AND($J$15&gt;900,$J$15&lt;970)),86,0))))</f>
        <v>86</v>
      </c>
      <c r="AK101" s="209" t="str">
        <f>CONCATENATE(Z$22,Z$23)</f>
        <v>42</v>
      </c>
      <c r="AL101" s="542"/>
      <c r="AM101" s="360"/>
      <c r="AN101" s="217" t="s">
        <v>17</v>
      </c>
      <c r="AO101" s="98" t="str">
        <f>IF(ISNA(MATCH(AJ101,$AH$16:$AH$115,0)),"",INDEX($AF$16:$AF$117,0))</f>
        <v>B22</v>
      </c>
      <c r="AP101" s="184">
        <v>0</v>
      </c>
      <c r="AQ101" s="408"/>
      <c r="AR101" s="573"/>
      <c r="AS101" s="360"/>
      <c r="AT101" s="231"/>
      <c r="AU101" s="339" t="str">
        <f>IF($AP102=$AP103,"résultat",IF($AP102&gt;$AP103,$AO102,$AO103))</f>
        <v>C22</v>
      </c>
      <c r="AV101" s="237">
        <v>0</v>
      </c>
      <c r="AW101" s="415"/>
      <c r="AX101" s="573"/>
      <c r="AY101" s="531">
        <v>20</v>
      </c>
      <c r="AZ101" s="199"/>
      <c r="BA101" s="238" t="str">
        <f>IF($AK101+$AK102=0," ",IF($AK101+$AK102=32,IF($AV100=$AV101,"résultat",IF($AV100&lt;$AV101,$AU100,$AU101)),IF($AK101+$AK102=42,IF($AV100=$AV101,"résultat",IF($AV100&lt;$AV101,$AU100,$AU101)),IF($AK101+$AK102=43,IF($AV100=$AV101,"résultat",IF($AV100&lt;$AV101,$AU100,$AU101))))))</f>
        <v>C22</v>
      </c>
      <c r="BB101" s="273">
        <v>1</v>
      </c>
      <c r="BC101" s="242"/>
      <c r="BD101" s="477">
        <v>1</v>
      </c>
      <c r="BE101" s="635" t="str">
        <f>+AK101</f>
        <v>42</v>
      </c>
      <c r="BF101" s="240" t="str">
        <f>IF($AK$101+$AK$102=42,IF($AV100=$AV101,"résultat",IF($AV100&gt;$AV101,$AU100,$AU101)),IF($AK$101+$AK$102=32,IF(AV100=AV101,"résultat",IF(AV100&gt;AV101,AU100,AU101)),0))</f>
        <v>A22</v>
      </c>
      <c r="BK101" s="470"/>
    </row>
    <row r="102" spans="30:64" ht="24.95" customHeight="1" thickBot="1">
      <c r="AD102" s="43">
        <v>87</v>
      </c>
      <c r="AE102" s="265"/>
      <c r="AF102" s="264" t="s">
        <v>236</v>
      </c>
      <c r="AG102" s="271"/>
      <c r="AH102" s="268">
        <v>87</v>
      </c>
      <c r="AJ102" s="478">
        <f>IF(OR(AND($J$15&gt;800,$J$15&lt;850)),0,IF(OR(AND($J$15&gt;850,$J$15&lt;860)),85,IF(OR(AND($J$15&gt;860,$J$15&lt;870),AND($J$15&gt;890,$J$15&lt;900)),86,IF(OR(AND(J15&gt;870,J15&lt;890),AND($J$15&gt;900,$J$15&lt;970)),87,0))))</f>
        <v>87</v>
      </c>
      <c r="AK102" s="209"/>
      <c r="AL102" s="542"/>
      <c r="AM102" s="361">
        <v>32</v>
      </c>
      <c r="AN102" s="218" t="s">
        <v>64</v>
      </c>
      <c r="AO102" s="99" t="str">
        <f>IF(ISNA(MATCH(AJ102,$AH$16:$AH$115,0)),"",INDEX($AF$16:$AF$117,0))</f>
        <v>C22</v>
      </c>
      <c r="AP102" s="186">
        <v>1</v>
      </c>
      <c r="AQ102" s="408"/>
      <c r="AR102" s="573"/>
      <c r="AS102" s="361">
        <v>19</v>
      </c>
      <c r="AT102" s="232"/>
      <c r="AU102" s="224" t="str">
        <f>IF($AP100=$AP101,"résultat",IF($AP100&lt;$AP101,$AO100,$AO101))</f>
        <v>B22</v>
      </c>
      <c r="AV102" s="236">
        <v>1</v>
      </c>
      <c r="AW102" s="415"/>
      <c r="AX102" s="573"/>
      <c r="AY102" s="532"/>
      <c r="AZ102" s="200"/>
      <c r="BA102" s="201" t="str">
        <f>IF($AK101+$AK102=0," ",IF($AK101+$AK102=32,IF($AV102=$AV103,"résultat",IF($AV102&gt;$AV103,$AU102,$AU103)),IF($AK101+$AK102=42,IF($AV102=$AV103,"résultat",IF($AV102&gt;$AV103,$AU102,$AU103)),IF($AK101+$AK102=43,IF($AV102=$AV103,"résultat",IF($AV102&gt;$AV103,$AU102,$AU103))))))</f>
        <v>B22</v>
      </c>
      <c r="BB102" s="187">
        <v>0</v>
      </c>
      <c r="BC102" s="242"/>
      <c r="BD102" s="455">
        <v>2</v>
      </c>
      <c r="BE102" s="636"/>
      <c r="BF102" s="348" t="str">
        <f>IF($AK$101+$AK$102=42,IF($BB101=$BB102,"résultat",IF($BB101&gt;$BB102,$BA101,$BA102)),IF($AK$101+$AK$102=32,IF($BB101=$BB102,"résultat",IF($BB101&gt;$BB102,$BA101,$BA102)),0))</f>
        <v>C22</v>
      </c>
    </row>
    <row r="103" spans="30:64" ht="24.95" customHeight="1" thickBot="1">
      <c r="AD103" s="39">
        <v>88</v>
      </c>
      <c r="AE103" s="264"/>
      <c r="AF103" s="264" t="s">
        <v>237</v>
      </c>
      <c r="AG103" s="270"/>
      <c r="AH103" s="268">
        <v>88</v>
      </c>
      <c r="AJ103" s="476">
        <f>IF(Z$22+Z$21=4,88," ")</f>
        <v>88</v>
      </c>
      <c r="AK103" s="209"/>
      <c r="AL103" s="543"/>
      <c r="AM103" s="360"/>
      <c r="AN103" s="219" t="s">
        <v>55</v>
      </c>
      <c r="AO103" s="291" t="str">
        <f>IF(ISNA(MATCH(AJ103,$AH$16:$AH$115,0)),"OFFICE",INDEX($AF$16:$AF$117,MATCH(AJ103,$AH$16:$AH$115,0)))</f>
        <v>D22</v>
      </c>
      <c r="AP103" s="220">
        <v>0</v>
      </c>
      <c r="AQ103" s="408"/>
      <c r="AR103" s="574"/>
      <c r="AS103" s="362"/>
      <c r="AT103" s="233"/>
      <c r="AU103" s="224" t="str">
        <f>IF($AP102=$AP103,"résultat",IF($AP102&lt;$AP103,$AO102,$AO103))</f>
        <v>D22</v>
      </c>
      <c r="AV103" s="237">
        <v>0</v>
      </c>
      <c r="AW103" s="441"/>
      <c r="AX103" s="574"/>
      <c r="AY103" s="175"/>
      <c r="AZ103" s="175"/>
      <c r="BA103" s="500"/>
      <c r="BB103" s="175"/>
      <c r="BC103" s="175"/>
      <c r="BD103" s="175"/>
      <c r="BE103" s="175"/>
      <c r="BF103" s="500"/>
    </row>
    <row r="104" spans="30:64" ht="24.95" customHeight="1" thickTop="1" thickBot="1">
      <c r="AD104" s="43">
        <v>89</v>
      </c>
      <c r="AE104" s="265"/>
      <c r="AF104" s="264" t="s">
        <v>238</v>
      </c>
      <c r="AG104" s="271"/>
      <c r="AH104" s="268">
        <v>89</v>
      </c>
      <c r="AJ104" s="475">
        <f>IF(OR(AND($J$15&gt;800,$J$15&lt;810)),0,IF(OR(AND($J$15&gt;890,$J$15&lt;900)),87,IF(OR(AND($J$15&gt;900,$J$15&lt;910)),88,IF(OR(AND($J$15&gt;910,$J$15&lt;930)),89,IF(OR(AND($J$15&gt;930,$J$15&lt;940)),88,IF(OR(AND($J$15&gt;940,$J$15&lt;970)),89,0))))))</f>
        <v>89</v>
      </c>
      <c r="AK104" s="209"/>
      <c r="AL104" s="541">
        <v>23</v>
      </c>
      <c r="AM104" s="359">
        <v>29</v>
      </c>
      <c r="AN104" s="216" t="s">
        <v>16</v>
      </c>
      <c r="AO104" s="99" t="str">
        <f>IF(ISNA(MATCH(AJ104,$AH$16:$AH$115,0)),"",INDEX($AF$16:$AF$117,0))</f>
        <v>A23</v>
      </c>
      <c r="AP104" s="181">
        <v>1</v>
      </c>
      <c r="AQ104" s="408"/>
      <c r="AR104" s="572">
        <v>23</v>
      </c>
      <c r="AS104" s="359">
        <v>18</v>
      </c>
      <c r="AT104" s="230"/>
      <c r="AU104" s="262" t="str">
        <f>IF($AP104=$AP105,"résultat",IF($AP104&gt;$AP105,$AO104,$AO105))</f>
        <v>A23</v>
      </c>
      <c r="AV104" s="236">
        <v>1</v>
      </c>
      <c r="AW104" s="415"/>
      <c r="AX104" s="572">
        <v>23</v>
      </c>
      <c r="AY104" s="189"/>
      <c r="AZ104" s="189"/>
      <c r="BA104" s="196"/>
      <c r="BB104" s="189"/>
      <c r="BC104" s="189"/>
      <c r="BD104" s="189"/>
      <c r="BE104" s="189"/>
      <c r="BF104" s="502"/>
    </row>
    <row r="105" spans="30:64" ht="24.95" customHeight="1" thickBot="1">
      <c r="AD105" s="39">
        <v>90</v>
      </c>
      <c r="AE105" s="264"/>
      <c r="AF105" s="264" t="s">
        <v>239</v>
      </c>
      <c r="AG105" s="270"/>
      <c r="AH105" s="268">
        <v>90</v>
      </c>
      <c r="AJ105" s="476">
        <f>IF(OR(AND($J$15&gt;800,$J$15&lt;810)),0,IF(OR(AND($J$15&gt;890,$J$15&lt;900)),88,IF(OR(AND($J$15&gt;900,$J$15&lt;910)),89,IF(OR(AND($J$15&gt;910,$J$15&lt;930)),90,IF(OR(AND($J$15&gt;930,$J$15&lt;940)),89,IF(OR(AND($J$15&gt;940,$J$15&lt;970)),90,0))))))</f>
        <v>90</v>
      </c>
      <c r="AK105" s="209" t="str">
        <f>CONCATENATE(AA$22,AA$23)</f>
        <v>42</v>
      </c>
      <c r="AL105" s="542"/>
      <c r="AM105" s="360"/>
      <c r="AN105" s="217" t="s">
        <v>17</v>
      </c>
      <c r="AO105" s="98" t="str">
        <f>IF(ISNA(MATCH(AJ105,$AH$16:$AH$115,0)),"",INDEX($AF$16:$AF$117,0))</f>
        <v>B23</v>
      </c>
      <c r="AP105" s="184">
        <v>0</v>
      </c>
      <c r="AQ105" s="408"/>
      <c r="AR105" s="573"/>
      <c r="AS105" s="360"/>
      <c r="AT105" s="231"/>
      <c r="AU105" s="339" t="str">
        <f>IF($AP106=$AP107,"résultat",IF($AP106&gt;$AP107,$AO106,$AO107))</f>
        <v>C23</v>
      </c>
      <c r="AV105" s="237">
        <v>0</v>
      </c>
      <c r="AW105" s="415"/>
      <c r="AX105" s="573"/>
      <c r="AY105" s="531">
        <v>22</v>
      </c>
      <c r="AZ105" s="199"/>
      <c r="BA105" s="238" t="str">
        <f>IF($AK105+$AK106=0," ",IF($AK105+$AK106=32,IF($AV104=$AV105,"résultat",IF($AV104&lt;$AV105,$AU104,$AU105)),IF($AK105+$AK106=42,IF($AV104=$AV105,"résultat",IF($AV104&lt;$AV105,$AU104,$AU105)),IF($AK105+$AK106=43,IF($AV104=$AV105,"résultat",IF($AV104&lt;$AV105,$AU104,$AU105))))))</f>
        <v>C23</v>
      </c>
      <c r="BB105" s="273">
        <v>1</v>
      </c>
      <c r="BC105" s="242"/>
      <c r="BD105" s="477">
        <v>1</v>
      </c>
      <c r="BE105" s="635" t="str">
        <f>+AK105</f>
        <v>42</v>
      </c>
      <c r="BF105" s="240" t="str">
        <f>IF($AK$105+$AK$106=42,IF($AV104=$AV105,"résultat",IF($AV104&gt;$AV105,$AU104,$AU105)),IF($AK$105+$AK$106=32,IF(AV104=AV105,"résultat",IF(AV104&gt;AV105,AU104,AU105))," "))</f>
        <v>A23</v>
      </c>
    </row>
    <row r="106" spans="30:64" ht="24.95" customHeight="1" thickBot="1">
      <c r="AD106" s="43">
        <v>91</v>
      </c>
      <c r="AE106" s="265"/>
      <c r="AF106" s="264" t="s">
        <v>240</v>
      </c>
      <c r="AG106" s="271"/>
      <c r="AH106" s="268">
        <v>91</v>
      </c>
      <c r="AJ106" s="478">
        <f>IF(OR(AND($J$15&gt;800,$J$15&lt;810)),0,IF(OR(AND($J$15&gt;890,$J$15&lt;900)),89,IF(OR(AND($J$15&gt;900,$J$15&lt;910)),90,IF(OR(AND($J$15&gt;910,$J$15&lt;930)),91,IF(OR(AND($J$15&gt;930,$J$15&lt;940)),90,IF(OR(AND($J$15&gt;940,$J$15&lt;970)),91,0))))))</f>
        <v>91</v>
      </c>
      <c r="AK106" s="209"/>
      <c r="AL106" s="542"/>
      <c r="AM106" s="361">
        <v>30</v>
      </c>
      <c r="AN106" s="218" t="s">
        <v>64</v>
      </c>
      <c r="AO106" s="99" t="str">
        <f>IF(ISNA(MATCH(AJ106,$AH$16:$AH$115,0)),"",INDEX($AF$16:$AF$117,0))</f>
        <v>C23</v>
      </c>
      <c r="AP106" s="186">
        <v>1</v>
      </c>
      <c r="AQ106" s="408"/>
      <c r="AR106" s="573"/>
      <c r="AS106" s="361">
        <v>19</v>
      </c>
      <c r="AT106" s="232"/>
      <c r="AU106" s="224" t="str">
        <f>IF($AP104=$AP105,"résultat",IF($AP104&lt;$AP105,$AO104,$AO105))</f>
        <v>B23</v>
      </c>
      <c r="AV106" s="236">
        <v>1</v>
      </c>
      <c r="AW106" s="415"/>
      <c r="AX106" s="573"/>
      <c r="AY106" s="532"/>
      <c r="AZ106" s="200"/>
      <c r="BA106" s="201" t="str">
        <f>IF($AK105+$AK106=0," ",IF($AK105+$AK106=32,IF($AV106=$AV107,"résultat",IF($AV106&gt;$AV107,$AU106,$AU107)),IF($AK105+$AK106=42,IF($AV106=$AV107,"résultat",IF($AV106&gt;$AV107,$AU106,$AU107)),IF($AK105+$AK106=43,IF($AV106=$AV107,"résultat",IF($AV106&gt;$AV107,$AU106,$AU107))))))</f>
        <v>B23</v>
      </c>
      <c r="BB106" s="187">
        <v>0</v>
      </c>
      <c r="BC106" s="242"/>
      <c r="BD106" s="455">
        <v>2</v>
      </c>
      <c r="BE106" s="636"/>
      <c r="BF106" s="348" t="str">
        <f>IF($AK$105+$AK$106=42,IF($BB105=$BB106,"résultat",IF($BB105&gt;$BB106,$BA105,$BA106)),IF($AK$105+$AK$106=32,IF($BB105=$BB106,"résultat",IF($BB105&gt;$BB106,$BA105,$BA106))," "))</f>
        <v>C23</v>
      </c>
      <c r="BH106" s="243"/>
      <c r="BI106" s="243"/>
      <c r="BJ106" s="243"/>
      <c r="BK106" s="202"/>
      <c r="BL106" s="54"/>
    </row>
    <row r="107" spans="30:64" ht="24.95" customHeight="1" thickBot="1">
      <c r="AD107" s="39">
        <v>92</v>
      </c>
      <c r="AE107" s="264"/>
      <c r="AF107" s="264" t="s">
        <v>241</v>
      </c>
      <c r="AG107" s="270"/>
      <c r="AH107" s="268">
        <v>92</v>
      </c>
      <c r="AJ107" s="476">
        <f>IF(AA$22+AA$21=4,92," ")</f>
        <v>92</v>
      </c>
      <c r="AK107" s="209"/>
      <c r="AL107" s="543"/>
      <c r="AM107" s="360"/>
      <c r="AN107" s="219" t="s">
        <v>55</v>
      </c>
      <c r="AO107" s="291" t="str">
        <f>IF(ISNA(MATCH(AJ107,$AH$16:$AH$115,0)),"OFFICE",INDEX($AF$16:$AF$117,0))</f>
        <v>D23</v>
      </c>
      <c r="AP107" s="220">
        <v>0</v>
      </c>
      <c r="AQ107" s="408"/>
      <c r="AR107" s="574"/>
      <c r="AS107" s="362"/>
      <c r="AT107" s="233"/>
      <c r="AU107" s="224" t="str">
        <f>IF($AP106=$AP107,"résultat",IF($AP106&lt;$AP107,$AO106,$AO107))</f>
        <v>D23</v>
      </c>
      <c r="AV107" s="237">
        <v>0</v>
      </c>
      <c r="AW107" s="415"/>
      <c r="AX107" s="574"/>
      <c r="AY107" s="175"/>
      <c r="AZ107" s="175"/>
      <c r="BA107" s="194"/>
      <c r="BB107" s="175"/>
      <c r="BC107" s="175"/>
      <c r="BD107" s="175"/>
      <c r="BE107" s="175"/>
      <c r="BF107" s="500"/>
    </row>
    <row r="108" spans="30:64" ht="24.95" customHeight="1" thickTop="1" thickBot="1">
      <c r="AD108" s="43">
        <v>93</v>
      </c>
      <c r="AE108" s="265"/>
      <c r="AF108" s="264" t="s">
        <v>242</v>
      </c>
      <c r="AG108" s="271"/>
      <c r="AH108" s="268">
        <v>93</v>
      </c>
      <c r="AJ108" s="475">
        <f>IF(OR(AND($J$15&gt;800,$J$15&lt;810)),0,IF(OR(AND($J$15&gt;930,$J$15&lt;940)),91,IF(OR(AND($J$15&gt;940,$J$15&lt;950)),92,IF(OR(AND($J$15&gt;950,$J$15&lt;970)),93,0))))</f>
        <v>93</v>
      </c>
      <c r="AK108" s="209"/>
      <c r="AL108" s="541">
        <v>24</v>
      </c>
      <c r="AM108" s="359">
        <v>31</v>
      </c>
      <c r="AN108" s="216" t="s">
        <v>16</v>
      </c>
      <c r="AO108" s="99" t="str">
        <f>IF(ISNA(MATCH(AJ108,$AH$16:$AH$115,0)),"",INDEX($AF$16:$AF$117,0))</f>
        <v>A24</v>
      </c>
      <c r="AP108" s="181">
        <v>1</v>
      </c>
      <c r="AQ108" s="408"/>
      <c r="AR108" s="572">
        <v>24</v>
      </c>
      <c r="AS108" s="359">
        <v>18</v>
      </c>
      <c r="AT108" s="230"/>
      <c r="AU108" s="262" t="str">
        <f>IF($AP108=$AP109,"résultat",IF($AP108&gt;$AP109,$AO108,$AO109))</f>
        <v>A24</v>
      </c>
      <c r="AV108" s="236">
        <v>1</v>
      </c>
      <c r="AW108" s="409"/>
      <c r="AX108" s="572">
        <v>24</v>
      </c>
      <c r="AY108" s="189"/>
      <c r="AZ108" s="189"/>
      <c r="BA108" s="196"/>
      <c r="BB108" s="189"/>
      <c r="BC108" s="189"/>
      <c r="BD108" s="189"/>
      <c r="BE108" s="189"/>
      <c r="BF108" s="502"/>
    </row>
    <row r="109" spans="30:64" ht="24.95" customHeight="1" thickBot="1">
      <c r="AD109" s="39">
        <v>94</v>
      </c>
      <c r="AE109" s="264"/>
      <c r="AF109" s="264" t="s">
        <v>243</v>
      </c>
      <c r="AG109" s="270"/>
      <c r="AH109" s="268">
        <v>94</v>
      </c>
      <c r="AJ109" s="478">
        <f>IF(OR(AND($J$15&gt;800,$J$15&lt;810)),0,IF(OR(AND($J$15&gt;930,$J$15&lt;940)),92,IF(OR(AND($J$15&gt;940,$J$15&lt;950)),93,IF(OR(AND($J$15&gt;950,$J$15&lt;970)),94,0))))</f>
        <v>94</v>
      </c>
      <c r="AK109" s="209" t="str">
        <f>CONCATENATE(AB$22,AB$23)</f>
        <v>42</v>
      </c>
      <c r="AL109" s="542"/>
      <c r="AM109" s="360"/>
      <c r="AN109" s="217" t="s">
        <v>17</v>
      </c>
      <c r="AO109" s="98" t="str">
        <f>IF(ISNA(MATCH(AJ109,$AH$16:$AH$115,0)),"",INDEX($AF$16:$AF$117,0))</f>
        <v>B24</v>
      </c>
      <c r="AP109" s="184">
        <v>0</v>
      </c>
      <c r="AQ109" s="408"/>
      <c r="AR109" s="573"/>
      <c r="AS109" s="360"/>
      <c r="AT109" s="231"/>
      <c r="AU109" s="339" t="str">
        <f>IF($AP110=$AP111,"résultat",IF($AP110&gt;$AP111,$AO110,$AO111))</f>
        <v>C24</v>
      </c>
      <c r="AV109" s="237">
        <v>0</v>
      </c>
      <c r="AW109" s="415"/>
      <c r="AX109" s="573"/>
      <c r="AY109" s="531">
        <v>24</v>
      </c>
      <c r="AZ109" s="199"/>
      <c r="BA109" s="238" t="str">
        <f>IF($AK109+$AK110=0," ",IF($AK109+$AK110=32,IF($AV108=$AV109,"résultat",IF($AV108&lt;$AV109,$AU108,$AU109)),IF($AK109+$AK110=42,IF($AV108=$AV109,"résultat",IF($AV108&lt;$AV109,$AU108,$AU109)),IF($AK109+$AK110=43,IF($AV108=$AV109,"résultat",IF($AV108&lt;$AV109,$AU108,$AU109))))))</f>
        <v>C24</v>
      </c>
      <c r="BB109" s="273">
        <v>1</v>
      </c>
      <c r="BC109" s="242"/>
      <c r="BD109" s="477">
        <v>1</v>
      </c>
      <c r="BE109" s="635" t="str">
        <f>+AK109</f>
        <v>42</v>
      </c>
      <c r="BF109" s="240" t="str">
        <f>IF($AK$109+$AK$110=42,IF($AV108=$AV109,"résultat",IF($AV108&gt;$AV109,$AU108,$AU109)),IF($AK$109+$AK$110=32,IF(AV108=AV109,"résultat",IF(AV108&gt;AV109,AU108,AU109))," "))</f>
        <v>A24</v>
      </c>
    </row>
    <row r="110" spans="30:64" ht="24.95" customHeight="1" thickBot="1">
      <c r="AD110" s="39">
        <v>95</v>
      </c>
      <c r="AE110" s="264"/>
      <c r="AF110" s="264" t="s">
        <v>244</v>
      </c>
      <c r="AG110" s="271"/>
      <c r="AH110" s="268">
        <v>95</v>
      </c>
      <c r="AJ110" s="478">
        <f>IF(OR(AND($J$15&gt;800,$J$15&lt;810)),0,IF(OR(AND($J$15&gt;930,$J$15&lt;940)),93,IF(OR(AND($J$15&gt;940,$J$15&lt;950)),94,IF(OR(AND($J$15&gt;950,$J$15&lt;970)),95,0))))</f>
        <v>95</v>
      </c>
      <c r="AK110" s="209"/>
      <c r="AL110" s="542"/>
      <c r="AM110" s="361">
        <v>32</v>
      </c>
      <c r="AN110" s="218" t="s">
        <v>64</v>
      </c>
      <c r="AO110" s="99" t="str">
        <f>IF(ISNA(MATCH(AJ110,$AH$16:$AH$115,0)),"",INDEX($AF$16:$AF$117,0))</f>
        <v>C24</v>
      </c>
      <c r="AP110" s="186">
        <v>1</v>
      </c>
      <c r="AQ110" s="408"/>
      <c r="AR110" s="573"/>
      <c r="AS110" s="361">
        <v>19</v>
      </c>
      <c r="AT110" s="232"/>
      <c r="AU110" s="224" t="str">
        <f>IF($AP108=$AP109,"résultat",IF($AP108&lt;$AP109,$AO108,$AO109))</f>
        <v>B24</v>
      </c>
      <c r="AV110" s="236">
        <v>1</v>
      </c>
      <c r="AW110" s="415"/>
      <c r="AX110" s="573"/>
      <c r="AY110" s="532"/>
      <c r="AZ110" s="200"/>
      <c r="BA110" s="201" t="str">
        <f>IF($AK109+$AK110=0," ",IF($AK109+$AK110=32,IF($AV110=$AV111,"résultat",IF($AV110&gt;$AV111,$AU110,$AU111)),IF($AK109+$AK110=42,IF($AV110=$AV111,"résultat",IF($AV110&gt;$AV111,$AU110,$AU111)),IF($AK109+$AK110=43,IF($AV110=$AV111,"résultat",IF($AV110&gt;$AV111,$AU110,$AU111))))))</f>
        <v>B24</v>
      </c>
      <c r="BB110" s="187">
        <v>0</v>
      </c>
      <c r="BC110" s="242"/>
      <c r="BD110" s="455">
        <v>2</v>
      </c>
      <c r="BE110" s="636"/>
      <c r="BF110" s="348" t="str">
        <f>IF($AK$109+$AK$110=42,IF($BB109=$BB110,"résultat",IF($BB109&gt;$BB110,$BA109,$BA110)),IF($AK$109+$AK$110=32,IF($BB109=$BB110,"résultat",IF($BB109&gt;$BB110,$BA109,$BA110))," "))</f>
        <v>C24</v>
      </c>
    </row>
    <row r="111" spans="30:64" ht="24.95" customHeight="1" thickBot="1">
      <c r="AD111" s="336">
        <v>96</v>
      </c>
      <c r="AE111" s="266"/>
      <c r="AF111" s="266" t="s">
        <v>245</v>
      </c>
      <c r="AG111" s="337"/>
      <c r="AH111" s="338">
        <v>96</v>
      </c>
      <c r="AJ111" s="481">
        <f>IF(AB$22+AB$21=4,96," ")</f>
        <v>96</v>
      </c>
      <c r="AK111" s="209"/>
      <c r="AL111" s="543"/>
      <c r="AM111" s="295"/>
      <c r="AN111" s="292" t="s">
        <v>55</v>
      </c>
      <c r="AO111" s="291" t="str">
        <f>IF(ISNA(MATCH(AJ111,$AH$16:$AH$115,0)),"OFFICE",INDEX($AF$16:$AF$117,0))</f>
        <v>D24</v>
      </c>
      <c r="AP111" s="293">
        <v>0</v>
      </c>
      <c r="AQ111" s="441"/>
      <c r="AR111" s="574"/>
      <c r="AS111" s="295"/>
      <c r="AT111" s="340"/>
      <c r="AU111" s="341" t="str">
        <f>IF($AP110=$AP111,"résultat",IF($AP110&lt;$AP111,$AO110,$AO111))</f>
        <v>D24</v>
      </c>
      <c r="AV111" s="293">
        <v>0</v>
      </c>
      <c r="AW111" s="441"/>
      <c r="AX111" s="574"/>
      <c r="AY111" s="175"/>
      <c r="AZ111" s="175"/>
      <c r="BA111" s="175"/>
      <c r="BB111" s="175"/>
      <c r="BC111" s="175"/>
      <c r="BD111" s="175"/>
      <c r="BE111" s="175"/>
      <c r="BF111" s="175"/>
    </row>
    <row r="112" spans="30:64" ht="24.95" customHeight="1">
      <c r="AD112" s="1"/>
      <c r="AE112" s="1"/>
      <c r="AF112" s="1"/>
      <c r="AG112" s="1"/>
      <c r="AH112" s="1"/>
      <c r="BE112" s="54"/>
    </row>
    <row r="113" spans="30:54">
      <c r="AD113" s="1"/>
      <c r="AE113" s="1"/>
      <c r="AF113" s="1"/>
      <c r="AG113" s="1"/>
      <c r="AH113" s="1"/>
    </row>
    <row r="114" spans="30:54">
      <c r="AD114" s="1"/>
      <c r="AE114" s="1"/>
      <c r="AF114" s="1"/>
      <c r="AG114" s="1"/>
      <c r="AH114" s="1"/>
    </row>
    <row r="115" spans="30:54" ht="28.5">
      <c r="AD115" s="1"/>
      <c r="AE115" s="1"/>
      <c r="AF115" s="1"/>
      <c r="AG115" s="482" t="str">
        <f>IF(ISNA(MATCH(AH90,$AE$15:$AE$94,0)),"OFFICE",INDEX($AC$15:$AC$94,0))</f>
        <v>OFFICE</v>
      </c>
      <c r="AH115" s="1"/>
    </row>
    <row r="117" spans="30:54">
      <c r="AX117"/>
      <c r="AY117"/>
      <c r="AZ117"/>
      <c r="BA117"/>
      <c r="BB117"/>
    </row>
    <row r="118" spans="30:54">
      <c r="AX118"/>
      <c r="AY118"/>
      <c r="AZ118"/>
      <c r="BA118"/>
      <c r="BB118"/>
    </row>
    <row r="119" spans="30:54">
      <c r="AX119"/>
      <c r="AY119"/>
      <c r="AZ119"/>
      <c r="BA119"/>
      <c r="BB119"/>
    </row>
    <row r="120" spans="30:54">
      <c r="AX120"/>
      <c r="AY120"/>
      <c r="AZ120"/>
      <c r="BA120"/>
      <c r="BB120"/>
    </row>
    <row r="121" spans="30:54">
      <c r="AX121"/>
      <c r="AY121"/>
      <c r="AZ121"/>
      <c r="BA121"/>
      <c r="BB121"/>
    </row>
    <row r="122" spans="30:54">
      <c r="AX122"/>
      <c r="AY122"/>
      <c r="AZ122"/>
      <c r="BA122"/>
      <c r="BB122"/>
    </row>
    <row r="123" spans="30:54">
      <c r="AX123"/>
      <c r="AY123"/>
      <c r="AZ123"/>
      <c r="BA123"/>
      <c r="BB123"/>
    </row>
    <row r="124" spans="30:54">
      <c r="AX124"/>
      <c r="AY124"/>
      <c r="AZ124"/>
      <c r="BA124"/>
      <c r="BB124"/>
    </row>
    <row r="125" spans="30:54">
      <c r="AX125"/>
      <c r="AY125"/>
      <c r="AZ125"/>
      <c r="BA125"/>
      <c r="BB125"/>
    </row>
    <row r="126" spans="30:54">
      <c r="AX126"/>
      <c r="AY126"/>
      <c r="AZ126"/>
      <c r="BA126"/>
      <c r="BB126"/>
    </row>
    <row r="127" spans="30:54">
      <c r="AX127"/>
      <c r="AY127"/>
      <c r="AZ127"/>
      <c r="BA127"/>
      <c r="BB127"/>
    </row>
    <row r="128" spans="30:54">
      <c r="AX128"/>
      <c r="AY128"/>
      <c r="AZ128"/>
      <c r="BA128"/>
      <c r="BB128"/>
    </row>
    <row r="129" spans="50:54">
      <c r="AX129"/>
      <c r="AY129"/>
      <c r="AZ129"/>
      <c r="BA129"/>
      <c r="BB129"/>
    </row>
    <row r="130" spans="50:54">
      <c r="AX130"/>
      <c r="AY130"/>
      <c r="AZ130"/>
      <c r="BA130"/>
      <c r="BB130"/>
    </row>
    <row r="131" spans="50:54">
      <c r="AX131"/>
      <c r="AY131"/>
      <c r="AZ131"/>
      <c r="BA131"/>
      <c r="BB131"/>
    </row>
    <row r="132" spans="50:54">
      <c r="AX132"/>
      <c r="AY132"/>
      <c r="AZ132"/>
      <c r="BA132"/>
      <c r="BB132"/>
    </row>
    <row r="133" spans="50:54">
      <c r="AX133"/>
      <c r="AY133"/>
      <c r="AZ133"/>
      <c r="BA133"/>
      <c r="BB133"/>
    </row>
    <row r="134" spans="50:54">
      <c r="AX134"/>
      <c r="AY134"/>
      <c r="AZ134"/>
      <c r="BA134"/>
      <c r="BB134"/>
    </row>
    <row r="135" spans="50:54">
      <c r="AX135"/>
      <c r="AY135"/>
      <c r="AZ135"/>
      <c r="BA135"/>
      <c r="BB135"/>
    </row>
    <row r="136" spans="50:54">
      <c r="AX136"/>
      <c r="AY136"/>
      <c r="AZ136"/>
      <c r="BA136"/>
      <c r="BB136"/>
    </row>
    <row r="137" spans="50:54">
      <c r="AX137"/>
      <c r="AY137"/>
      <c r="AZ137"/>
      <c r="BA137"/>
      <c r="BB137"/>
    </row>
    <row r="138" spans="50:54">
      <c r="AX138"/>
      <c r="AY138"/>
      <c r="AZ138"/>
      <c r="BA138"/>
      <c r="BB138"/>
    </row>
    <row r="139" spans="50:54">
      <c r="AX139"/>
      <c r="AY139"/>
      <c r="AZ139"/>
      <c r="BA139"/>
      <c r="BB139"/>
    </row>
    <row r="140" spans="50:54">
      <c r="AX140"/>
      <c r="AY140"/>
      <c r="AZ140"/>
      <c r="BA140"/>
      <c r="BB140"/>
    </row>
    <row r="141" spans="50:54">
      <c r="AX141"/>
      <c r="AY141"/>
      <c r="AZ141"/>
      <c r="BA141"/>
      <c r="BB141"/>
    </row>
    <row r="142" spans="50:54">
      <c r="AX142"/>
      <c r="AY142"/>
      <c r="AZ142"/>
      <c r="BA142"/>
      <c r="BB142"/>
    </row>
    <row r="143" spans="50:54">
      <c r="AX143"/>
      <c r="AY143"/>
      <c r="AZ143"/>
      <c r="BA143"/>
      <c r="BB143"/>
    </row>
    <row r="144" spans="50:54">
      <c r="AX144"/>
      <c r="AY144"/>
      <c r="AZ144"/>
      <c r="BA144"/>
      <c r="BB144"/>
    </row>
    <row r="145" spans="50:54">
      <c r="AX145"/>
      <c r="AY145"/>
      <c r="AZ145"/>
      <c r="BA145"/>
      <c r="BB145"/>
    </row>
    <row r="146" spans="50:54">
      <c r="AX146"/>
      <c r="AY146"/>
      <c r="AZ146"/>
      <c r="BA146"/>
      <c r="BB146"/>
    </row>
    <row r="147" spans="50:54">
      <c r="AX147"/>
      <c r="AY147"/>
      <c r="AZ147"/>
      <c r="BA147"/>
      <c r="BB147"/>
    </row>
    <row r="148" spans="50:54">
      <c r="AX148"/>
      <c r="AY148"/>
      <c r="AZ148"/>
      <c r="BA148"/>
      <c r="BB148"/>
    </row>
    <row r="149" spans="50:54">
      <c r="AX149"/>
      <c r="AY149"/>
      <c r="AZ149"/>
      <c r="BA149"/>
      <c r="BB149"/>
    </row>
    <row r="150" spans="50:54">
      <c r="AX150"/>
      <c r="AY150"/>
      <c r="AZ150"/>
      <c r="BA150"/>
      <c r="BB150"/>
    </row>
    <row r="151" spans="50:54">
      <c r="AX151"/>
      <c r="AY151"/>
      <c r="AZ151"/>
      <c r="BA151"/>
      <c r="BB151"/>
    </row>
    <row r="152" spans="50:54">
      <c r="AX152"/>
      <c r="AY152"/>
      <c r="AZ152"/>
      <c r="BA152"/>
      <c r="BB152"/>
    </row>
    <row r="153" spans="50:54">
      <c r="AX153"/>
      <c r="AY153"/>
      <c r="AZ153"/>
      <c r="BA153"/>
      <c r="BB153"/>
    </row>
    <row r="154" spans="50:54">
      <c r="AX154"/>
      <c r="AY154"/>
      <c r="AZ154"/>
      <c r="BA154"/>
      <c r="BB154"/>
    </row>
    <row r="155" spans="50:54">
      <c r="AX155"/>
      <c r="AY155"/>
      <c r="AZ155"/>
      <c r="BA155"/>
      <c r="BB155"/>
    </row>
    <row r="156" spans="50:54">
      <c r="AX156"/>
      <c r="AY156"/>
      <c r="AZ156"/>
      <c r="BA156"/>
      <c r="BB156"/>
    </row>
    <row r="157" spans="50:54">
      <c r="AX157"/>
      <c r="AY157"/>
      <c r="AZ157"/>
      <c r="BA157"/>
      <c r="BB157"/>
    </row>
    <row r="158" spans="50:54">
      <c r="AX158"/>
      <c r="AY158"/>
      <c r="AZ158"/>
      <c r="BA158"/>
      <c r="BB158"/>
    </row>
    <row r="159" spans="50:54">
      <c r="AX159"/>
      <c r="AY159"/>
      <c r="AZ159"/>
      <c r="BA159"/>
      <c r="BB159"/>
    </row>
    <row r="160" spans="50:54">
      <c r="AX160"/>
      <c r="AY160"/>
      <c r="AZ160"/>
      <c r="BA160"/>
      <c r="BB160"/>
    </row>
    <row r="161" spans="50:54">
      <c r="AX161"/>
      <c r="AY161"/>
      <c r="AZ161"/>
      <c r="BA161"/>
      <c r="BB161"/>
    </row>
  </sheetData>
  <sheetProtection password="CFC3" sheet="1" objects="1" scenarios="1" formatCells="0" formatColumns="0" formatRows="0" insertColumns="0" insertRows="0" insertHyperlinks="0" deleteColumns="0" deleteRows="0" sort="0"/>
  <mergeCells count="407">
    <mergeCell ref="H3:I3"/>
    <mergeCell ref="J3:M3"/>
    <mergeCell ref="D3:E3"/>
    <mergeCell ref="I11:M11"/>
    <mergeCell ref="BH57:BM57"/>
    <mergeCell ref="BH58:BM58"/>
    <mergeCell ref="N11:Q11"/>
    <mergeCell ref="BN9:BR9"/>
    <mergeCell ref="BN10:BR10"/>
    <mergeCell ref="BO53:BQ53"/>
    <mergeCell ref="BO48:BQ48"/>
    <mergeCell ref="BO17:BQ17"/>
    <mergeCell ref="AR28:AR31"/>
    <mergeCell ref="AR32:AR35"/>
    <mergeCell ref="BN17:BN18"/>
    <mergeCell ref="BN22:BN23"/>
    <mergeCell ref="BN27:BN28"/>
    <mergeCell ref="BN32:BN33"/>
    <mergeCell ref="BN37:BN38"/>
    <mergeCell ref="B5:C5"/>
    <mergeCell ref="D5:F5"/>
    <mergeCell ref="H5:I5"/>
    <mergeCell ref="J5:L5"/>
    <mergeCell ref="BH47:BM47"/>
    <mergeCell ref="BH48:BM48"/>
    <mergeCell ref="A1:G1"/>
    <mergeCell ref="H1:N1"/>
    <mergeCell ref="BH92:BM92"/>
    <mergeCell ref="BH52:BM52"/>
    <mergeCell ref="BH53:BM53"/>
    <mergeCell ref="AR48:AR51"/>
    <mergeCell ref="AR52:AR55"/>
    <mergeCell ref="AR56:AR59"/>
    <mergeCell ref="AR60:AR63"/>
    <mergeCell ref="BH18:BM18"/>
    <mergeCell ref="BH22:BM22"/>
    <mergeCell ref="BH23:BM23"/>
    <mergeCell ref="AY57:AY58"/>
    <mergeCell ref="AY89:AY90"/>
    <mergeCell ref="AL14:AP14"/>
    <mergeCell ref="AR14:AV14"/>
    <mergeCell ref="AL28:AL31"/>
    <mergeCell ref="AL32:AL35"/>
    <mergeCell ref="BT72:BY72"/>
    <mergeCell ref="BT73:BV73"/>
    <mergeCell ref="BT77:BY77"/>
    <mergeCell ref="BH77:BM77"/>
    <mergeCell ref="BH78:BM78"/>
    <mergeCell ref="BH82:BM82"/>
    <mergeCell ref="BH83:BM83"/>
    <mergeCell ref="BH87:BM87"/>
    <mergeCell ref="BH88:BM88"/>
    <mergeCell ref="BX78:BY78"/>
    <mergeCell ref="BX83:BY83"/>
    <mergeCell ref="BN72:BN73"/>
    <mergeCell ref="AR88:AR91"/>
    <mergeCell ref="AR92:AR95"/>
    <mergeCell ref="AR96:AR99"/>
    <mergeCell ref="AR100:AR103"/>
    <mergeCell ref="AR104:AR107"/>
    <mergeCell ref="AR108:AR111"/>
    <mergeCell ref="BH93:BM93"/>
    <mergeCell ref="BT78:BW78"/>
    <mergeCell ref="BT82:BY82"/>
    <mergeCell ref="BT83:BW83"/>
    <mergeCell ref="BT87:BY87"/>
    <mergeCell ref="BT88:BX88"/>
    <mergeCell ref="BT92:BY92"/>
    <mergeCell ref="BT93:BX93"/>
    <mergeCell ref="BW68:BY68"/>
    <mergeCell ref="AX100:AX103"/>
    <mergeCell ref="AX104:AX107"/>
    <mergeCell ref="BE93:BE94"/>
    <mergeCell ref="BE97:BE98"/>
    <mergeCell ref="BE101:BE102"/>
    <mergeCell ref="BE105:BE106"/>
    <mergeCell ref="BE89:BE90"/>
    <mergeCell ref="BH67:BM67"/>
    <mergeCell ref="BH68:BM68"/>
    <mergeCell ref="BT67:BY67"/>
    <mergeCell ref="BT68:BV68"/>
    <mergeCell ref="BH72:BM72"/>
    <mergeCell ref="BH73:BM73"/>
    <mergeCell ref="AY69:AY70"/>
    <mergeCell ref="AY81:AY82"/>
    <mergeCell ref="AY85:AY86"/>
    <mergeCell ref="BO78:BQ78"/>
    <mergeCell ref="BO82:BQ82"/>
    <mergeCell ref="BO83:BQ83"/>
    <mergeCell ref="BO87:BQ87"/>
    <mergeCell ref="BO88:BQ88"/>
    <mergeCell ref="BO92:BQ92"/>
    <mergeCell ref="BO93:BQ93"/>
    <mergeCell ref="BH62:BM62"/>
    <mergeCell ref="AF2:AH2"/>
    <mergeCell ref="AZ8:BC8"/>
    <mergeCell ref="AZ10:BC10"/>
    <mergeCell ref="EG6:EM6"/>
    <mergeCell ref="DN19:DR19"/>
    <mergeCell ref="DN20:DR20"/>
    <mergeCell ref="DN21:DR21"/>
    <mergeCell ref="DN22:DR22"/>
    <mergeCell ref="CW5:CY5"/>
    <mergeCell ref="CG14:CK14"/>
    <mergeCell ref="DD6:DF6"/>
    <mergeCell ref="DD7:DF7"/>
    <mergeCell ref="CS14:CW14"/>
    <mergeCell ref="CY14:DC14"/>
    <mergeCell ref="CM14:CQ14"/>
    <mergeCell ref="AR16:AR19"/>
    <mergeCell ref="AR20:AR23"/>
    <mergeCell ref="BZ14:CD14"/>
    <mergeCell ref="DN23:DR23"/>
    <mergeCell ref="BH17:BM17"/>
    <mergeCell ref="CM17:CM18"/>
    <mergeCell ref="CH17:CJ17"/>
    <mergeCell ref="CG17:CG18"/>
    <mergeCell ref="CH18:CJ18"/>
    <mergeCell ref="BT18:BY18"/>
    <mergeCell ref="BZ17:BZ18"/>
    <mergeCell ref="BZ22:BZ23"/>
    <mergeCell ref="BT17:BY17"/>
    <mergeCell ref="DN24:DR24"/>
    <mergeCell ref="DE20:DI20"/>
    <mergeCell ref="CT21:CV21"/>
    <mergeCell ref="CH23:CJ23"/>
    <mergeCell ref="CZ22:DB22"/>
    <mergeCell ref="CN23:CP23"/>
    <mergeCell ref="BT22:BY22"/>
    <mergeCell ref="BT23:BY23"/>
    <mergeCell ref="DE14:DI14"/>
    <mergeCell ref="DN25:DR25"/>
    <mergeCell ref="DN26:DR26"/>
    <mergeCell ref="DL16:DR16"/>
    <mergeCell ref="DE35:DE36"/>
    <mergeCell ref="DE25:DE26"/>
    <mergeCell ref="DF25:DH25"/>
    <mergeCell ref="DF36:DH36"/>
    <mergeCell ref="CN17:CP17"/>
    <mergeCell ref="CN18:CP18"/>
    <mergeCell ref="DF35:DH35"/>
    <mergeCell ref="DE32:DI32"/>
    <mergeCell ref="CT30:CV30"/>
    <mergeCell ref="CT31:CV31"/>
    <mergeCell ref="DF26:DH26"/>
    <mergeCell ref="CN27:CP27"/>
    <mergeCell ref="CN28:CP28"/>
    <mergeCell ref="CS50:CS51"/>
    <mergeCell ref="CZ53:DB53"/>
    <mergeCell ref="CH38:CJ38"/>
    <mergeCell ref="CG37:CG38"/>
    <mergeCell ref="CN37:CP37"/>
    <mergeCell ref="BO52:BQ52"/>
    <mergeCell ref="BT38:BY38"/>
    <mergeCell ref="BO47:BQ47"/>
    <mergeCell ref="BO28:BQ28"/>
    <mergeCell ref="CZ29:DB29"/>
    <mergeCell ref="CT40:CV40"/>
    <mergeCell ref="CT50:CV50"/>
    <mergeCell ref="CT51:CV51"/>
    <mergeCell ref="BZ27:BZ28"/>
    <mergeCell ref="BZ32:BZ33"/>
    <mergeCell ref="BT33:BY33"/>
    <mergeCell ref="CY40:DI40"/>
    <mergeCell ref="CM27:CM28"/>
    <mergeCell ref="CH37:CJ37"/>
    <mergeCell ref="CH28:CJ28"/>
    <mergeCell ref="BT27:BY27"/>
    <mergeCell ref="BT28:BY28"/>
    <mergeCell ref="BT32:BY32"/>
    <mergeCell ref="DE42:DI42"/>
    <mergeCell ref="CT20:CV20"/>
    <mergeCell ref="CY22:CY23"/>
    <mergeCell ref="CH33:CJ33"/>
    <mergeCell ref="CH32:CJ32"/>
    <mergeCell ref="CG22:CG23"/>
    <mergeCell ref="CH22:CJ22"/>
    <mergeCell ref="CG27:CG28"/>
    <mergeCell ref="CH73:CJ73"/>
    <mergeCell ref="CG32:CG33"/>
    <mergeCell ref="CG57:CG58"/>
    <mergeCell ref="CN22:CP22"/>
    <mergeCell ref="CN32:CP32"/>
    <mergeCell ref="CM37:CM38"/>
    <mergeCell ref="CM32:CM33"/>
    <mergeCell ref="CH27:CJ27"/>
    <mergeCell ref="CN33:CP33"/>
    <mergeCell ref="CM22:CM23"/>
    <mergeCell ref="CS20:CS21"/>
    <mergeCell ref="CS30:CS31"/>
    <mergeCell ref="CS40:CS41"/>
    <mergeCell ref="CN38:CP38"/>
    <mergeCell ref="CH42:CJ42"/>
    <mergeCell ref="DF53:DH53"/>
    <mergeCell ref="BE109:BE110"/>
    <mergeCell ref="BH27:BM27"/>
    <mergeCell ref="BH28:BM28"/>
    <mergeCell ref="BH32:BM32"/>
    <mergeCell ref="BH33:BM33"/>
    <mergeCell ref="BT37:BY37"/>
    <mergeCell ref="BH37:BM37"/>
    <mergeCell ref="BH63:BM63"/>
    <mergeCell ref="BT52:BY52"/>
    <mergeCell ref="BT53:BY53"/>
    <mergeCell ref="BT57:BY57"/>
    <mergeCell ref="BT58:BU58"/>
    <mergeCell ref="BT62:BY62"/>
    <mergeCell ref="BT63:BU63"/>
    <mergeCell ref="BH38:BM38"/>
    <mergeCell ref="BT42:BY42"/>
    <mergeCell ref="BH42:BM42"/>
    <mergeCell ref="BH43:BM43"/>
    <mergeCell ref="BT43:BY43"/>
    <mergeCell ref="BO63:BQ63"/>
    <mergeCell ref="BO67:BQ67"/>
    <mergeCell ref="BO68:BQ68"/>
    <mergeCell ref="BO72:BQ72"/>
    <mergeCell ref="BO73:BQ73"/>
    <mergeCell ref="DF52:DH52"/>
    <mergeCell ref="DE52:DE53"/>
    <mergeCell ref="CZ52:DB52"/>
    <mergeCell ref="CH48:CJ48"/>
    <mergeCell ref="CZ23:DB23"/>
    <mergeCell ref="CA38:CC38"/>
    <mergeCell ref="CZ42:DB42"/>
    <mergeCell ref="CY45:CY46"/>
    <mergeCell ref="CZ45:DB45"/>
    <mergeCell ref="CT41:CV41"/>
    <mergeCell ref="CZ46:DB46"/>
    <mergeCell ref="CY28:CY29"/>
    <mergeCell ref="CY52:CY53"/>
    <mergeCell ref="DE50:DI50"/>
    <mergeCell ref="DE45:DE46"/>
    <mergeCell ref="DF45:DH45"/>
    <mergeCell ref="DF46:DH46"/>
    <mergeCell ref="CZ28:DB28"/>
    <mergeCell ref="CA33:CC33"/>
    <mergeCell ref="CA37:CC37"/>
    <mergeCell ref="CH43:CJ43"/>
    <mergeCell ref="CN43:CP43"/>
    <mergeCell ref="CN48:CP48"/>
    <mergeCell ref="CA32:CC32"/>
    <mergeCell ref="CG62:CG63"/>
    <mergeCell ref="CH62:CJ62"/>
    <mergeCell ref="CM47:CM48"/>
    <mergeCell ref="CN47:CP47"/>
    <mergeCell ref="CH47:CJ47"/>
    <mergeCell ref="CG42:CG43"/>
    <mergeCell ref="CH63:CJ63"/>
    <mergeCell ref="CH58:CJ58"/>
    <mergeCell ref="CG47:CG48"/>
    <mergeCell ref="CM42:CM43"/>
    <mergeCell ref="CN42:CP42"/>
    <mergeCell ref="AY93:AY94"/>
    <mergeCell ref="AY97:AY98"/>
    <mergeCell ref="AY101:AY102"/>
    <mergeCell ref="AY105:AY106"/>
    <mergeCell ref="AY109:AY110"/>
    <mergeCell ref="CH93:CJ93"/>
    <mergeCell ref="CN53:CP53"/>
    <mergeCell ref="CH92:CJ92"/>
    <mergeCell ref="CM52:CM53"/>
    <mergeCell ref="CN52:CP52"/>
    <mergeCell ref="CG52:CG53"/>
    <mergeCell ref="CH52:CJ52"/>
    <mergeCell ref="CG92:CG93"/>
    <mergeCell ref="CH53:CJ53"/>
    <mergeCell ref="CG82:CG83"/>
    <mergeCell ref="CG87:CG88"/>
    <mergeCell ref="CH87:CJ87"/>
    <mergeCell ref="CH83:CJ83"/>
    <mergeCell ref="CH88:CJ88"/>
    <mergeCell ref="CH82:CJ82"/>
    <mergeCell ref="CH77:CJ77"/>
    <mergeCell ref="CH78:CJ78"/>
    <mergeCell ref="CG77:CG78"/>
    <mergeCell ref="CG72:CG73"/>
    <mergeCell ref="CG67:CG68"/>
    <mergeCell ref="CH67:CJ67"/>
    <mergeCell ref="CH72:CJ72"/>
    <mergeCell ref="CH68:CJ68"/>
    <mergeCell ref="CH57:CJ57"/>
    <mergeCell ref="AY65:AY66"/>
    <mergeCell ref="A15:F15"/>
    <mergeCell ref="G15:H15"/>
    <mergeCell ref="J15:K16"/>
    <mergeCell ref="P15:Q16"/>
    <mergeCell ref="R15:S16"/>
    <mergeCell ref="A16:F16"/>
    <mergeCell ref="G16:H16"/>
    <mergeCell ref="C20:D20"/>
    <mergeCell ref="A22:C22"/>
    <mergeCell ref="A23:C23"/>
    <mergeCell ref="B25:D25"/>
    <mergeCell ref="AY61:AY62"/>
    <mergeCell ref="CA17:CC17"/>
    <mergeCell ref="CA18:CC18"/>
    <mergeCell ref="CA22:CC22"/>
    <mergeCell ref="CA23:CC23"/>
    <mergeCell ref="CA27:CC27"/>
    <mergeCell ref="CA28:CC28"/>
    <mergeCell ref="AL100:AL103"/>
    <mergeCell ref="AL104:AL107"/>
    <mergeCell ref="AL108:AL111"/>
    <mergeCell ref="AL96:AL99"/>
    <mergeCell ref="AX96:AX99"/>
    <mergeCell ref="AL92:AL95"/>
    <mergeCell ref="AL36:AL39"/>
    <mergeCell ref="AL40:AL43"/>
    <mergeCell ref="AL44:AL47"/>
    <mergeCell ref="AL48:AL51"/>
    <mergeCell ref="AL52:AL55"/>
    <mergeCell ref="AL56:AL59"/>
    <mergeCell ref="AX76:AX79"/>
    <mergeCell ref="AX80:AX83"/>
    <mergeCell ref="AX88:AX91"/>
    <mergeCell ref="AX84:AX87"/>
    <mergeCell ref="AX92:AX95"/>
    <mergeCell ref="AX108:AX111"/>
    <mergeCell ref="AR64:AR67"/>
    <mergeCell ref="AR68:AR71"/>
    <mergeCell ref="AR72:AR75"/>
    <mergeCell ref="AR76:AR79"/>
    <mergeCell ref="AR80:AR83"/>
    <mergeCell ref="AR84:AR87"/>
    <mergeCell ref="CA93:CC93"/>
    <mergeCell ref="BN14:BR14"/>
    <mergeCell ref="AY14:BB14"/>
    <mergeCell ref="CA72:CC72"/>
    <mergeCell ref="CA73:CC73"/>
    <mergeCell ref="CA77:CC77"/>
    <mergeCell ref="CA78:CC78"/>
    <mergeCell ref="CA82:CC82"/>
    <mergeCell ref="CA83:CC83"/>
    <mergeCell ref="CA87:CC87"/>
    <mergeCell ref="CA88:CC88"/>
    <mergeCell ref="CA42:CC42"/>
    <mergeCell ref="CA43:CC43"/>
    <mergeCell ref="CA47:CC47"/>
    <mergeCell ref="CA92:CC92"/>
    <mergeCell ref="CA48:CC48"/>
    <mergeCell ref="CA52:CC52"/>
    <mergeCell ref="CA53:CC53"/>
    <mergeCell ref="CA57:CC57"/>
    <mergeCell ref="CA58:CC58"/>
    <mergeCell ref="CA62:CC62"/>
    <mergeCell ref="CA63:CC63"/>
    <mergeCell ref="CA67:CC67"/>
    <mergeCell ref="CA68:CC68"/>
    <mergeCell ref="CA9:CA10"/>
    <mergeCell ref="AL60:AL63"/>
    <mergeCell ref="AL64:AL67"/>
    <mergeCell ref="AL68:AL71"/>
    <mergeCell ref="AL72:AL75"/>
    <mergeCell ref="AL76:AL79"/>
    <mergeCell ref="AL80:AL83"/>
    <mergeCell ref="AL84:AL87"/>
    <mergeCell ref="AL88:AL91"/>
    <mergeCell ref="BO18:BQ18"/>
    <mergeCell ref="BO22:BQ22"/>
    <mergeCell ref="BO23:BQ23"/>
    <mergeCell ref="BO27:BQ27"/>
    <mergeCell ref="AL16:AL19"/>
    <mergeCell ref="AL20:AL23"/>
    <mergeCell ref="AL24:AL27"/>
    <mergeCell ref="AR24:AR27"/>
    <mergeCell ref="BO77:BQ77"/>
    <mergeCell ref="BO32:BQ32"/>
    <mergeCell ref="BO33:BQ33"/>
    <mergeCell ref="BO37:BQ37"/>
    <mergeCell ref="BO38:BQ38"/>
    <mergeCell ref="BO42:BQ42"/>
    <mergeCell ref="BO43:BQ43"/>
    <mergeCell ref="AY77:AY78"/>
    <mergeCell ref="AY73:AY74"/>
    <mergeCell ref="AX56:AX59"/>
    <mergeCell ref="AX60:AX63"/>
    <mergeCell ref="AX64:AX67"/>
    <mergeCell ref="AX68:AX71"/>
    <mergeCell ref="AX72:AX75"/>
    <mergeCell ref="AR36:AR39"/>
    <mergeCell ref="AR40:AR43"/>
    <mergeCell ref="AR44:AR47"/>
    <mergeCell ref="BZ72:BZ73"/>
    <mergeCell ref="BN77:BN78"/>
    <mergeCell ref="BN82:BN83"/>
    <mergeCell ref="BZ82:BZ83"/>
    <mergeCell ref="BZ77:BZ78"/>
    <mergeCell ref="BZ37:BZ38"/>
    <mergeCell ref="BZ42:BZ43"/>
    <mergeCell ref="BZ47:BZ48"/>
    <mergeCell ref="BZ52:BZ53"/>
    <mergeCell ref="BZ57:BZ58"/>
    <mergeCell ref="BZ62:BZ63"/>
    <mergeCell ref="BZ67:BZ68"/>
    <mergeCell ref="BN52:BN53"/>
    <mergeCell ref="BN57:BN58"/>
    <mergeCell ref="BN62:BN63"/>
    <mergeCell ref="BN67:BN68"/>
    <mergeCell ref="BO58:BQ58"/>
    <mergeCell ref="BO62:BQ62"/>
    <mergeCell ref="BT47:BY47"/>
    <mergeCell ref="BT48:BY48"/>
    <mergeCell ref="BO57:BQ57"/>
    <mergeCell ref="BV58:BY58"/>
    <mergeCell ref="BV63:BY63"/>
    <mergeCell ref="BW73:BY73"/>
  </mergeCells>
  <conditionalFormatting sqref="AR48">
    <cfRule type="duplicateValues" dxfId="597" priority="1953"/>
  </conditionalFormatting>
  <conditionalFormatting sqref="AR52">
    <cfRule type="duplicateValues" dxfId="596" priority="1950"/>
  </conditionalFormatting>
  <conditionalFormatting sqref="AR56">
    <cfRule type="duplicateValues" dxfId="595" priority="1947"/>
  </conditionalFormatting>
  <conditionalFormatting sqref="AR60">
    <cfRule type="duplicateValues" dxfId="594" priority="1944"/>
  </conditionalFormatting>
  <conditionalFormatting sqref="AR64">
    <cfRule type="duplicateValues" dxfId="593" priority="1941"/>
  </conditionalFormatting>
  <conditionalFormatting sqref="AR68">
    <cfRule type="duplicateValues" dxfId="592" priority="1938"/>
  </conditionalFormatting>
  <conditionalFormatting sqref="AR72">
    <cfRule type="duplicateValues" dxfId="591" priority="1935"/>
  </conditionalFormatting>
  <conditionalFormatting sqref="AR76">
    <cfRule type="duplicateValues" dxfId="590" priority="1932"/>
  </conditionalFormatting>
  <conditionalFormatting sqref="AL48">
    <cfRule type="duplicateValues" dxfId="589" priority="1927"/>
  </conditionalFormatting>
  <conditionalFormatting sqref="AL52">
    <cfRule type="duplicateValues" dxfId="588" priority="1924"/>
  </conditionalFormatting>
  <conditionalFormatting sqref="AL56">
    <cfRule type="duplicateValues" dxfId="587" priority="1921"/>
  </conditionalFormatting>
  <conditionalFormatting sqref="AL60">
    <cfRule type="duplicateValues" dxfId="586" priority="1918"/>
  </conditionalFormatting>
  <conditionalFormatting sqref="AL64">
    <cfRule type="duplicateValues" dxfId="585" priority="1915"/>
  </conditionalFormatting>
  <conditionalFormatting sqref="AL68">
    <cfRule type="duplicateValues" dxfId="584" priority="1912"/>
  </conditionalFormatting>
  <conditionalFormatting sqref="AL72">
    <cfRule type="duplicateValues" dxfId="583" priority="1909"/>
  </conditionalFormatting>
  <conditionalFormatting sqref="AL76">
    <cfRule type="duplicateValues" dxfId="582" priority="1906"/>
  </conditionalFormatting>
  <conditionalFormatting sqref="AP18:AP19">
    <cfRule type="iconSet" priority="1886">
      <iconSet iconSet="3Signs">
        <cfvo type="percent" val="0"/>
        <cfvo type="percent" val="12"/>
        <cfvo type="percent" val="13" gte="0"/>
      </iconSet>
    </cfRule>
  </conditionalFormatting>
  <conditionalFormatting sqref="AP16:AP17">
    <cfRule type="iconSet" priority="1857">
      <iconSet iconSet="3Signs">
        <cfvo type="percent" val="0"/>
        <cfvo type="percent" val="12"/>
        <cfvo type="percent" val="13" gte="0"/>
      </iconSet>
    </cfRule>
  </conditionalFormatting>
  <conditionalFormatting sqref="AP20:AP21">
    <cfRule type="iconSet" priority="1856">
      <iconSet iconSet="3Signs">
        <cfvo type="percent" val="0"/>
        <cfvo type="percent" val="12"/>
        <cfvo type="percent" val="13" gte="0"/>
      </iconSet>
    </cfRule>
  </conditionalFormatting>
  <conditionalFormatting sqref="AP24:AP25">
    <cfRule type="iconSet" priority="1854">
      <iconSet iconSet="3Signs">
        <cfvo type="percent" val="0"/>
        <cfvo type="percent" val="12"/>
        <cfvo type="percent" val="13" gte="0"/>
      </iconSet>
    </cfRule>
  </conditionalFormatting>
  <conditionalFormatting sqref="AP28:AP29">
    <cfRule type="iconSet" priority="1852">
      <iconSet iconSet="3Signs">
        <cfvo type="percent" val="0"/>
        <cfvo type="percent" val="12"/>
        <cfvo type="percent" val="13" gte="0"/>
      </iconSet>
    </cfRule>
  </conditionalFormatting>
  <conditionalFormatting sqref="AP32:AP33">
    <cfRule type="iconSet" priority="1849">
      <iconSet iconSet="3Signs">
        <cfvo type="percent" val="0"/>
        <cfvo type="percent" val="12"/>
        <cfvo type="percent" val="13" gte="0"/>
      </iconSet>
    </cfRule>
  </conditionalFormatting>
  <conditionalFormatting sqref="AP36:AP37">
    <cfRule type="iconSet" priority="1846">
      <iconSet iconSet="3Signs">
        <cfvo type="percent" val="0"/>
        <cfvo type="percent" val="12"/>
        <cfvo type="percent" val="13" gte="0"/>
      </iconSet>
    </cfRule>
  </conditionalFormatting>
  <conditionalFormatting sqref="AP40:AP41">
    <cfRule type="iconSet" priority="1844">
      <iconSet iconSet="3Signs">
        <cfvo type="percent" val="0"/>
        <cfvo type="percent" val="12"/>
        <cfvo type="percent" val="13" gte="0"/>
      </iconSet>
    </cfRule>
  </conditionalFormatting>
  <conditionalFormatting sqref="AP44:AP45">
    <cfRule type="iconSet" priority="1842">
      <iconSet>
        <cfvo type="percent" val="0"/>
        <cfvo type="percent" val="12"/>
        <cfvo type="percent" val="13" gte="0"/>
      </iconSet>
    </cfRule>
  </conditionalFormatting>
  <conditionalFormatting sqref="AP48:AP49">
    <cfRule type="iconSet" priority="1840">
      <iconSet iconSet="3Signs">
        <cfvo type="percent" val="0"/>
        <cfvo type="percent" val="12"/>
        <cfvo type="percent" val="13" gte="0"/>
      </iconSet>
    </cfRule>
  </conditionalFormatting>
  <conditionalFormatting sqref="AP52:AP53">
    <cfRule type="iconSet" priority="1838">
      <iconSet iconSet="3Signs">
        <cfvo type="percent" val="0"/>
        <cfvo type="percent" val="12"/>
        <cfvo type="percent" val="13" gte="0"/>
      </iconSet>
    </cfRule>
  </conditionalFormatting>
  <conditionalFormatting sqref="AP56:AP57">
    <cfRule type="iconSet" priority="1836">
      <iconSet iconSet="3Signs">
        <cfvo type="percent" val="0"/>
        <cfvo type="percent" val="12"/>
        <cfvo type="percent" val="13" gte="0"/>
      </iconSet>
    </cfRule>
  </conditionalFormatting>
  <conditionalFormatting sqref="AP60:AP61">
    <cfRule type="iconSet" priority="1834">
      <iconSet iconSet="3Signs">
        <cfvo type="percent" val="0"/>
        <cfvo type="percent" val="12"/>
        <cfvo type="percent" val="13" gte="0"/>
      </iconSet>
    </cfRule>
  </conditionalFormatting>
  <conditionalFormatting sqref="AP64:AP65">
    <cfRule type="iconSet" priority="1832">
      <iconSet iconSet="3Signs">
        <cfvo type="percent" val="0"/>
        <cfvo type="percent" val="12"/>
        <cfvo type="percent" val="13" gte="0"/>
      </iconSet>
    </cfRule>
  </conditionalFormatting>
  <conditionalFormatting sqref="AP68:AP69">
    <cfRule type="iconSet" priority="1830">
      <iconSet iconSet="3Signs">
        <cfvo type="percent" val="0"/>
        <cfvo type="percent" val="12"/>
        <cfvo type="percent" val="13" gte="0"/>
      </iconSet>
    </cfRule>
  </conditionalFormatting>
  <conditionalFormatting sqref="AP72:AP73">
    <cfRule type="iconSet" priority="1828">
      <iconSet iconSet="3Signs">
        <cfvo type="percent" val="0"/>
        <cfvo type="percent" val="12"/>
        <cfvo type="percent" val="13" gte="0"/>
      </iconSet>
    </cfRule>
  </conditionalFormatting>
  <conditionalFormatting sqref="AP76:AP77">
    <cfRule type="iconSet" priority="1826">
      <iconSet iconSet="3Signs">
        <cfvo type="percent" val="0"/>
        <cfvo type="percent" val="12"/>
        <cfvo type="percent" val="13" gte="0"/>
      </iconSet>
    </cfRule>
  </conditionalFormatting>
  <conditionalFormatting sqref="CK22:CK24">
    <cfRule type="iconSet" priority="1608">
      <iconSet iconSet="3Signs">
        <cfvo type="percent" val="0"/>
        <cfvo type="percent" val="12"/>
        <cfvo type="percent" val="13" gte="0"/>
      </iconSet>
    </cfRule>
  </conditionalFormatting>
  <conditionalFormatting sqref="CQ17:CQ19">
    <cfRule type="duplicateValues" dxfId="581" priority="1301"/>
    <cfRule type="iconSet" priority="1302">
      <iconSet>
        <cfvo type="percent" val="0"/>
        <cfvo type="percent" val="12"/>
        <cfvo type="percent" val="13"/>
      </iconSet>
    </cfRule>
  </conditionalFormatting>
  <conditionalFormatting sqref="CQ22:CQ24">
    <cfRule type="duplicateValues" dxfId="580" priority="1299"/>
    <cfRule type="iconSet" priority="1300">
      <iconSet>
        <cfvo type="percent" val="0"/>
        <cfvo type="percent" val="12"/>
        <cfvo type="percent" val="13"/>
      </iconSet>
    </cfRule>
  </conditionalFormatting>
  <conditionalFormatting sqref="CQ52:CQ54">
    <cfRule type="duplicateValues" dxfId="579" priority="1297"/>
    <cfRule type="iconSet" priority="1298">
      <iconSet>
        <cfvo type="percent" val="0"/>
        <cfvo type="percent" val="12"/>
        <cfvo type="percent" val="13"/>
      </iconSet>
    </cfRule>
  </conditionalFormatting>
  <conditionalFormatting sqref="CQ27:CQ30">
    <cfRule type="duplicateValues" dxfId="578" priority="1295"/>
    <cfRule type="iconSet" priority="1296">
      <iconSet>
        <cfvo type="percent" val="0"/>
        <cfvo type="percent" val="12"/>
        <cfvo type="percent" val="13"/>
      </iconSet>
    </cfRule>
  </conditionalFormatting>
  <conditionalFormatting sqref="CQ32:CQ35">
    <cfRule type="duplicateValues" dxfId="577" priority="1293"/>
    <cfRule type="iconSet" priority="1294">
      <iconSet>
        <cfvo type="percent" val="0"/>
        <cfvo type="percent" val="12"/>
        <cfvo type="percent" val="13"/>
      </iconSet>
    </cfRule>
  </conditionalFormatting>
  <conditionalFormatting sqref="CQ37:CQ40">
    <cfRule type="duplicateValues" dxfId="576" priority="1291"/>
    <cfRule type="iconSet" priority="1292">
      <iconSet>
        <cfvo type="percent" val="0"/>
        <cfvo type="percent" val="12"/>
        <cfvo type="percent" val="13"/>
      </iconSet>
    </cfRule>
  </conditionalFormatting>
  <conditionalFormatting sqref="CQ42:CQ45">
    <cfRule type="duplicateValues" dxfId="575" priority="1289"/>
    <cfRule type="iconSet" priority="1290">
      <iconSet>
        <cfvo type="percent" val="0"/>
        <cfvo type="percent" val="12"/>
        <cfvo type="percent" val="13"/>
      </iconSet>
    </cfRule>
  </conditionalFormatting>
  <conditionalFormatting sqref="CQ47:CQ50">
    <cfRule type="duplicateValues" dxfId="574" priority="1287"/>
    <cfRule type="iconSet" priority="1288">
      <iconSet>
        <cfvo type="percent" val="0"/>
        <cfvo type="percent" val="12"/>
        <cfvo type="percent" val="13"/>
      </iconSet>
    </cfRule>
  </conditionalFormatting>
  <conditionalFormatting sqref="AP22:AP23">
    <cfRule type="iconSet" priority="1279">
      <iconSet iconSet="3Signs">
        <cfvo type="percent" val="0"/>
        <cfvo type="percent" val="12"/>
        <cfvo type="percent" val="13" gte="0"/>
      </iconSet>
    </cfRule>
  </conditionalFormatting>
  <conditionalFormatting sqref="AP26:AP27">
    <cfRule type="iconSet" priority="1277">
      <iconSet iconSet="3Signs">
        <cfvo type="percent" val="0"/>
        <cfvo type="percent" val="12"/>
        <cfvo type="percent" val="13" gte="0"/>
      </iconSet>
    </cfRule>
  </conditionalFormatting>
  <conditionalFormatting sqref="AP30:AP31">
    <cfRule type="iconSet" priority="1273">
      <iconSet iconSet="3Signs">
        <cfvo type="percent" val="0"/>
        <cfvo type="percent" val="12"/>
        <cfvo type="percent" val="13" gte="0"/>
      </iconSet>
    </cfRule>
  </conditionalFormatting>
  <conditionalFormatting sqref="AP34:AP35">
    <cfRule type="iconSet" priority="1271">
      <iconSet iconSet="3Signs">
        <cfvo type="percent" val="0"/>
        <cfvo type="percent" val="12"/>
        <cfvo type="percent" val="13" gte="0"/>
      </iconSet>
    </cfRule>
  </conditionalFormatting>
  <conditionalFormatting sqref="AP38:AP39">
    <cfRule type="iconSet" priority="1267">
      <iconSet iconSet="3Signs">
        <cfvo type="percent" val="0"/>
        <cfvo type="percent" val="12"/>
        <cfvo type="percent" val="13" gte="0"/>
      </iconSet>
    </cfRule>
  </conditionalFormatting>
  <conditionalFormatting sqref="AP42:AP43">
    <cfRule type="iconSet" priority="1265">
      <iconSet iconSet="3Signs">
        <cfvo type="percent" val="0"/>
        <cfvo type="percent" val="12"/>
        <cfvo type="percent" val="13" gte="0"/>
      </iconSet>
    </cfRule>
  </conditionalFormatting>
  <conditionalFormatting sqref="AP44:AP45">
    <cfRule type="iconSet" priority="1263">
      <iconSet iconSet="3Signs">
        <cfvo type="percent" val="0"/>
        <cfvo type="percent" val="12"/>
        <cfvo type="percent" val="13" gte="0"/>
      </iconSet>
    </cfRule>
  </conditionalFormatting>
  <conditionalFormatting sqref="AP46:AP47">
    <cfRule type="iconSet" priority="1261">
      <iconSet iconSet="3Signs">
        <cfvo type="percent" val="0"/>
        <cfvo type="percent" val="12"/>
        <cfvo type="percent" val="13" gte="0"/>
      </iconSet>
    </cfRule>
  </conditionalFormatting>
  <conditionalFormatting sqref="AP50:AP51">
    <cfRule type="iconSet" priority="1259">
      <iconSet iconSet="3Signs">
        <cfvo type="percent" val="0"/>
        <cfvo type="percent" val="12"/>
        <cfvo type="percent" val="13" gte="0"/>
      </iconSet>
    </cfRule>
  </conditionalFormatting>
  <conditionalFormatting sqref="AP54:AP55">
    <cfRule type="iconSet" priority="1255">
      <iconSet iconSet="3Signs">
        <cfvo type="percent" val="0"/>
        <cfvo type="percent" val="12"/>
        <cfvo type="percent" val="13" gte="0"/>
      </iconSet>
    </cfRule>
  </conditionalFormatting>
  <conditionalFormatting sqref="AP58:AP59">
    <cfRule type="iconSet" priority="1253">
      <iconSet iconSet="3Signs">
        <cfvo type="percent" val="0"/>
        <cfvo type="percent" val="12"/>
        <cfvo type="percent" val="13" gte="0"/>
      </iconSet>
    </cfRule>
  </conditionalFormatting>
  <conditionalFormatting sqref="AP62:AP63">
    <cfRule type="iconSet" priority="1249">
      <iconSet iconSet="3Signs">
        <cfvo type="percent" val="0"/>
        <cfvo type="percent" val="12"/>
        <cfvo type="percent" val="13" gte="0"/>
      </iconSet>
    </cfRule>
  </conditionalFormatting>
  <conditionalFormatting sqref="AP66:AP67">
    <cfRule type="iconSet" priority="1247">
      <iconSet iconSet="3Signs">
        <cfvo type="percent" val="0"/>
        <cfvo type="percent" val="12"/>
        <cfvo type="percent" val="13" gte="0"/>
      </iconSet>
    </cfRule>
  </conditionalFormatting>
  <conditionalFormatting sqref="AP70:AP71">
    <cfRule type="iconSet" priority="1243">
      <iconSet iconSet="3Signs">
        <cfvo type="percent" val="0"/>
        <cfvo type="percent" val="12"/>
        <cfvo type="percent" val="13" gte="0"/>
      </iconSet>
    </cfRule>
  </conditionalFormatting>
  <conditionalFormatting sqref="AP74:AP75">
    <cfRule type="iconSet" priority="1241">
      <iconSet iconSet="3Signs">
        <cfvo type="percent" val="0"/>
        <cfvo type="percent" val="12"/>
        <cfvo type="percent" val="13" gte="0"/>
      </iconSet>
    </cfRule>
  </conditionalFormatting>
  <conditionalFormatting sqref="AP78:AP79">
    <cfRule type="iconSet" priority="1237">
      <iconSet iconSet="3Signs">
        <cfvo type="percent" val="0"/>
        <cfvo type="percent" val="12"/>
        <cfvo type="percent" val="13" gte="0"/>
      </iconSet>
    </cfRule>
  </conditionalFormatting>
  <conditionalFormatting sqref="AV18:AV19">
    <cfRule type="iconSet" priority="2152">
      <iconSet iconSet="3Signs">
        <cfvo type="percent" val="0"/>
        <cfvo type="percent" val="12"/>
        <cfvo type="percent" val="13" gte="0"/>
      </iconSet>
    </cfRule>
  </conditionalFormatting>
  <conditionalFormatting sqref="AV22:AV23">
    <cfRule type="iconSet" priority="1234">
      <iconSet iconSet="3Signs">
        <cfvo type="percent" val="0"/>
        <cfvo type="percent" val="12"/>
        <cfvo type="percent" val="13" gte="0"/>
      </iconSet>
    </cfRule>
  </conditionalFormatting>
  <conditionalFormatting sqref="AV26:AV27">
    <cfRule type="iconSet" priority="1232">
      <iconSet iconSet="3Signs">
        <cfvo type="percent" val="0"/>
        <cfvo type="percent" val="12"/>
        <cfvo type="percent" val="13" gte="0"/>
      </iconSet>
    </cfRule>
  </conditionalFormatting>
  <conditionalFormatting sqref="AV30:AV31">
    <cfRule type="iconSet" priority="1230">
      <iconSet iconSet="3Signs">
        <cfvo type="percent" val="0"/>
        <cfvo type="percent" val="12"/>
        <cfvo type="percent" val="13" gte="0"/>
      </iconSet>
    </cfRule>
  </conditionalFormatting>
  <conditionalFormatting sqref="AV34:AV35">
    <cfRule type="iconSet" priority="1228">
      <iconSet iconSet="3Signs">
        <cfvo type="percent" val="0"/>
        <cfvo type="percent" val="12"/>
        <cfvo type="percent" val="13" gte="0"/>
      </iconSet>
    </cfRule>
  </conditionalFormatting>
  <conditionalFormatting sqref="AV38:AV39">
    <cfRule type="iconSet" priority="1226">
      <iconSet iconSet="3Signs">
        <cfvo type="percent" val="0"/>
        <cfvo type="percent" val="12"/>
        <cfvo type="percent" val="13" gte="0"/>
      </iconSet>
    </cfRule>
  </conditionalFormatting>
  <conditionalFormatting sqref="AV42:AV43">
    <cfRule type="iconSet" priority="1224">
      <iconSet iconSet="3Signs">
        <cfvo type="percent" val="0"/>
        <cfvo type="percent" val="12"/>
        <cfvo type="percent" val="13" gte="0"/>
      </iconSet>
    </cfRule>
  </conditionalFormatting>
  <conditionalFormatting sqref="AV46:AV47">
    <cfRule type="iconSet" priority="1222">
      <iconSet iconSet="3Signs">
        <cfvo type="percent" val="0"/>
        <cfvo type="percent" val="12"/>
        <cfvo type="percent" val="13" gte="0"/>
      </iconSet>
    </cfRule>
  </conditionalFormatting>
  <conditionalFormatting sqref="AV50:AV51">
    <cfRule type="iconSet" priority="1220">
      <iconSet iconSet="3Signs">
        <cfvo type="percent" val="0"/>
        <cfvo type="percent" val="12"/>
        <cfvo type="percent" val="13" gte="0"/>
      </iconSet>
    </cfRule>
  </conditionalFormatting>
  <conditionalFormatting sqref="AV54:AV55">
    <cfRule type="iconSet" priority="1219">
      <iconSet iconSet="3Signs">
        <cfvo type="percent" val="0"/>
        <cfvo type="percent" val="12"/>
        <cfvo type="percent" val="13" gte="0"/>
      </iconSet>
    </cfRule>
  </conditionalFormatting>
  <conditionalFormatting sqref="AV58:AV59">
    <cfRule type="iconSet" priority="1218">
      <iconSet iconSet="3Signs">
        <cfvo type="percent" val="0"/>
        <cfvo type="percent" val="12"/>
        <cfvo type="percent" val="13" gte="0"/>
      </iconSet>
    </cfRule>
  </conditionalFormatting>
  <conditionalFormatting sqref="AV62:AV63">
    <cfRule type="iconSet" priority="1217">
      <iconSet iconSet="3Signs">
        <cfvo type="percent" val="0"/>
        <cfvo type="percent" val="12"/>
        <cfvo type="percent" val="13" gte="0"/>
      </iconSet>
    </cfRule>
  </conditionalFormatting>
  <conditionalFormatting sqref="AV66:AV67">
    <cfRule type="iconSet" priority="1216">
      <iconSet iconSet="3Signs">
        <cfvo type="percent" val="0"/>
        <cfvo type="percent" val="12"/>
        <cfvo type="percent" val="13" gte="0"/>
      </iconSet>
    </cfRule>
  </conditionalFormatting>
  <conditionalFormatting sqref="AV70:AV71">
    <cfRule type="iconSet" priority="1215">
      <iconSet iconSet="3Signs">
        <cfvo type="percent" val="0"/>
        <cfvo type="percent" val="12"/>
        <cfvo type="percent" val="13" gte="0"/>
      </iconSet>
    </cfRule>
  </conditionalFormatting>
  <conditionalFormatting sqref="AV74:AV75">
    <cfRule type="iconSet" priority="1214">
      <iconSet iconSet="3Signs">
        <cfvo type="percent" val="0"/>
        <cfvo type="percent" val="12"/>
        <cfvo type="percent" val="13" gte="0"/>
      </iconSet>
    </cfRule>
  </conditionalFormatting>
  <conditionalFormatting sqref="AV78:AV79">
    <cfRule type="iconSet" priority="1213">
      <iconSet iconSet="3Signs">
        <cfvo type="percent" val="0"/>
        <cfvo type="percent" val="12"/>
        <cfvo type="percent" val="13" gte="0"/>
      </iconSet>
    </cfRule>
  </conditionalFormatting>
  <conditionalFormatting sqref="AV20:AV21">
    <cfRule type="iconSet" priority="1163">
      <iconSet iconSet="3Signs">
        <cfvo type="percent" val="0"/>
        <cfvo type="percent" val="12"/>
        <cfvo type="percent" val="13" gte="0"/>
      </iconSet>
    </cfRule>
  </conditionalFormatting>
  <conditionalFormatting sqref="AV24:AV25">
    <cfRule type="iconSet" priority="1162">
      <iconSet iconSet="3Signs">
        <cfvo type="percent" val="0"/>
        <cfvo type="percent" val="12"/>
        <cfvo type="percent" val="13" gte="0"/>
      </iconSet>
    </cfRule>
  </conditionalFormatting>
  <conditionalFormatting sqref="AV28:AV29">
    <cfRule type="iconSet" priority="1161">
      <iconSet iconSet="3Signs">
        <cfvo type="percent" val="0"/>
        <cfvo type="percent" val="12"/>
        <cfvo type="percent" val="13" gte="0"/>
      </iconSet>
    </cfRule>
  </conditionalFormatting>
  <conditionalFormatting sqref="AV32:AV33">
    <cfRule type="iconSet" priority="1160">
      <iconSet iconSet="3Signs">
        <cfvo type="percent" val="0"/>
        <cfvo type="percent" val="12"/>
        <cfvo type="percent" val="13" gte="0"/>
      </iconSet>
    </cfRule>
  </conditionalFormatting>
  <conditionalFormatting sqref="AV36:AV37">
    <cfRule type="iconSet" priority="1159">
      <iconSet iconSet="3Signs">
        <cfvo type="percent" val="0"/>
        <cfvo type="percent" val="12"/>
        <cfvo type="percent" val="13" gte="0"/>
      </iconSet>
    </cfRule>
  </conditionalFormatting>
  <conditionalFormatting sqref="AV40:AV41">
    <cfRule type="iconSet" priority="1158">
      <iconSet iconSet="3Signs">
        <cfvo type="percent" val="0"/>
        <cfvo type="percent" val="12"/>
        <cfvo type="percent" val="13" gte="0"/>
      </iconSet>
    </cfRule>
  </conditionalFormatting>
  <conditionalFormatting sqref="AV44:AV45">
    <cfRule type="iconSet" priority="1157">
      <iconSet iconSet="3Signs">
        <cfvo type="percent" val="0"/>
        <cfvo type="percent" val="12"/>
        <cfvo type="percent" val="13" gte="0"/>
      </iconSet>
    </cfRule>
  </conditionalFormatting>
  <conditionalFormatting sqref="AV48:AV49">
    <cfRule type="iconSet" priority="1156">
      <iconSet iconSet="3Signs">
        <cfvo type="percent" val="0"/>
        <cfvo type="percent" val="12"/>
        <cfvo type="percent" val="13" gte="0"/>
      </iconSet>
    </cfRule>
  </conditionalFormatting>
  <conditionalFormatting sqref="AV52:AV53">
    <cfRule type="iconSet" priority="1155">
      <iconSet iconSet="3Signs">
        <cfvo type="percent" val="0"/>
        <cfvo type="percent" val="12"/>
        <cfvo type="percent" val="13" gte="0"/>
      </iconSet>
    </cfRule>
  </conditionalFormatting>
  <conditionalFormatting sqref="AV56:AV57">
    <cfRule type="iconSet" priority="1154">
      <iconSet iconSet="3Signs">
        <cfvo type="percent" val="0"/>
        <cfvo type="percent" val="12"/>
        <cfvo type="percent" val="13" gte="0"/>
      </iconSet>
    </cfRule>
  </conditionalFormatting>
  <conditionalFormatting sqref="AV60:AV61">
    <cfRule type="iconSet" priority="1153">
      <iconSet iconSet="3Signs">
        <cfvo type="percent" val="0"/>
        <cfvo type="percent" val="12"/>
        <cfvo type="percent" val="13" gte="0"/>
      </iconSet>
    </cfRule>
  </conditionalFormatting>
  <conditionalFormatting sqref="AV64:AV65">
    <cfRule type="iconSet" priority="1152">
      <iconSet iconSet="3Signs">
        <cfvo type="percent" val="0"/>
        <cfvo type="percent" val="12"/>
        <cfvo type="percent" val="13" gte="0"/>
      </iconSet>
    </cfRule>
  </conditionalFormatting>
  <conditionalFormatting sqref="AV68:AV69">
    <cfRule type="iconSet" priority="1151">
      <iconSet iconSet="3Signs">
        <cfvo type="percent" val="0"/>
        <cfvo type="percent" val="12"/>
        <cfvo type="percent" val="13" gte="0"/>
      </iconSet>
    </cfRule>
  </conditionalFormatting>
  <conditionalFormatting sqref="AV72:AV73">
    <cfRule type="iconSet" priority="1150">
      <iconSet iconSet="3Signs">
        <cfvo type="percent" val="0"/>
        <cfvo type="percent" val="12"/>
        <cfvo type="percent" val="13" gte="0"/>
      </iconSet>
    </cfRule>
  </conditionalFormatting>
  <conditionalFormatting sqref="AV76:AV77">
    <cfRule type="iconSet" priority="1149">
      <iconSet iconSet="3Signs">
        <cfvo type="percent" val="0"/>
        <cfvo type="percent" val="12"/>
        <cfvo type="percent" val="13" gte="0"/>
      </iconSet>
    </cfRule>
  </conditionalFormatting>
  <conditionalFormatting sqref="CN17:CP53">
    <cfRule type="duplicateValues" dxfId="573" priority="665"/>
  </conditionalFormatting>
  <conditionalFormatting sqref="DN20:DR20">
    <cfRule type="expression" dxfId="572" priority="661">
      <formula>(OR(EK7=9,EK7=8,EK7=7,EK7=6,EK7=5,EK7=4,EK7=3,EK7=2))</formula>
    </cfRule>
  </conditionalFormatting>
  <conditionalFormatting sqref="DN19:DR19">
    <cfRule type="expression" dxfId="571" priority="654">
      <formula>(OR(EK7=9,EK7=8,EK7=7,EK7=6,EK7=5,EK7=4,EK7=3,EK7=2,EK7=1))</formula>
    </cfRule>
  </conditionalFormatting>
  <conditionalFormatting sqref="DN22">
    <cfRule type="expression" dxfId="570" priority="652">
      <formula>(OR(EK7=9,EK7=8,EK7=7,EK7=6,EK7=5,EK7=4))</formula>
    </cfRule>
  </conditionalFormatting>
  <conditionalFormatting sqref="DN23">
    <cfRule type="expression" dxfId="569" priority="651">
      <formula>(OR(EK7=9,EK7=8,EK7=7,EK7=6,EK7=5))</formula>
    </cfRule>
  </conditionalFormatting>
  <conditionalFormatting sqref="DN24">
    <cfRule type="expression" dxfId="568" priority="650">
      <formula>(OR(EK7=9,EK7=8,EK7=7,EK7=6))</formula>
    </cfRule>
  </conditionalFormatting>
  <conditionalFormatting sqref="DN25">
    <cfRule type="expression" dxfId="567" priority="649">
      <formula>(OR(EK7=9,EK7=8,EK7=7))</formula>
    </cfRule>
  </conditionalFormatting>
  <conditionalFormatting sqref="DN26">
    <cfRule type="expression" dxfId="566" priority="648">
      <formula>(OR(EK7=9,EK7=8))</formula>
    </cfRule>
  </conditionalFormatting>
  <conditionalFormatting sqref="DN21:DR21">
    <cfRule type="expression" dxfId="565" priority="647">
      <formula>-(OR(EK7=9,EK7=8,EK7=7,EK7=6,EK7=5,EK7=4,EK7=3))</formula>
    </cfRule>
  </conditionalFormatting>
  <conditionalFormatting sqref="DL19:DL26">
    <cfRule type="expression" dxfId="564" priority="646">
      <formula>"SI(OU(AG3=9;AG3=8;AG3=7;AG3=6;AG3=5;AG3=4;AG3=3;AG3=2))"</formula>
    </cfRule>
  </conditionalFormatting>
  <conditionalFormatting sqref="DL19">
    <cfRule type="expression" dxfId="563" priority="645">
      <formula>(OR(#REF!=9,#REF!=8,#REF!=7,#REF!=6,#REF!=5,#REF!=4,#REF!=3,#REF!=2,#REF!=1))</formula>
    </cfRule>
  </conditionalFormatting>
  <conditionalFormatting sqref="DL20">
    <cfRule type="expression" dxfId="562" priority="644">
      <formula>(OR(#REF!=9,#REF!=8,#REF!=7,#REF!=6,#REF!=5,#REF!=4,#REF!=3,#REF!=2))</formula>
    </cfRule>
  </conditionalFormatting>
  <conditionalFormatting sqref="DL21">
    <cfRule type="expression" dxfId="561" priority="643">
      <formula>(OR(#REF!=9,#REF!=8,#REF!=7,#REF!=6,#REF!=5,#REF!=4,#REF!=3))</formula>
    </cfRule>
  </conditionalFormatting>
  <conditionalFormatting sqref="DL22">
    <cfRule type="expression" dxfId="560" priority="642">
      <formula>(OR(#REF!=9,#REF!=8,#REF!=7,#REF!=6,#REF!=5,#REF!=4))</formula>
    </cfRule>
  </conditionalFormatting>
  <conditionalFormatting sqref="DL23">
    <cfRule type="expression" dxfId="559" priority="641">
      <formula>(OR(#REF!=9,#REF!=8,#REF!=7,#REF!=6,#REF!=5))</formula>
    </cfRule>
  </conditionalFormatting>
  <conditionalFormatting sqref="DL24">
    <cfRule type="expression" dxfId="558" priority="640">
      <formula>(OR(#REF!=9,#REF!=8,#REF!=7,#REF!=6))</formula>
    </cfRule>
  </conditionalFormatting>
  <conditionalFormatting sqref="DL25">
    <cfRule type="expression" dxfId="557" priority="639">
      <formula>(OR(#REF!=9,#REF!=8,#REF!=7))</formula>
    </cfRule>
  </conditionalFormatting>
  <conditionalFormatting sqref="DL26">
    <cfRule type="expression" dxfId="556" priority="638">
      <formula>(OR(#REF!=9,#REF!=8))</formula>
    </cfRule>
  </conditionalFormatting>
  <conditionalFormatting sqref="CT20:CT52 CV20:CV52 CU20:CU27 CU29:CU37 CU39:CU47 CU49:CU52">
    <cfRule type="duplicateValues" dxfId="555" priority="4913"/>
  </conditionalFormatting>
  <conditionalFormatting sqref="BB57:BB58">
    <cfRule type="iconSet" priority="595">
      <iconSet iconSet="3Signs">
        <cfvo type="percent" val="0"/>
        <cfvo type="percent" val="12"/>
        <cfvo type="percent" val="13" gte="0"/>
      </iconSet>
    </cfRule>
  </conditionalFormatting>
  <conditionalFormatting sqref="BB61:BB62">
    <cfRule type="iconSet" priority="594">
      <iconSet iconSet="3Signs">
        <cfvo type="percent" val="0"/>
        <cfvo type="percent" val="12"/>
        <cfvo type="percent" val="13" gte="0"/>
      </iconSet>
    </cfRule>
  </conditionalFormatting>
  <conditionalFormatting sqref="BB65:BB66">
    <cfRule type="iconSet" priority="593">
      <iconSet iconSet="3Signs">
        <cfvo type="percent" val="0"/>
        <cfvo type="percent" val="12"/>
        <cfvo type="percent" val="13" gte="0"/>
      </iconSet>
    </cfRule>
  </conditionalFormatting>
  <conditionalFormatting sqref="BB69:BB70">
    <cfRule type="iconSet" priority="592">
      <iconSet iconSet="3Signs">
        <cfvo type="percent" val="0"/>
        <cfvo type="percent" val="12"/>
        <cfvo type="percent" val="13" gte="0"/>
      </iconSet>
    </cfRule>
  </conditionalFormatting>
  <conditionalFormatting sqref="BB73:BB74 BB81:BB82 BB89:BB90 BB97:BB98 BB105:BB106">
    <cfRule type="iconSet" priority="591">
      <iconSet iconSet="3Signs">
        <cfvo type="percent" val="0"/>
        <cfvo type="percent" val="12"/>
        <cfvo type="percent" val="13" gte="0"/>
      </iconSet>
    </cfRule>
  </conditionalFormatting>
  <conditionalFormatting sqref="BB77:BB78 BB85:BB86 BB93:BB94 BB101:BB102 BB109:BB110">
    <cfRule type="iconSet" priority="590">
      <iconSet iconSet="3Signs">
        <cfvo type="percent" val="0"/>
        <cfvo type="percent" val="12"/>
        <cfvo type="percent" val="13" gte="0"/>
      </iconSet>
    </cfRule>
  </conditionalFormatting>
  <conditionalFormatting sqref="CK17:CK18">
    <cfRule type="iconSet" priority="589">
      <iconSet iconSet="3Signs">
        <cfvo type="percent" val="0"/>
        <cfvo type="percent" val="12"/>
        <cfvo type="percent" val="13" gte="0"/>
      </iconSet>
    </cfRule>
  </conditionalFormatting>
  <conditionalFormatting sqref="CK27:CK28">
    <cfRule type="iconSet" priority="587">
      <iconSet iconSet="3Signs">
        <cfvo type="percent" val="0"/>
        <cfvo type="percent" val="12"/>
        <cfvo type="percent" val="13" gte="0"/>
      </iconSet>
    </cfRule>
  </conditionalFormatting>
  <conditionalFormatting sqref="CK32:CK33">
    <cfRule type="iconSet" priority="586">
      <iconSet iconSet="3Signs">
        <cfvo type="percent" val="0"/>
        <cfvo type="percent" val="12"/>
        <cfvo type="percent" val="13" gte="0"/>
      </iconSet>
    </cfRule>
  </conditionalFormatting>
  <conditionalFormatting sqref="CK57:CK58">
    <cfRule type="iconSet" priority="585">
      <iconSet iconSet="3Signs">
        <cfvo type="percent" val="0"/>
        <cfvo type="percent" val="12"/>
        <cfvo type="percent" val="13" gte="0"/>
      </iconSet>
    </cfRule>
  </conditionalFormatting>
  <conditionalFormatting sqref="CK62:CK63">
    <cfRule type="iconSet" priority="584">
      <iconSet iconSet="3Signs">
        <cfvo type="percent" val="0"/>
        <cfvo type="percent" val="12"/>
        <cfvo type="percent" val="13" gte="0"/>
      </iconSet>
    </cfRule>
  </conditionalFormatting>
  <conditionalFormatting sqref="CK67:CK68">
    <cfRule type="iconSet" priority="583">
      <iconSet iconSet="3Signs">
        <cfvo type="percent" val="0"/>
        <cfvo type="percent" val="12"/>
        <cfvo type="percent" val="13" gte="0"/>
      </iconSet>
    </cfRule>
  </conditionalFormatting>
  <conditionalFormatting sqref="CK72:CK73">
    <cfRule type="iconSet" priority="582">
      <iconSet iconSet="3Signs">
        <cfvo type="percent" val="0"/>
        <cfvo type="percent" val="12"/>
        <cfvo type="percent" val="13" gte="0"/>
      </iconSet>
    </cfRule>
  </conditionalFormatting>
  <conditionalFormatting sqref="CK77:CK78">
    <cfRule type="iconSet" priority="581">
      <iconSet iconSet="3Signs">
        <cfvo type="percent" val="0"/>
        <cfvo type="percent" val="12"/>
        <cfvo type="percent" val="13" gte="0"/>
      </iconSet>
    </cfRule>
  </conditionalFormatting>
  <conditionalFormatting sqref="CK37:CK38">
    <cfRule type="iconSet" priority="580">
      <iconSet iconSet="3Signs">
        <cfvo type="percent" val="0"/>
        <cfvo type="percent" val="12"/>
        <cfvo type="percent" val="13" gte="0"/>
      </iconSet>
    </cfRule>
  </conditionalFormatting>
  <conditionalFormatting sqref="CQ17:CQ18">
    <cfRule type="iconSet" priority="579">
      <iconSet iconSet="3Signs">
        <cfvo type="percent" val="0"/>
        <cfvo type="percent" val="12"/>
        <cfvo type="percent" val="13" gte="0"/>
      </iconSet>
    </cfRule>
  </conditionalFormatting>
  <conditionalFormatting sqref="CQ22:CQ23">
    <cfRule type="iconSet" priority="578">
      <iconSet iconSet="3Signs">
        <cfvo type="percent" val="0"/>
        <cfvo type="percent" val="12"/>
        <cfvo type="percent" val="13" gte="0"/>
      </iconSet>
    </cfRule>
  </conditionalFormatting>
  <conditionalFormatting sqref="CQ27:CQ28">
    <cfRule type="iconSet" priority="577">
      <iconSet iconSet="3Signs">
        <cfvo type="percent" val="0"/>
        <cfvo type="percent" val="12"/>
        <cfvo type="percent" val="13" gte="0"/>
      </iconSet>
    </cfRule>
  </conditionalFormatting>
  <conditionalFormatting sqref="CQ32:CQ33">
    <cfRule type="iconSet" priority="576">
      <iconSet iconSet="3Signs">
        <cfvo type="percent" val="0"/>
        <cfvo type="percent" val="12"/>
        <cfvo type="percent" val="13" gte="0"/>
      </iconSet>
    </cfRule>
  </conditionalFormatting>
  <conditionalFormatting sqref="CQ37:CQ38">
    <cfRule type="iconSet" priority="575">
      <iconSet iconSet="3Signs">
        <cfvo type="percent" val="0"/>
        <cfvo type="percent" val="12"/>
        <cfvo type="percent" val="13" gte="0"/>
      </iconSet>
    </cfRule>
  </conditionalFormatting>
  <conditionalFormatting sqref="CW20:CW21">
    <cfRule type="iconSet" priority="574">
      <iconSet iconSet="3Signs">
        <cfvo type="percent" val="0"/>
        <cfvo type="percent" val="12"/>
        <cfvo type="percent" val="13" gte="0"/>
      </iconSet>
    </cfRule>
  </conditionalFormatting>
  <conditionalFormatting sqref="CW30:CW31">
    <cfRule type="iconSet" priority="573">
      <iconSet iconSet="3Signs">
        <cfvo type="percent" val="0"/>
        <cfvo type="percent" val="12"/>
        <cfvo type="percent" val="13" gte="0"/>
      </iconSet>
    </cfRule>
  </conditionalFormatting>
  <conditionalFormatting sqref="CW40:CW41">
    <cfRule type="iconSet" priority="572">
      <iconSet iconSet="3Signs">
        <cfvo type="percent" val="0"/>
        <cfvo type="percent" val="12"/>
        <cfvo type="percent" val="13" gte="0"/>
      </iconSet>
    </cfRule>
  </conditionalFormatting>
  <conditionalFormatting sqref="CK42:CK43">
    <cfRule type="iconSet" priority="488">
      <iconSet iconSet="3Signs">
        <cfvo type="percent" val="0"/>
        <cfvo type="percent" val="12"/>
        <cfvo type="percent" val="13" gte="0"/>
      </iconSet>
    </cfRule>
  </conditionalFormatting>
  <conditionalFormatting sqref="CK47:CK48">
    <cfRule type="iconSet" priority="485">
      <iconSet iconSet="3Signs">
        <cfvo type="percent" val="0"/>
        <cfvo type="percent" val="12"/>
        <cfvo type="percent" val="13" gte="0"/>
      </iconSet>
    </cfRule>
  </conditionalFormatting>
  <conditionalFormatting sqref="CK52:CK53">
    <cfRule type="iconSet" priority="482">
      <iconSet iconSet="3Signs">
        <cfvo type="percent" val="0"/>
        <cfvo type="percent" val="12"/>
        <cfvo type="percent" val="13" gte="0"/>
      </iconSet>
    </cfRule>
  </conditionalFormatting>
  <conditionalFormatting sqref="CK82:CK83">
    <cfRule type="iconSet" priority="467">
      <iconSet iconSet="3Signs">
        <cfvo type="percent" val="0"/>
        <cfvo type="percent" val="12"/>
        <cfvo type="percent" val="13" gte="0"/>
      </iconSet>
    </cfRule>
  </conditionalFormatting>
  <conditionalFormatting sqref="CK87:CK88">
    <cfRule type="iconSet" priority="464">
      <iconSet iconSet="3Signs">
        <cfvo type="percent" val="0"/>
        <cfvo type="percent" val="12"/>
        <cfvo type="percent" val="13" gte="0"/>
      </iconSet>
    </cfRule>
  </conditionalFormatting>
  <conditionalFormatting sqref="CK92:CK93">
    <cfRule type="iconSet" priority="461">
      <iconSet iconSet="3Signs">
        <cfvo type="percent" val="0"/>
        <cfvo type="percent" val="12"/>
        <cfvo type="percent" val="13" gte="0"/>
      </iconSet>
    </cfRule>
  </conditionalFormatting>
  <conditionalFormatting sqref="CQ22:CQ23">
    <cfRule type="duplicateValues" dxfId="554" priority="457"/>
    <cfRule type="iconSet" priority="458">
      <iconSet iconSet="3Signs">
        <cfvo type="percent" val="0"/>
        <cfvo type="percent" val="12"/>
        <cfvo type="percent" val="13" gte="0"/>
      </iconSet>
    </cfRule>
  </conditionalFormatting>
  <conditionalFormatting sqref="CQ27:CQ28">
    <cfRule type="duplicateValues" dxfId="553" priority="454"/>
    <cfRule type="iconSet" priority="455">
      <iconSet iconSet="3Signs">
        <cfvo type="percent" val="0"/>
        <cfvo type="percent" val="12"/>
        <cfvo type="percent" val="13" gte="0"/>
      </iconSet>
    </cfRule>
  </conditionalFormatting>
  <conditionalFormatting sqref="CQ32:CQ33">
    <cfRule type="duplicateValues" dxfId="552" priority="451"/>
    <cfRule type="iconSet" priority="452">
      <iconSet iconSet="3Signs">
        <cfvo type="percent" val="0"/>
        <cfvo type="percent" val="12"/>
        <cfvo type="percent" val="13" gte="0"/>
      </iconSet>
    </cfRule>
  </conditionalFormatting>
  <conditionalFormatting sqref="CQ37:CQ38">
    <cfRule type="duplicateValues" dxfId="551" priority="448"/>
    <cfRule type="iconSet" priority="449">
      <iconSet iconSet="3Signs">
        <cfvo type="percent" val="0"/>
        <cfvo type="percent" val="12"/>
        <cfvo type="percent" val="13" gte="0"/>
      </iconSet>
    </cfRule>
  </conditionalFormatting>
  <conditionalFormatting sqref="CQ42:CQ43">
    <cfRule type="duplicateValues" dxfId="550" priority="445"/>
    <cfRule type="iconSet" priority="446">
      <iconSet iconSet="3Signs">
        <cfvo type="percent" val="0"/>
        <cfvo type="percent" val="12"/>
        <cfvo type="percent" val="13" gte="0"/>
      </iconSet>
    </cfRule>
  </conditionalFormatting>
  <conditionalFormatting sqref="CQ42:CQ43">
    <cfRule type="iconSet" priority="444">
      <iconSet iconSet="3Signs">
        <cfvo type="percent" val="0"/>
        <cfvo type="percent" val="12"/>
        <cfvo type="percent" val="13" gte="0"/>
      </iconSet>
    </cfRule>
  </conditionalFormatting>
  <conditionalFormatting sqref="CQ47:CQ48">
    <cfRule type="duplicateValues" dxfId="549" priority="442"/>
    <cfRule type="iconSet" priority="443">
      <iconSet iconSet="3Signs">
        <cfvo type="percent" val="0"/>
        <cfvo type="percent" val="12"/>
        <cfvo type="percent" val="13" gte="0"/>
      </iconSet>
    </cfRule>
  </conditionalFormatting>
  <conditionalFormatting sqref="CQ47:CQ48">
    <cfRule type="iconSet" priority="441">
      <iconSet iconSet="3Signs">
        <cfvo type="percent" val="0"/>
        <cfvo type="percent" val="12"/>
        <cfvo type="percent" val="13" gte="0"/>
      </iconSet>
    </cfRule>
  </conditionalFormatting>
  <conditionalFormatting sqref="CQ52:CQ53">
    <cfRule type="duplicateValues" dxfId="548" priority="439"/>
    <cfRule type="iconSet" priority="440">
      <iconSet iconSet="3Signs">
        <cfvo type="percent" val="0"/>
        <cfvo type="percent" val="12"/>
        <cfvo type="percent" val="13" gte="0"/>
      </iconSet>
    </cfRule>
  </conditionalFormatting>
  <conditionalFormatting sqref="CQ52:CQ53">
    <cfRule type="iconSet" priority="438">
      <iconSet iconSet="3Signs">
        <cfvo type="percent" val="0"/>
        <cfvo type="percent" val="12"/>
        <cfvo type="percent" val="13" gte="0"/>
      </iconSet>
    </cfRule>
  </conditionalFormatting>
  <conditionalFormatting sqref="CW50:CW51">
    <cfRule type="iconSet" priority="428">
      <iconSet iconSet="3Signs">
        <cfvo type="percent" val="0"/>
        <cfvo type="percent" val="12"/>
        <cfvo type="percent" val="13" gte="0"/>
      </iconSet>
    </cfRule>
  </conditionalFormatting>
  <conditionalFormatting sqref="DC22:DC23">
    <cfRule type="iconSet" priority="425">
      <iconSet iconSet="3Signs">
        <cfvo type="percent" val="0"/>
        <cfvo type="percent" val="12"/>
        <cfvo type="percent" val="13" gte="0"/>
      </iconSet>
    </cfRule>
  </conditionalFormatting>
  <conditionalFormatting sqref="DC28:DC29">
    <cfRule type="iconSet" priority="422">
      <iconSet iconSet="3Signs">
        <cfvo type="percent" val="0"/>
        <cfvo type="percent" val="12"/>
        <cfvo type="percent" val="13" gte="0"/>
      </iconSet>
    </cfRule>
  </conditionalFormatting>
  <conditionalFormatting sqref="DI25:DI26">
    <cfRule type="iconSet" priority="419">
      <iconSet iconSet="3Signs">
        <cfvo type="percent" val="0"/>
        <cfvo type="percent" val="12"/>
        <cfvo type="percent" val="13" gte="0"/>
      </iconSet>
    </cfRule>
  </conditionalFormatting>
  <conditionalFormatting sqref="DI35:DI36">
    <cfRule type="iconSet" priority="416">
      <iconSet iconSet="3Signs">
        <cfvo type="percent" val="0"/>
        <cfvo type="percent" val="12"/>
        <cfvo type="percent" val="13" gte="0"/>
      </iconSet>
    </cfRule>
  </conditionalFormatting>
  <conditionalFormatting sqref="DC45:DC46">
    <cfRule type="iconSet" priority="411">
      <iconSet iconSet="3Signs">
        <cfvo type="percent" val="0"/>
        <cfvo type="percent" val="12"/>
        <cfvo type="percent" val="13" gte="0"/>
      </iconSet>
    </cfRule>
  </conditionalFormatting>
  <conditionalFormatting sqref="DC52:DC53">
    <cfRule type="iconSet" priority="410">
      <iconSet iconSet="3Signs">
        <cfvo type="percent" val="0"/>
        <cfvo type="percent" val="12"/>
        <cfvo type="percent" val="13" gte="0"/>
      </iconSet>
    </cfRule>
  </conditionalFormatting>
  <conditionalFormatting sqref="DI45:DI46">
    <cfRule type="iconSet" priority="407">
      <iconSet iconSet="3Signs">
        <cfvo type="percent" val="0"/>
        <cfvo type="percent" val="12"/>
        <cfvo type="percent" val="13" gte="0"/>
      </iconSet>
    </cfRule>
  </conditionalFormatting>
  <conditionalFormatting sqref="DI52:DI53">
    <cfRule type="iconSet" priority="404">
      <iconSet iconSet="3Signs">
        <cfvo type="percent" val="0"/>
        <cfvo type="percent" val="12"/>
        <cfvo type="percent" val="13" gte="0"/>
      </iconSet>
    </cfRule>
  </conditionalFormatting>
  <conditionalFormatting sqref="CQ17:CQ18">
    <cfRule type="duplicateValues" dxfId="547" priority="392"/>
    <cfRule type="iconSet" priority="393">
      <iconSet>
        <cfvo type="percent" val="0"/>
        <cfvo type="percent" val="12"/>
        <cfvo type="percent" val="13"/>
      </iconSet>
    </cfRule>
  </conditionalFormatting>
  <conditionalFormatting sqref="CQ17:CQ18">
    <cfRule type="duplicateValues" dxfId="546" priority="389"/>
    <cfRule type="iconSet" priority="390">
      <iconSet iconSet="3Signs">
        <cfvo type="percent" val="0"/>
        <cfvo type="percent" val="12"/>
        <cfvo type="percent" val="13" gte="0"/>
      </iconSet>
    </cfRule>
  </conditionalFormatting>
  <conditionalFormatting sqref="CD27:CD29">
    <cfRule type="iconSet" priority="327">
      <iconSet iconSet="3Signs">
        <cfvo type="percent" val="0"/>
        <cfvo type="percent" val="12"/>
        <cfvo type="percent" val="13" gte="0"/>
      </iconSet>
    </cfRule>
  </conditionalFormatting>
  <conditionalFormatting sqref="CD42:CD43">
    <cfRule type="iconSet" priority="326">
      <iconSet iconSet="3Signs">
        <cfvo type="percent" val="0"/>
        <cfvo type="percent" val="12"/>
        <cfvo type="percent" val="13" gte="0"/>
      </iconSet>
    </cfRule>
  </conditionalFormatting>
  <conditionalFormatting sqref="CD57:CD58">
    <cfRule type="iconSet" priority="325">
      <iconSet iconSet="3Signs">
        <cfvo type="percent" val="0"/>
        <cfvo type="percent" val="12"/>
        <cfvo type="percent" val="13" gte="0"/>
      </iconSet>
    </cfRule>
  </conditionalFormatting>
  <conditionalFormatting sqref="CD72:CD73">
    <cfRule type="iconSet" priority="324">
      <iconSet iconSet="3Signs">
        <cfvo type="percent" val="0"/>
        <cfvo type="percent" val="12"/>
        <cfvo type="percent" val="13" gte="0"/>
      </iconSet>
    </cfRule>
  </conditionalFormatting>
  <conditionalFormatting sqref="CD17:CD19">
    <cfRule type="iconSet" priority="323">
      <iconSet iconSet="3Signs">
        <cfvo type="percent" val="0"/>
        <cfvo type="percent" val="12"/>
        <cfvo type="percent" val="13" gte="0"/>
      </iconSet>
    </cfRule>
  </conditionalFormatting>
  <conditionalFormatting sqref="CD32:CD34">
    <cfRule type="iconSet" priority="322">
      <iconSet iconSet="3Signs">
        <cfvo type="percent" val="0"/>
        <cfvo type="percent" val="12"/>
        <cfvo type="percent" val="13" gte="0"/>
      </iconSet>
    </cfRule>
  </conditionalFormatting>
  <conditionalFormatting sqref="CD47:CD48">
    <cfRule type="iconSet" priority="321">
      <iconSet iconSet="3Signs">
        <cfvo type="percent" val="0"/>
        <cfvo type="percent" val="12"/>
        <cfvo type="percent" val="13" gte="0"/>
      </iconSet>
    </cfRule>
  </conditionalFormatting>
  <conditionalFormatting sqref="CD22:CD24">
    <cfRule type="iconSet" priority="320">
      <iconSet iconSet="3Signs">
        <cfvo type="percent" val="0"/>
        <cfvo type="percent" val="12"/>
        <cfvo type="percent" val="13" gte="0"/>
      </iconSet>
    </cfRule>
  </conditionalFormatting>
  <conditionalFormatting sqref="CD62:CD63">
    <cfRule type="iconSet" priority="319">
      <iconSet iconSet="3Signs">
        <cfvo type="percent" val="0"/>
        <cfvo type="percent" val="12"/>
        <cfvo type="percent" val="13" gte="0"/>
      </iconSet>
    </cfRule>
  </conditionalFormatting>
  <conditionalFormatting sqref="CD77:CD78">
    <cfRule type="iconSet" priority="318">
      <iconSet iconSet="3Signs">
        <cfvo type="percent" val="0"/>
        <cfvo type="percent" val="12"/>
        <cfvo type="percent" val="13" gte="0"/>
      </iconSet>
    </cfRule>
  </conditionalFormatting>
  <conditionalFormatting sqref="CD67:CD68">
    <cfRule type="iconSet" priority="317">
      <iconSet iconSet="3Signs">
        <cfvo type="percent" val="0"/>
        <cfvo type="percent" val="12"/>
        <cfvo type="percent" val="13" gte="0"/>
      </iconSet>
    </cfRule>
  </conditionalFormatting>
  <conditionalFormatting sqref="CD87:CD88">
    <cfRule type="iconSet" priority="316">
      <iconSet iconSet="3Signs">
        <cfvo type="percent" val="0"/>
        <cfvo type="percent" val="12"/>
        <cfvo type="percent" val="13" gte="0"/>
      </iconSet>
    </cfRule>
  </conditionalFormatting>
  <conditionalFormatting sqref="CD92:CD93">
    <cfRule type="iconSet" priority="315">
      <iconSet iconSet="3Signs">
        <cfvo type="percent" val="0"/>
        <cfvo type="percent" val="12"/>
        <cfvo type="percent" val="13" gte="0"/>
      </iconSet>
    </cfRule>
  </conditionalFormatting>
  <conditionalFormatting sqref="CD37:CD38">
    <cfRule type="iconSet" priority="313">
      <iconSet iconSet="3Signs">
        <cfvo type="percent" val="0"/>
        <cfvo type="percent" val="12"/>
        <cfvo type="percent" val="13" gte="0"/>
      </iconSet>
    </cfRule>
  </conditionalFormatting>
  <conditionalFormatting sqref="CD82:CD83">
    <cfRule type="iconSet" priority="312">
      <iconSet iconSet="3Signs">
        <cfvo type="percent" val="0"/>
        <cfvo type="percent" val="12"/>
        <cfvo type="percent" val="13" gte="0"/>
      </iconSet>
    </cfRule>
  </conditionalFormatting>
  <conditionalFormatting sqref="CD52:CD53">
    <cfRule type="iconSet" priority="311">
      <iconSet iconSet="3Signs">
        <cfvo type="percent" val="0"/>
        <cfvo type="percent" val="12"/>
        <cfvo type="percent" val="13" gte="0"/>
      </iconSet>
    </cfRule>
  </conditionalFormatting>
  <conditionalFormatting sqref="AL80">
    <cfRule type="duplicateValues" dxfId="545" priority="310"/>
  </conditionalFormatting>
  <conditionalFormatting sqref="AL84">
    <cfRule type="duplicateValues" dxfId="544" priority="307"/>
  </conditionalFormatting>
  <conditionalFormatting sqref="AP80:AP81">
    <cfRule type="iconSet" priority="304">
      <iconSet iconSet="3Signs">
        <cfvo type="percent" val="0"/>
        <cfvo type="percent" val="12"/>
        <cfvo type="percent" val="13" gte="0"/>
      </iconSet>
    </cfRule>
  </conditionalFormatting>
  <conditionalFormatting sqref="AP84:AP85">
    <cfRule type="iconSet" priority="302">
      <iconSet iconSet="3Signs">
        <cfvo type="percent" val="0"/>
        <cfvo type="percent" val="12"/>
        <cfvo type="percent" val="13" gte="0"/>
      </iconSet>
    </cfRule>
  </conditionalFormatting>
  <conditionalFormatting sqref="AP82:AP83">
    <cfRule type="iconSet" priority="300">
      <iconSet iconSet="3Signs">
        <cfvo type="percent" val="0"/>
        <cfvo type="percent" val="12"/>
        <cfvo type="percent" val="13" gte="0"/>
      </iconSet>
    </cfRule>
  </conditionalFormatting>
  <conditionalFormatting sqref="AP86:AP87">
    <cfRule type="iconSet" priority="299">
      <iconSet iconSet="3Signs">
        <cfvo type="percent" val="0"/>
        <cfvo type="percent" val="12"/>
        <cfvo type="percent" val="13" gte="0"/>
      </iconSet>
    </cfRule>
  </conditionalFormatting>
  <conditionalFormatting sqref="AL88">
    <cfRule type="duplicateValues" dxfId="543" priority="293"/>
  </conditionalFormatting>
  <conditionalFormatting sqref="AL92">
    <cfRule type="duplicateValues" dxfId="542" priority="290"/>
  </conditionalFormatting>
  <conditionalFormatting sqref="AP88:AP89">
    <cfRule type="iconSet" priority="287">
      <iconSet iconSet="3Signs">
        <cfvo type="percent" val="0"/>
        <cfvo type="percent" val="12"/>
        <cfvo type="percent" val="13" gte="0"/>
      </iconSet>
    </cfRule>
  </conditionalFormatting>
  <conditionalFormatting sqref="AP92:AP93">
    <cfRule type="iconSet" priority="285">
      <iconSet iconSet="3Signs">
        <cfvo type="percent" val="0"/>
        <cfvo type="percent" val="12"/>
        <cfvo type="percent" val="13" gte="0"/>
      </iconSet>
    </cfRule>
  </conditionalFormatting>
  <conditionalFormatting sqref="AP90:AP91">
    <cfRule type="iconSet" priority="283">
      <iconSet iconSet="3Signs">
        <cfvo type="percent" val="0"/>
        <cfvo type="percent" val="12"/>
        <cfvo type="percent" val="13" gte="0"/>
      </iconSet>
    </cfRule>
  </conditionalFormatting>
  <conditionalFormatting sqref="AP94:AP95">
    <cfRule type="iconSet" priority="282">
      <iconSet iconSet="3Signs">
        <cfvo type="percent" val="0"/>
        <cfvo type="percent" val="12"/>
        <cfvo type="percent" val="13" gte="0"/>
      </iconSet>
    </cfRule>
  </conditionalFormatting>
  <conditionalFormatting sqref="AN75:AO75">
    <cfRule type="expression" dxfId="541" priority="275">
      <formula>OR($AM$75="Off.")</formula>
    </cfRule>
  </conditionalFormatting>
  <conditionalFormatting sqref="AV16:AV17">
    <cfRule type="iconSet" priority="7690">
      <iconSet iconSet="3Signs">
        <cfvo type="percent" val="0"/>
        <cfvo type="percent" val="12"/>
        <cfvo type="percent" val="13" gte="0"/>
      </iconSet>
    </cfRule>
  </conditionalFormatting>
  <conditionalFormatting sqref="AP30:AP31">
    <cfRule type="iconSet" priority="7796">
      <iconSet iconSet="3Signs">
        <cfvo type="percent" val="0"/>
        <cfvo type="percent" val="12"/>
        <cfvo type="percent" val="13" gte="0"/>
      </iconSet>
    </cfRule>
    <cfRule type="iconSet" priority="7797">
      <iconSet iconSet="3Signs">
        <cfvo type="percent" val="0"/>
        <cfvo type="percent" val="12"/>
        <cfvo type="percent" val="13" gte="0"/>
      </iconSet>
    </cfRule>
  </conditionalFormatting>
  <conditionalFormatting sqref="AP34:AP35">
    <cfRule type="iconSet" priority="8320">
      <iconSet iconSet="3Signs">
        <cfvo type="percent" val="0"/>
        <cfvo type="percent" val="12"/>
        <cfvo type="percent" val="13" gte="0"/>
      </iconSet>
    </cfRule>
    <cfRule type="iconSet" priority="8321">
      <iconSet iconSet="3Signs">
        <cfvo type="percent" val="0"/>
        <cfvo type="percent" val="12"/>
        <cfvo type="percent" val="13"/>
      </iconSet>
    </cfRule>
  </conditionalFormatting>
  <conditionalFormatting sqref="AL96">
    <cfRule type="duplicateValues" dxfId="540" priority="271"/>
  </conditionalFormatting>
  <conditionalFormatting sqref="AL100">
    <cfRule type="duplicateValues" dxfId="539" priority="270"/>
  </conditionalFormatting>
  <conditionalFormatting sqref="AP96:AP97">
    <cfRule type="iconSet" priority="269">
      <iconSet iconSet="3Signs">
        <cfvo type="percent" val="0"/>
        <cfvo type="percent" val="12"/>
        <cfvo type="percent" val="13" gte="0"/>
      </iconSet>
    </cfRule>
  </conditionalFormatting>
  <conditionalFormatting sqref="AP100:AP101">
    <cfRule type="iconSet" priority="268">
      <iconSet iconSet="3Signs">
        <cfvo type="percent" val="0"/>
        <cfvo type="percent" val="12"/>
        <cfvo type="percent" val="13" gte="0"/>
      </iconSet>
    </cfRule>
  </conditionalFormatting>
  <conditionalFormatting sqref="AP98:AP99">
    <cfRule type="iconSet" priority="267">
      <iconSet iconSet="3Signs">
        <cfvo type="percent" val="0"/>
        <cfvo type="percent" val="12"/>
        <cfvo type="percent" val="13" gte="0"/>
      </iconSet>
    </cfRule>
  </conditionalFormatting>
  <conditionalFormatting sqref="AP102:AP103">
    <cfRule type="iconSet" priority="266">
      <iconSet iconSet="3Signs">
        <cfvo type="percent" val="0"/>
        <cfvo type="percent" val="12"/>
        <cfvo type="percent" val="13" gte="0"/>
      </iconSet>
    </cfRule>
  </conditionalFormatting>
  <conditionalFormatting sqref="AL104">
    <cfRule type="duplicateValues" dxfId="538" priority="265"/>
  </conditionalFormatting>
  <conditionalFormatting sqref="AL108">
    <cfRule type="duplicateValues" dxfId="537" priority="264"/>
  </conditionalFormatting>
  <conditionalFormatting sqref="AP104:AP105">
    <cfRule type="iconSet" priority="263">
      <iconSet iconSet="3Signs">
        <cfvo type="percent" val="0"/>
        <cfvo type="percent" val="12"/>
        <cfvo type="percent" val="13" gte="0"/>
      </iconSet>
    </cfRule>
  </conditionalFormatting>
  <conditionalFormatting sqref="AP108:AP109">
    <cfRule type="iconSet" priority="262">
      <iconSet iconSet="3Signs">
        <cfvo type="percent" val="0"/>
        <cfvo type="percent" val="12"/>
        <cfvo type="percent" val="13" gte="0"/>
      </iconSet>
    </cfRule>
  </conditionalFormatting>
  <conditionalFormatting sqref="AP106:AP107">
    <cfRule type="iconSet" priority="261">
      <iconSet iconSet="3Signs">
        <cfvo type="percent" val="0"/>
        <cfvo type="percent" val="12"/>
        <cfvo type="percent" val="13" gte="0"/>
      </iconSet>
    </cfRule>
  </conditionalFormatting>
  <conditionalFormatting sqref="AP110:AP111">
    <cfRule type="iconSet" priority="260">
      <iconSet iconSet="3Signs">
        <cfvo type="percent" val="0"/>
        <cfvo type="percent" val="12"/>
        <cfvo type="percent" val="13" gte="0"/>
      </iconSet>
    </cfRule>
  </conditionalFormatting>
  <conditionalFormatting sqref="AJ16:AJ111">
    <cfRule type="duplicateValues" dxfId="536" priority="229"/>
  </conditionalFormatting>
  <conditionalFormatting sqref="E22:AB23">
    <cfRule type="cellIs" dxfId="535" priority="227" operator="equal">
      <formula>0</formula>
    </cfRule>
  </conditionalFormatting>
  <conditionalFormatting sqref="BF9">
    <cfRule type="expression" dxfId="534" priority="226" stopIfTrue="1">
      <formula>(OR(EK1048558="1",EK1048558="2",EK1048558="3"))</formula>
    </cfRule>
  </conditionalFormatting>
  <conditionalFormatting sqref="BF7:BF12">
    <cfRule type="expression" dxfId="533" priority="225">
      <formula>(OR(EK1048555="2",EK1048555="3"))</formula>
    </cfRule>
  </conditionalFormatting>
  <conditionalFormatting sqref="BF7:BF12">
    <cfRule type="expression" dxfId="532" priority="224" stopIfTrue="1">
      <formula>(OR(EK1048555="1",EK1048555="2",EK1048555="3"))</formula>
    </cfRule>
  </conditionalFormatting>
  <conditionalFormatting sqref="BF7:BF12">
    <cfRule type="expression" dxfId="531" priority="223">
      <formula>(OR(EK1048554="2",EK1048554="3"))</formula>
    </cfRule>
  </conditionalFormatting>
  <conditionalFormatting sqref="BF11">
    <cfRule type="expression" dxfId="530" priority="222" stopIfTrue="1">
      <formula>(OR(EK1048561="1",EK1048561="2",EK1048561="3"))</formula>
    </cfRule>
  </conditionalFormatting>
  <conditionalFormatting sqref="BF12">
    <cfRule type="expression" dxfId="529" priority="221">
      <formula>(OR(EK1048561="2",EK1048561="3"))</formula>
    </cfRule>
  </conditionalFormatting>
  <conditionalFormatting sqref="AR80">
    <cfRule type="duplicateValues" dxfId="528" priority="219"/>
  </conditionalFormatting>
  <conditionalFormatting sqref="AV82:AV83">
    <cfRule type="iconSet" priority="215">
      <iconSet iconSet="3Signs">
        <cfvo type="percent" val="0"/>
        <cfvo type="percent" val="12"/>
        <cfvo type="percent" val="13" gte="0"/>
      </iconSet>
    </cfRule>
  </conditionalFormatting>
  <conditionalFormatting sqref="AV80:AV81">
    <cfRule type="iconSet" priority="214">
      <iconSet iconSet="3Signs">
        <cfvo type="percent" val="0"/>
        <cfvo type="percent" val="12"/>
        <cfvo type="percent" val="13" gte="0"/>
      </iconSet>
    </cfRule>
  </conditionalFormatting>
  <conditionalFormatting sqref="AR84">
    <cfRule type="duplicateValues" dxfId="527" priority="211"/>
  </conditionalFormatting>
  <conditionalFormatting sqref="AV86:AV87">
    <cfRule type="iconSet" priority="207">
      <iconSet iconSet="3Signs">
        <cfvo type="percent" val="0"/>
        <cfvo type="percent" val="12"/>
        <cfvo type="percent" val="13" gte="0"/>
      </iconSet>
    </cfRule>
  </conditionalFormatting>
  <conditionalFormatting sqref="AV84:AV85">
    <cfRule type="iconSet" priority="206">
      <iconSet iconSet="3Signs">
        <cfvo type="percent" val="0"/>
        <cfvo type="percent" val="12"/>
        <cfvo type="percent" val="13" gte="0"/>
      </iconSet>
    </cfRule>
  </conditionalFormatting>
  <conditionalFormatting sqref="AR88">
    <cfRule type="duplicateValues" dxfId="526" priority="203"/>
  </conditionalFormatting>
  <conditionalFormatting sqref="AV90:AV91">
    <cfRule type="iconSet" priority="199">
      <iconSet iconSet="3Signs">
        <cfvo type="percent" val="0"/>
        <cfvo type="percent" val="12"/>
        <cfvo type="percent" val="13" gte="0"/>
      </iconSet>
    </cfRule>
  </conditionalFormatting>
  <conditionalFormatting sqref="AV88:AV89">
    <cfRule type="iconSet" priority="198">
      <iconSet iconSet="3Signs">
        <cfvo type="percent" val="0"/>
        <cfvo type="percent" val="12"/>
        <cfvo type="percent" val="13" gte="0"/>
      </iconSet>
    </cfRule>
  </conditionalFormatting>
  <conditionalFormatting sqref="AR92">
    <cfRule type="duplicateValues" dxfId="525" priority="195"/>
  </conditionalFormatting>
  <conditionalFormatting sqref="AV94:AV95">
    <cfRule type="iconSet" priority="191">
      <iconSet iconSet="3Signs">
        <cfvo type="percent" val="0"/>
        <cfvo type="percent" val="12"/>
        <cfvo type="percent" val="13" gte="0"/>
      </iconSet>
    </cfRule>
  </conditionalFormatting>
  <conditionalFormatting sqref="AV92:AV93">
    <cfRule type="iconSet" priority="190">
      <iconSet iconSet="3Signs">
        <cfvo type="percent" val="0"/>
        <cfvo type="percent" val="12"/>
        <cfvo type="percent" val="13" gte="0"/>
      </iconSet>
    </cfRule>
  </conditionalFormatting>
  <conditionalFormatting sqref="AR96">
    <cfRule type="duplicateValues" dxfId="524" priority="187"/>
  </conditionalFormatting>
  <conditionalFormatting sqref="AV98:AV99">
    <cfRule type="iconSet" priority="183">
      <iconSet iconSet="3Signs">
        <cfvo type="percent" val="0"/>
        <cfvo type="percent" val="12"/>
        <cfvo type="percent" val="13" gte="0"/>
      </iconSet>
    </cfRule>
  </conditionalFormatting>
  <conditionalFormatting sqref="AV96:AV97">
    <cfRule type="iconSet" priority="182">
      <iconSet iconSet="3Signs">
        <cfvo type="percent" val="0"/>
        <cfvo type="percent" val="12"/>
        <cfvo type="percent" val="13" gte="0"/>
      </iconSet>
    </cfRule>
  </conditionalFormatting>
  <conditionalFormatting sqref="AR100">
    <cfRule type="duplicateValues" dxfId="523" priority="179"/>
  </conditionalFormatting>
  <conditionalFormatting sqref="AV102:AV103">
    <cfRule type="iconSet" priority="175">
      <iconSet iconSet="3Signs">
        <cfvo type="percent" val="0"/>
        <cfvo type="percent" val="12"/>
        <cfvo type="percent" val="13" gte="0"/>
      </iconSet>
    </cfRule>
  </conditionalFormatting>
  <conditionalFormatting sqref="AV100:AV101">
    <cfRule type="iconSet" priority="174">
      <iconSet iconSet="3Signs">
        <cfvo type="percent" val="0"/>
        <cfvo type="percent" val="12"/>
        <cfvo type="percent" val="13" gte="0"/>
      </iconSet>
    </cfRule>
  </conditionalFormatting>
  <conditionalFormatting sqref="AR104">
    <cfRule type="duplicateValues" dxfId="522" priority="171"/>
  </conditionalFormatting>
  <conditionalFormatting sqref="AV106:AV107">
    <cfRule type="iconSet" priority="167">
      <iconSet iconSet="3Signs">
        <cfvo type="percent" val="0"/>
        <cfvo type="percent" val="12"/>
        <cfvo type="percent" val="13" gte="0"/>
      </iconSet>
    </cfRule>
  </conditionalFormatting>
  <conditionalFormatting sqref="AV104:AV105">
    <cfRule type="iconSet" priority="166">
      <iconSet iconSet="3Signs">
        <cfvo type="percent" val="0"/>
        <cfvo type="percent" val="12"/>
        <cfvo type="percent" val="13" gte="0"/>
      </iconSet>
    </cfRule>
  </conditionalFormatting>
  <conditionalFormatting sqref="AR108">
    <cfRule type="duplicateValues" dxfId="521" priority="163"/>
  </conditionalFormatting>
  <conditionalFormatting sqref="AV110:AV111">
    <cfRule type="iconSet" priority="159">
      <iconSet iconSet="3Signs">
        <cfvo type="percent" val="0"/>
        <cfvo type="percent" val="12"/>
        <cfvo type="percent" val="13" gte="0"/>
      </iconSet>
    </cfRule>
  </conditionalFormatting>
  <conditionalFormatting sqref="AV108:AV109">
    <cfRule type="iconSet" priority="158">
      <iconSet iconSet="3Signs">
        <cfvo type="percent" val="0"/>
        <cfvo type="percent" val="12"/>
        <cfvo type="percent" val="13" gte="0"/>
      </iconSet>
    </cfRule>
  </conditionalFormatting>
  <conditionalFormatting sqref="BB73:BB74">
    <cfRule type="iconSet" priority="139">
      <iconSet iconSet="3Signs">
        <cfvo type="percent" val="0"/>
        <cfvo type="percent" val="12"/>
        <cfvo type="percent" val="13" gte="0"/>
      </iconSet>
    </cfRule>
  </conditionalFormatting>
  <conditionalFormatting sqref="BB77:BB78">
    <cfRule type="iconSet" priority="138">
      <iconSet iconSet="3Signs">
        <cfvo type="percent" val="0"/>
        <cfvo type="percent" val="12"/>
        <cfvo type="percent" val="13" gte="0"/>
      </iconSet>
    </cfRule>
  </conditionalFormatting>
  <conditionalFormatting sqref="BB81:BB82">
    <cfRule type="iconSet" priority="137">
      <iconSet iconSet="3Signs">
        <cfvo type="percent" val="0"/>
        <cfvo type="percent" val="12"/>
        <cfvo type="percent" val="13" gte="0"/>
      </iconSet>
    </cfRule>
  </conditionalFormatting>
  <conditionalFormatting sqref="BB85:BB86">
    <cfRule type="iconSet" priority="136">
      <iconSet iconSet="3Signs">
        <cfvo type="percent" val="0"/>
        <cfvo type="percent" val="12"/>
        <cfvo type="percent" val="13" gte="0"/>
      </iconSet>
    </cfRule>
  </conditionalFormatting>
  <conditionalFormatting sqref="BB89:BB90">
    <cfRule type="iconSet" priority="135">
      <iconSet iconSet="3Signs">
        <cfvo type="percent" val="0"/>
        <cfvo type="percent" val="12"/>
        <cfvo type="percent" val="13" gte="0"/>
      </iconSet>
    </cfRule>
  </conditionalFormatting>
  <conditionalFormatting sqref="BB93:BB94">
    <cfRule type="iconSet" priority="134">
      <iconSet iconSet="3Signs">
        <cfvo type="percent" val="0"/>
        <cfvo type="percent" val="12"/>
        <cfvo type="percent" val="13" gte="0"/>
      </iconSet>
    </cfRule>
  </conditionalFormatting>
  <conditionalFormatting sqref="BB97:BB98">
    <cfRule type="iconSet" priority="133">
      <iconSet iconSet="3Signs">
        <cfvo type="percent" val="0"/>
        <cfvo type="percent" val="12"/>
        <cfvo type="percent" val="13" gte="0"/>
      </iconSet>
    </cfRule>
  </conditionalFormatting>
  <conditionalFormatting sqref="BB101:BB102">
    <cfRule type="iconSet" priority="132">
      <iconSet iconSet="3Signs">
        <cfvo type="percent" val="0"/>
        <cfvo type="percent" val="12"/>
        <cfvo type="percent" val="13" gte="0"/>
      </iconSet>
    </cfRule>
  </conditionalFormatting>
  <conditionalFormatting sqref="BB105:BB106">
    <cfRule type="iconSet" priority="131">
      <iconSet iconSet="3Signs">
        <cfvo type="percent" val="0"/>
        <cfvo type="percent" val="12"/>
        <cfvo type="percent" val="13" gte="0"/>
      </iconSet>
    </cfRule>
  </conditionalFormatting>
  <conditionalFormatting sqref="BB109:BB110">
    <cfRule type="iconSet" priority="130">
      <iconSet iconSet="3Signs">
        <cfvo type="percent" val="0"/>
        <cfvo type="percent" val="12"/>
        <cfvo type="percent" val="13" gte="0"/>
      </iconSet>
    </cfRule>
  </conditionalFormatting>
  <conditionalFormatting sqref="CA88:CC88">
    <cfRule type="expression" dxfId="520" priority="19">
      <formula>OR(J15&gt;810)</formula>
    </cfRule>
    <cfRule type="expression" dxfId="519" priority="23">
      <formula>OR(J15&lt;810)</formula>
    </cfRule>
  </conditionalFormatting>
  <conditionalFormatting sqref="CA93:CC93">
    <cfRule type="expression" dxfId="518" priority="18">
      <formula>OR(J15&gt;810)</formula>
    </cfRule>
    <cfRule type="expression" dxfId="517" priority="22">
      <formula>OR(J15&lt;810)</formula>
    </cfRule>
  </conditionalFormatting>
  <conditionalFormatting sqref="BF82">
    <cfRule type="expression" dxfId="516" priority="21">
      <formula>OR(J15&lt;810)</formula>
    </cfRule>
  </conditionalFormatting>
  <conditionalFormatting sqref="BF86">
    <cfRule type="expression" dxfId="515" priority="20">
      <formula>OR(J15&lt;810)</formula>
    </cfRule>
  </conditionalFormatting>
  <conditionalFormatting sqref="CA78:CC78">
    <cfRule type="expression" dxfId="514" priority="14">
      <formula>OR(J15&gt;850)</formula>
    </cfRule>
    <cfRule type="expression" dxfId="513" priority="17">
      <formula>OR(J15&lt;850)</formula>
    </cfRule>
  </conditionalFormatting>
  <conditionalFormatting sqref="CA83:CC83">
    <cfRule type="expression" dxfId="512" priority="13">
      <formula>OR(J15&lt;850)</formula>
    </cfRule>
    <cfRule type="expression" dxfId="511" priority="16">
      <formula>OR(J15&gt;850)</formula>
    </cfRule>
  </conditionalFormatting>
  <conditionalFormatting sqref="BF74">
    <cfRule type="expression" dxfId="510" priority="12">
      <formula>OR(J15&lt;850)</formula>
    </cfRule>
  </conditionalFormatting>
  <conditionalFormatting sqref="BF78">
    <cfRule type="expression" dxfId="509" priority="11">
      <formula>OR(J15&lt;850)</formula>
    </cfRule>
  </conditionalFormatting>
  <conditionalFormatting sqref="CA68:CC68">
    <cfRule type="expression" dxfId="508" priority="9">
      <formula>OR(J15&gt;890)</formula>
    </cfRule>
    <cfRule type="expression" dxfId="507" priority="10">
      <formula>OR(J15&lt;890)</formula>
    </cfRule>
  </conditionalFormatting>
  <conditionalFormatting sqref="CA73:CC73">
    <cfRule type="expression" dxfId="506" priority="7">
      <formula>OR(J15&gt;890)</formula>
    </cfRule>
    <cfRule type="expression" dxfId="505" priority="8">
      <formula>OR(J15&lt;890)</formula>
    </cfRule>
  </conditionalFormatting>
  <conditionalFormatting sqref="CA58:CC58">
    <cfRule type="expression" dxfId="504" priority="6">
      <formula>OR(J15&gt;930)</formula>
    </cfRule>
  </conditionalFormatting>
  <conditionalFormatting sqref="CA63:CC63">
    <cfRule type="expression" dxfId="503" priority="4">
      <formula>OR(J15&gt;930)</formula>
    </cfRule>
    <cfRule type="expression" dxfId="502" priority="5">
      <formula>OR(J15&lt;930)</formula>
    </cfRule>
  </conditionalFormatting>
  <conditionalFormatting sqref="BR30:BW30 BR25:BW25 BR20:BW20 BR17:BS18">
    <cfRule type="iconSet" priority="8431">
      <iconSet iconSet="3Signs">
        <cfvo type="percent" val="0"/>
        <cfvo type="percent" val="12"/>
        <cfvo type="percent" val="13" gte="0"/>
      </iconSet>
    </cfRule>
  </conditionalFormatting>
  <conditionalFormatting sqref="BR32:BS33">
    <cfRule type="iconSet" priority="8438">
      <iconSet iconSet="3Signs">
        <cfvo type="percent" val="0"/>
        <cfvo type="percent" val="12"/>
        <cfvo type="percent" val="13" gte="0"/>
      </iconSet>
    </cfRule>
  </conditionalFormatting>
  <conditionalFormatting sqref="BR47:BS48">
    <cfRule type="iconSet" priority="8439">
      <iconSet iconSet="3Signs">
        <cfvo type="percent" val="0"/>
        <cfvo type="percent" val="12"/>
        <cfvo type="percent" val="13" gte="0"/>
      </iconSet>
    </cfRule>
  </conditionalFormatting>
  <conditionalFormatting sqref="BR62:BS63">
    <cfRule type="iconSet" priority="8440">
      <iconSet iconSet="3Signs">
        <cfvo type="percent" val="0"/>
        <cfvo type="percent" val="12"/>
        <cfvo type="percent" val="13" gte="0"/>
      </iconSet>
    </cfRule>
  </conditionalFormatting>
  <conditionalFormatting sqref="BR77:BS78">
    <cfRule type="iconSet" priority="8441">
      <iconSet iconSet="3Signs">
        <cfvo type="percent" val="0"/>
        <cfvo type="percent" val="12"/>
        <cfvo type="percent" val="13" gte="0"/>
      </iconSet>
    </cfRule>
  </conditionalFormatting>
  <conditionalFormatting sqref="BR92:BS93">
    <cfRule type="iconSet" priority="8442">
      <iconSet iconSet="3Signs">
        <cfvo type="percent" val="0"/>
        <cfvo type="percent" val="12"/>
        <cfvo type="percent" val="13" gte="0"/>
      </iconSet>
    </cfRule>
  </conditionalFormatting>
  <conditionalFormatting sqref="BR22:BS23">
    <cfRule type="iconSet" priority="8443">
      <iconSet iconSet="3Signs">
        <cfvo type="percent" val="0"/>
        <cfvo type="percent" val="12"/>
        <cfvo type="percent" val="13" gte="0"/>
      </iconSet>
    </cfRule>
  </conditionalFormatting>
  <conditionalFormatting sqref="BR52:BS53">
    <cfRule type="iconSet" priority="8444">
      <iconSet iconSet="3Signs">
        <cfvo type="percent" val="0"/>
        <cfvo type="percent" val="12"/>
        <cfvo type="percent" val="13" gte="0"/>
      </iconSet>
    </cfRule>
  </conditionalFormatting>
  <conditionalFormatting sqref="BR67:BS68">
    <cfRule type="iconSet" priority="8445">
      <iconSet iconSet="3Signs">
        <cfvo type="percent" val="0"/>
        <cfvo type="percent" val="12"/>
        <cfvo type="percent" val="13" gte="0"/>
      </iconSet>
    </cfRule>
  </conditionalFormatting>
  <conditionalFormatting sqref="BR82:BS83">
    <cfRule type="iconSet" priority="8446">
      <iconSet iconSet="3Signs">
        <cfvo type="percent" val="0"/>
        <cfvo type="percent" val="12"/>
        <cfvo type="percent" val="13" gte="0"/>
      </iconSet>
    </cfRule>
  </conditionalFormatting>
  <conditionalFormatting sqref="BR27:BS28">
    <cfRule type="iconSet" priority="8447">
      <iconSet iconSet="3Signs">
        <cfvo type="percent" val="0"/>
        <cfvo type="percent" val="12"/>
        <cfvo type="percent" val="13" gte="0"/>
      </iconSet>
    </cfRule>
  </conditionalFormatting>
  <conditionalFormatting sqref="BR42:BS43">
    <cfRule type="iconSet" priority="8448">
      <iconSet iconSet="3Signs">
        <cfvo type="percent" val="0"/>
        <cfvo type="percent" val="12"/>
        <cfvo type="percent" val="13" gte="0"/>
      </iconSet>
    </cfRule>
  </conditionalFormatting>
  <conditionalFormatting sqref="BR57:BS58">
    <cfRule type="iconSet" priority="8449">
      <iconSet iconSet="3Signs">
        <cfvo type="percent" val="0"/>
        <cfvo type="percent" val="12"/>
        <cfvo type="percent" val="13" gte="0"/>
      </iconSet>
    </cfRule>
  </conditionalFormatting>
  <conditionalFormatting sqref="BR37:BS38">
    <cfRule type="iconSet" priority="8450">
      <iconSet iconSet="3Signs">
        <cfvo type="percent" val="0"/>
        <cfvo type="percent" val="12"/>
        <cfvo type="percent" val="13" gte="0"/>
      </iconSet>
    </cfRule>
  </conditionalFormatting>
  <conditionalFormatting sqref="BR72:BS73">
    <cfRule type="iconSet" priority="8451">
      <iconSet iconSet="3Signs">
        <cfvo type="percent" val="0"/>
        <cfvo type="percent" val="12"/>
        <cfvo type="percent" val="13" gte="0"/>
      </iconSet>
    </cfRule>
  </conditionalFormatting>
  <conditionalFormatting sqref="BR87:BS88">
    <cfRule type="iconSet" priority="8452">
      <iconSet iconSet="3Signs">
        <cfvo type="percent" val="0"/>
        <cfvo type="percent" val="12"/>
        <cfvo type="percent" val="13" gte="0"/>
      </iconSet>
    </cfRule>
  </conditionalFormatting>
  <conditionalFormatting sqref="BO17:BQ94 CA17:CC94">
    <cfRule type="duplicateValues" dxfId="501" priority="2"/>
  </conditionalFormatting>
  <conditionalFormatting sqref="CH17:CJ94">
    <cfRule type="duplicateValues" dxfId="500" priority="1"/>
  </conditionalFormatting>
  <dataValidations count="3">
    <dataValidation type="list" allowBlank="1" showInputMessage="1" showErrorMessage="1" sqref="D5:F5">
      <formula1>INDIRECT($B$5)</formula1>
    </dataValidation>
    <dataValidation type="list" allowBlank="1" showInputMessage="1" showErrorMessage="1" sqref="J5">
      <formula1>INDIRECT($D$5)</formula1>
    </dataValidation>
    <dataValidation type="list" allowBlank="1" showInputMessage="1" showErrorMessage="1" sqref="J3">
      <formula1>INDIRECT($H$3)</formula1>
    </dataValidation>
  </dataValidations>
  <pageMargins left="0.19685039370078741" right="0.15748031496062992" top="0.35433070866141736" bottom="0.74803149606299213" header="0.19685039370078741" footer="0.31496062992125984"/>
  <pageSetup paperSize="9" scale="73" orientation="landscape" horizontalDpi="4294967293" verticalDpi="0" r:id="rId1"/>
  <rowBreaks count="1" manualBreakCount="1">
    <brk id="86" max="16383" man="1"/>
  </rowBreaks>
  <colBreaks count="1" manualBreakCount="1">
    <brk id="2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B0F0"/>
  </sheetPr>
  <dimension ref="A1:AU54"/>
  <sheetViews>
    <sheetView zoomScale="70" zoomScaleNormal="70" workbookViewId="0">
      <selection activeCell="L49" sqref="L49"/>
    </sheetView>
  </sheetViews>
  <sheetFormatPr baseColWidth="10" defaultRowHeight="15"/>
  <cols>
    <col min="1" max="1" width="4" style="54" customWidth="1"/>
    <col min="2" max="2" width="5.140625" style="54" customWidth="1"/>
    <col min="3" max="3" width="6.42578125" style="54" customWidth="1"/>
    <col min="4" max="4" width="11.28515625" style="54" customWidth="1"/>
    <col min="5" max="5" width="4.42578125" style="54" customWidth="1"/>
    <col min="6" max="6" width="7.42578125" style="54" customWidth="1"/>
    <col min="7" max="7" width="6.42578125" style="54" customWidth="1"/>
    <col min="8" max="8" width="8.42578125" style="54" customWidth="1"/>
    <col min="9" max="9" width="5.5703125" style="54" customWidth="1"/>
    <col min="10" max="10" width="5" style="54" customWidth="1"/>
    <col min="11" max="11" width="6.28515625" style="54" customWidth="1"/>
    <col min="12" max="12" width="4.42578125" style="54" customWidth="1"/>
    <col min="13" max="13" width="13" style="54" customWidth="1"/>
    <col min="14" max="14" width="6.28515625" style="54" customWidth="1"/>
    <col min="15" max="16" width="6" style="54" customWidth="1"/>
    <col min="17" max="17" width="7.7109375" style="54" customWidth="1"/>
    <col min="18" max="18" width="5.28515625" style="54" customWidth="1"/>
    <col min="19" max="19" width="12.28515625" style="54" customWidth="1"/>
    <col min="20" max="20" width="7.28515625" style="54" customWidth="1"/>
    <col min="21" max="21" width="14.85546875" style="54" customWidth="1"/>
    <col min="22" max="22" width="9.85546875" style="54" customWidth="1"/>
    <col min="23" max="23" width="4.140625" style="54" customWidth="1"/>
    <col min="24" max="24" width="5.140625" style="54" customWidth="1"/>
    <col min="25" max="25" width="6.42578125" style="54" customWidth="1"/>
    <col min="26" max="26" width="11.28515625" style="54" customWidth="1"/>
    <col min="27" max="27" width="4.42578125" style="54" customWidth="1"/>
    <col min="28" max="28" width="7.42578125" style="54" customWidth="1"/>
    <col min="29" max="29" width="6" style="54" customWidth="1"/>
    <col min="30" max="30" width="8.85546875" style="54" customWidth="1"/>
    <col min="31" max="31" width="5.5703125" style="54" customWidth="1"/>
    <col min="32" max="32" width="5" style="54" customWidth="1"/>
    <col min="33" max="33" width="6.28515625" style="54" customWidth="1"/>
    <col min="34" max="34" width="4.42578125" style="54" customWidth="1"/>
    <col min="35" max="35" width="13" style="54" customWidth="1"/>
    <col min="36" max="38" width="6" style="54" customWidth="1"/>
    <col min="39" max="39" width="7.7109375" style="54" customWidth="1"/>
    <col min="40" max="40" width="5.28515625" style="54" customWidth="1"/>
    <col min="41" max="41" width="12.28515625" style="54" customWidth="1"/>
    <col min="42" max="42" width="7.42578125" style="54" customWidth="1"/>
    <col min="43" max="43" width="6.5703125" style="54" hidden="1" customWidth="1"/>
    <col min="44" max="44" width="5.140625" style="54" hidden="1" customWidth="1"/>
    <col min="45" max="16384" width="11.42578125" style="54"/>
  </cols>
  <sheetData>
    <row r="1" spans="1:46" ht="23.25" customHeight="1" thickBot="1">
      <c r="A1" s="47"/>
      <c r="B1" s="752" t="s">
        <v>89</v>
      </c>
      <c r="C1" s="753"/>
      <c r="D1" s="753"/>
      <c r="E1" s="753">
        <f>Données!J1</f>
        <v>0</v>
      </c>
      <c r="F1" s="753"/>
      <c r="G1" s="753"/>
      <c r="H1" s="48" t="str">
        <f>Données!$D$3</f>
        <v>Féminine</v>
      </c>
      <c r="I1" s="753">
        <f>Données!$M$3</f>
        <v>0</v>
      </c>
      <c r="J1" s="753"/>
      <c r="K1" s="753"/>
      <c r="L1" s="753"/>
      <c r="M1" s="49" t="str">
        <f>Données!$G$3</f>
        <v>F_U18</v>
      </c>
      <c r="N1" s="752" t="s">
        <v>24</v>
      </c>
      <c r="O1" s="753"/>
      <c r="P1" s="753"/>
      <c r="Q1" s="753"/>
      <c r="R1" s="753"/>
      <c r="S1" s="754"/>
      <c r="T1" s="50">
        <f>+Données!D17</f>
        <v>0</v>
      </c>
      <c r="U1" s="51"/>
      <c r="V1" s="51"/>
      <c r="W1" s="47"/>
      <c r="X1" s="752" t="s">
        <v>89</v>
      </c>
      <c r="Y1" s="753"/>
      <c r="Z1" s="753"/>
      <c r="AA1" s="753">
        <f>Données!J1</f>
        <v>0</v>
      </c>
      <c r="AB1" s="753"/>
      <c r="AC1" s="753"/>
      <c r="AD1" s="48" t="str">
        <f>Données!$D$3</f>
        <v>Féminine</v>
      </c>
      <c r="AE1" s="753">
        <f>Données!$M$3</f>
        <v>0</v>
      </c>
      <c r="AF1" s="753"/>
      <c r="AG1" s="753"/>
      <c r="AH1" s="753"/>
      <c r="AI1" s="49" t="str">
        <f>Données!$G$3</f>
        <v>F_U18</v>
      </c>
      <c r="AJ1" s="752" t="s">
        <v>24</v>
      </c>
      <c r="AK1" s="753"/>
      <c r="AL1" s="753"/>
      <c r="AM1" s="753"/>
      <c r="AN1" s="753"/>
      <c r="AO1" s="754"/>
      <c r="AP1" s="90">
        <f>+Données!D17</f>
        <v>0</v>
      </c>
      <c r="AQ1" s="52"/>
      <c r="AR1" s="52"/>
      <c r="AS1" s="53"/>
      <c r="AT1" s="53"/>
    </row>
    <row r="2" spans="1:46" ht="24" customHeight="1" thickBot="1">
      <c r="A2" s="47"/>
      <c r="B2" s="755" t="s">
        <v>25</v>
      </c>
      <c r="C2" s="756"/>
      <c r="D2" s="756"/>
      <c r="E2" s="55">
        <f>+Données!E17</f>
        <v>0</v>
      </c>
      <c r="F2" s="753" t="s">
        <v>21</v>
      </c>
      <c r="G2" s="753"/>
      <c r="H2" s="56">
        <f>+Données!E18</f>
        <v>0</v>
      </c>
      <c r="I2" s="753" t="s">
        <v>22</v>
      </c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4"/>
      <c r="U2" s="57"/>
      <c r="V2" s="57"/>
      <c r="W2" s="47"/>
      <c r="X2" s="755" t="s">
        <v>26</v>
      </c>
      <c r="Y2" s="756"/>
      <c r="Z2" s="756"/>
      <c r="AA2" s="55">
        <f>+Données!F17</f>
        <v>0</v>
      </c>
      <c r="AB2" s="753" t="s">
        <v>21</v>
      </c>
      <c r="AC2" s="753"/>
      <c r="AD2" s="56">
        <f>Données!$F$18</f>
        <v>0</v>
      </c>
      <c r="AE2" s="753" t="s">
        <v>22</v>
      </c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4"/>
      <c r="AQ2" s="52"/>
      <c r="AR2" s="52"/>
      <c r="AS2" s="53"/>
      <c r="AT2" s="53"/>
    </row>
    <row r="3" spans="1:46" ht="18.75" customHeight="1" thickBot="1">
      <c r="A3" s="47"/>
      <c r="B3" s="58"/>
      <c r="C3" s="59"/>
      <c r="D3" s="59"/>
      <c r="E3" s="59"/>
      <c r="F3" s="260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261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  <c r="AS3" s="53"/>
      <c r="AT3" s="53"/>
    </row>
    <row r="4" spans="1:46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  <c r="AS4" s="53"/>
      <c r="AT4" s="53"/>
    </row>
    <row r="5" spans="1:46">
      <c r="A5" s="47"/>
      <c r="B5" s="58"/>
      <c r="T5" s="786"/>
      <c r="U5" s="61"/>
      <c r="V5" s="61"/>
      <c r="W5" s="47"/>
      <c r="X5" s="58"/>
      <c r="AP5" s="786"/>
      <c r="AQ5" s="52"/>
      <c r="AR5" s="52"/>
      <c r="AS5" s="53"/>
      <c r="AT5" s="53"/>
    </row>
    <row r="6" spans="1:46" s="112" customFormat="1" ht="13.5" customHeight="1" thickBot="1">
      <c r="A6" s="104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8"/>
      <c r="T6" s="109"/>
      <c r="U6" s="108"/>
      <c r="V6" s="108"/>
      <c r="W6" s="104"/>
      <c r="X6" s="105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/>
      <c r="AP6" s="109"/>
      <c r="AQ6" s="110"/>
      <c r="AR6" s="110"/>
      <c r="AS6" s="111"/>
      <c r="AT6" s="111"/>
    </row>
    <row r="7" spans="1:46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  <c r="AS7" s="53"/>
      <c r="AT7" s="53"/>
    </row>
    <row r="8" spans="1:46" ht="15.75" thickBot="1">
      <c r="A8" s="163">
        <v>1</v>
      </c>
      <c r="B8" s="784">
        <f>+Données!AE5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3</v>
      </c>
      <c r="H8" s="164">
        <v>3</v>
      </c>
      <c r="I8" s="784">
        <f>+Données!AE7</f>
        <v>0</v>
      </c>
      <c r="J8" s="775" t="str">
        <f>IF(ISNA(MATCH($H$8,Données!$AA$5:$AA$84,0)),"",INDEX(Données!$Y$5:$Y$84,MATCH($H$8,Données!$AA$5:$AA$84,0)))</f>
        <v/>
      </c>
      <c r="K8" s="776"/>
      <c r="L8" s="776"/>
      <c r="M8" s="777"/>
      <c r="N8" s="67">
        <v>1</v>
      </c>
      <c r="O8" s="59"/>
      <c r="P8" s="165">
        <v>5</v>
      </c>
      <c r="Q8" s="779" t="str">
        <f>IF($E$2+$E$3=4,0,IF($E$2+$E$3=3,0,IF(ISNA(MATCH($P$8,Données!$AA$5:$AA$84,0)),"",INDEX(Données!$Y$5:$Y$84,MATCH($P$8,Données!$AA$5:$AA$84,0)))))</f>
        <v/>
      </c>
      <c r="R8" s="780"/>
      <c r="S8" s="781"/>
      <c r="T8" s="68"/>
      <c r="U8" s="62"/>
      <c r="V8" s="62"/>
      <c r="W8" s="156">
        <v>6</v>
      </c>
      <c r="X8" s="784">
        <f>+Données!AE10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8</v>
      </c>
      <c r="AE8" s="784">
        <f>+Données!AE12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10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  <c r="AS8" s="53"/>
      <c r="AT8" s="53"/>
    </row>
    <row r="9" spans="1:46" ht="15.75" thickBot="1">
      <c r="A9" s="163">
        <v>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69">
        <v>2</v>
      </c>
      <c r="H9" s="164">
        <v>4</v>
      </c>
      <c r="I9" s="785"/>
      <c r="J9" s="778" t="s">
        <v>137</v>
      </c>
      <c r="K9" s="735"/>
      <c r="L9" s="735"/>
      <c r="M9" s="736"/>
      <c r="N9" s="67">
        <v>2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9</v>
      </c>
      <c r="AE9" s="785"/>
      <c r="AF9" s="734" t="str">
        <f>IF(ISNA(MATCH($AD$9,Données!$AA$5:$AA$84,0)),"",INDEX(Données!$Y$5:$Y$84,MATCH($AD$9,Données!$AA$5:$AA$84,0)))</f>
        <v/>
      </c>
      <c r="AG9" s="735"/>
      <c r="AH9" s="735"/>
      <c r="AI9" s="736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  <c r="AS9" s="53"/>
      <c r="AT9" s="53"/>
    </row>
    <row r="10" spans="1:46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  <c r="AS10" s="53"/>
      <c r="AT10" s="53"/>
    </row>
    <row r="11" spans="1:46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  <c r="AS11" s="53"/>
      <c r="AT11" s="53"/>
    </row>
    <row r="12" spans="1:46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  <c r="AS12" s="53"/>
      <c r="AT12" s="53"/>
    </row>
    <row r="13" spans="1:46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166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  <c r="AS13" s="53"/>
      <c r="AT13" s="53"/>
    </row>
    <row r="14" spans="1:46" ht="15.75" thickBot="1">
      <c r="A14" s="47"/>
      <c r="B14" s="784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>D1</v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>D1</v>
      </c>
      <c r="R14" s="761"/>
      <c r="S14" s="762"/>
      <c r="T14" s="67">
        <v>1</v>
      </c>
      <c r="U14" s="75">
        <f>IF(G8&gt;G9,1)+IF(N8&gt;N9,1)</f>
        <v>1</v>
      </c>
      <c r="V14" s="76">
        <f>IF(G9&gt;G8,1)+IF(N9&gt;N8,1)</f>
        <v>1</v>
      </c>
      <c r="W14" s="47"/>
      <c r="X14" s="732"/>
      <c r="Y14" s="77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68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  <c r="AS14" s="53"/>
      <c r="AT14" s="53"/>
    </row>
    <row r="15" spans="1:46" ht="15.75" thickBot="1">
      <c r="A15" s="47"/>
      <c r="B15" s="785"/>
      <c r="C15" s="737" t="str">
        <f>IF($N$8=$N$9,"résultat",IF($N$8&lt;$N$9,$J$8,$J$9))</f>
        <v/>
      </c>
      <c r="D15" s="738"/>
      <c r="E15" s="738"/>
      <c r="F15" s="739"/>
      <c r="G15" s="77"/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162">
        <v>2</v>
      </c>
      <c r="U15" s="79">
        <f>IF(G8&gt;G9,1)+IF(N9&gt;N8,1)</f>
        <v>2</v>
      </c>
      <c r="V15" s="80">
        <f>IF(G9&gt;G8,1)+IF(N8&gt;N9,1)</f>
        <v>0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69">
        <v>2</v>
      </c>
      <c r="AQ15" s="79">
        <f>IF(AC8&gt;AC9,1)+IF(AJ9&gt;AJ8,1)</f>
        <v>1</v>
      </c>
      <c r="AR15" s="80">
        <f>IF(AC9&gt;AC8,1)+IF(AJ8&gt;AJ9,1)</f>
        <v>1</v>
      </c>
      <c r="AS15" s="53"/>
      <c r="AT15" s="53"/>
    </row>
    <row r="16" spans="1:46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  <c r="AS16" s="53"/>
      <c r="AT16" s="53"/>
    </row>
    <row r="17" spans="1:47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  <c r="AS17" s="53"/>
      <c r="AT17" s="53"/>
    </row>
    <row r="18" spans="1:47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  <c r="AS18" s="53"/>
      <c r="AT18" s="53"/>
    </row>
    <row r="19" spans="1:47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  <c r="AS19" s="53"/>
      <c r="AT19" s="53"/>
    </row>
    <row r="20" spans="1:47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  <c r="AS20" s="53"/>
      <c r="AT20" s="53"/>
    </row>
    <row r="21" spans="1:47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2</v>
      </c>
      <c r="R21" s="62"/>
      <c r="S21" s="82"/>
      <c r="T21" s="66"/>
      <c r="U21" s="62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2</v>
      </c>
      <c r="AN21" s="62"/>
      <c r="AO21" s="62"/>
      <c r="AP21" s="66"/>
      <c r="AQ21" s="52"/>
      <c r="AR21" s="52"/>
      <c r="AS21" s="53"/>
      <c r="AT21" s="53"/>
    </row>
    <row r="22" spans="1:47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  <c r="AS22" s="53"/>
      <c r="AT22" s="53"/>
    </row>
    <row r="23" spans="1:47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  <c r="AS23" s="53"/>
      <c r="AT23" s="53"/>
    </row>
    <row r="24" spans="1:47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  <c r="AS24" s="53"/>
      <c r="AT24" s="53"/>
    </row>
    <row r="25" spans="1:47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  <c r="AS25" s="53"/>
      <c r="AT25" s="53"/>
    </row>
    <row r="26" spans="1:47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  <c r="AS26" s="53"/>
      <c r="AT26" s="53"/>
    </row>
    <row r="27" spans="1:47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  <c r="AS27" s="53"/>
      <c r="AT27" s="53"/>
    </row>
    <row r="28" spans="1:47" ht="22.5" customHeight="1" thickBot="1">
      <c r="A28" s="47"/>
      <c r="B28" s="58"/>
      <c r="C2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U28"/>
      <c r="V28"/>
      <c r="W28" s="47"/>
      <c r="X28" s="58"/>
      <c r="Y2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  <c r="AQ28"/>
      <c r="AR28"/>
      <c r="AS28" s="52"/>
      <c r="AT28" s="53"/>
      <c r="AU28" s="53"/>
    </row>
    <row r="29" spans="1:47">
      <c r="A29" s="47"/>
      <c r="B29" s="58"/>
      <c r="C29"/>
      <c r="D29" s="808" t="s">
        <v>0</v>
      </c>
      <c r="E29" s="809"/>
      <c r="F29" s="810"/>
      <c r="G29" s="62"/>
      <c r="H29" s="746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U29"/>
      <c r="V29"/>
      <c r="W29" s="47"/>
      <c r="X29" s="58"/>
      <c r="Y29"/>
      <c r="Z29" s="808" t="s">
        <v>0</v>
      </c>
      <c r="AA29" s="809"/>
      <c r="AB29" s="810"/>
      <c r="AC29" s="62"/>
      <c r="AD29" s="746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747"/>
      <c r="AF29" s="747"/>
      <c r="AG29" s="747"/>
      <c r="AH29" s="747"/>
      <c r="AI29" s="747"/>
      <c r="AJ29" s="748"/>
      <c r="AK29" s="62"/>
      <c r="AL29" s="62"/>
      <c r="AM29"/>
      <c r="AN29" s="62"/>
      <c r="AO29" s="62"/>
      <c r="AP29" s="66"/>
      <c r="AQ29"/>
      <c r="AR29"/>
      <c r="AS29" s="52"/>
      <c r="AT29" s="53"/>
      <c r="AU29" s="53"/>
    </row>
    <row r="30" spans="1:47" ht="15" customHeight="1">
      <c r="A30" s="47"/>
      <c r="B30" s="58"/>
      <c r="C30"/>
      <c r="D30" s="787" t="s">
        <v>1</v>
      </c>
      <c r="E30" s="788"/>
      <c r="F30" s="789"/>
      <c r="G30" s="62"/>
      <c r="H30" s="740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U30"/>
      <c r="V30"/>
      <c r="W30" s="47"/>
      <c r="X30" s="58"/>
      <c r="Y30"/>
      <c r="Z30" s="787" t="s">
        <v>1</v>
      </c>
      <c r="AA30" s="788"/>
      <c r="AB30" s="789"/>
      <c r="AC30" s="62"/>
      <c r="AD30" s="740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  <c r="AQ30"/>
      <c r="AR30"/>
      <c r="AS30" s="52"/>
      <c r="AT30" s="53"/>
      <c r="AU30" s="53"/>
    </row>
    <row r="31" spans="1:47">
      <c r="A31" s="47"/>
      <c r="B31" s="58"/>
      <c r="C31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U31"/>
      <c r="V31"/>
      <c r="W31" s="47"/>
      <c r="X31" s="58"/>
      <c r="Y31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  <c r="AQ31"/>
      <c r="AR31"/>
      <c r="AS31" s="52"/>
      <c r="AT31" s="53"/>
      <c r="AU31" s="53"/>
    </row>
    <row r="32" spans="1:47">
      <c r="A32" s="47"/>
      <c r="B32" s="58"/>
      <c r="C32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U32"/>
      <c r="V32"/>
      <c r="W32" s="47"/>
      <c r="X32" s="58"/>
      <c r="Y32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  <c r="AQ32"/>
      <c r="AR32"/>
      <c r="AS32" s="52"/>
      <c r="AT32" s="53"/>
      <c r="AU32" s="53"/>
    </row>
    <row r="33" spans="1:47" ht="15.75" thickBot="1">
      <c r="A33" s="47"/>
      <c r="B33" s="58"/>
      <c r="C33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U33"/>
      <c r="V33"/>
      <c r="W33" s="47"/>
      <c r="X33" s="58"/>
      <c r="Y33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  <c r="AQ33"/>
      <c r="AR33"/>
      <c r="AS33" s="52"/>
      <c r="AT33" s="53"/>
      <c r="AU33" s="53"/>
    </row>
    <row r="34" spans="1:47">
      <c r="A34" s="47"/>
      <c r="B34" s="58"/>
      <c r="C34" s="72"/>
      <c r="D34" s="72"/>
      <c r="E34" s="72"/>
      <c r="F34" s="72"/>
      <c r="G34" s="72"/>
      <c r="H34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AD34"/>
      <c r="AJ34" s="62"/>
      <c r="AK34" s="62"/>
      <c r="AL34" s="62"/>
      <c r="AM34" s="62"/>
      <c r="AN34" s="62"/>
      <c r="AO34" s="62"/>
      <c r="AP34" s="66"/>
      <c r="AQ34" s="52"/>
      <c r="AR34" s="52"/>
      <c r="AS34" s="53"/>
      <c r="AT34" s="53"/>
    </row>
    <row r="35" spans="1:47" ht="15.75" thickBot="1">
      <c r="A35" s="47"/>
      <c r="B35" s="85"/>
      <c r="C35" s="86"/>
      <c r="D35" s="159"/>
      <c r="E35" s="159"/>
      <c r="F35" s="159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160"/>
      <c r="AA35" s="160"/>
      <c r="AB35" s="160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91"/>
      <c r="AR35" s="91"/>
      <c r="AS35" s="53"/>
      <c r="AT35" s="53"/>
    </row>
    <row r="36" spans="1:47" ht="15.75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3"/>
      <c r="V36" s="53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53"/>
      <c r="AR36" s="53"/>
      <c r="AS36" s="53"/>
      <c r="AT36" s="53"/>
    </row>
    <row r="37" spans="1:47" ht="15.75" thickBot="1">
      <c r="A37" s="53"/>
      <c r="B37" s="53"/>
      <c r="C37" s="53"/>
      <c r="G37" s="53"/>
      <c r="H37" s="53"/>
      <c r="I37" s="53"/>
      <c r="J37" s="53"/>
      <c r="K37" s="53"/>
      <c r="L37" s="53"/>
      <c r="M37" s="796" t="s">
        <v>85</v>
      </c>
      <c r="N37" s="797"/>
      <c r="O37" s="798"/>
      <c r="P37" s="53"/>
      <c r="Q37" s="53"/>
      <c r="R37" s="53"/>
      <c r="S37" s="53"/>
      <c r="T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</row>
    <row r="38" spans="1:47">
      <c r="A38" s="53"/>
      <c r="B38" s="53"/>
      <c r="C38" s="53"/>
      <c r="D38"/>
      <c r="E38"/>
      <c r="F3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</row>
    <row r="39" spans="1:47">
      <c r="A39" s="53"/>
      <c r="B39" s="53"/>
      <c r="C39" s="53"/>
      <c r="D39"/>
      <c r="E39"/>
      <c r="F39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</row>
    <row r="40" spans="1:47">
      <c r="A40" s="53"/>
      <c r="B40" s="53"/>
      <c r="C40" s="53"/>
      <c r="D40"/>
      <c r="E40"/>
      <c r="F40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</row>
    <row r="41" spans="1:47">
      <c r="A41" s="53"/>
      <c r="B41" s="53"/>
      <c r="C41" s="53"/>
      <c r="D41"/>
      <c r="E41"/>
      <c r="F4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1:47">
      <c r="A42" s="53"/>
      <c r="B42" s="53"/>
      <c r="C42" s="53"/>
      <c r="D42"/>
      <c r="E42"/>
      <c r="F4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</row>
    <row r="43" spans="1:47">
      <c r="A43" s="53"/>
      <c r="B43" s="53"/>
      <c r="C43" s="5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 s="53"/>
      <c r="AQ43" s="53"/>
      <c r="AR43" s="53"/>
      <c r="AS43" s="53"/>
      <c r="AT43" s="53"/>
    </row>
    <row r="44" spans="1:47">
      <c r="A44" s="53"/>
      <c r="B44" s="53"/>
      <c r="C44" s="5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 s="53"/>
      <c r="AQ44" s="53"/>
      <c r="AR44" s="53"/>
      <c r="AS44" s="53"/>
      <c r="AT44" s="53"/>
    </row>
    <row r="45" spans="1:47">
      <c r="A45" s="53"/>
      <c r="B45" s="53"/>
      <c r="C45" s="5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 s="53"/>
      <c r="AQ45" s="53"/>
      <c r="AR45" s="53"/>
      <c r="AS45" s="53"/>
      <c r="AT45" s="53"/>
    </row>
    <row r="46" spans="1:47">
      <c r="A46" s="53"/>
      <c r="B46" s="53"/>
      <c r="C46" s="53"/>
      <c r="D46" s="53"/>
      <c r="E46" s="53"/>
      <c r="F46" s="5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 s="53"/>
      <c r="AS46" s="53"/>
      <c r="AT46" s="53"/>
    </row>
    <row r="47" spans="1:47">
      <c r="A47" s="53"/>
      <c r="B47" s="53"/>
      <c r="C47" s="53"/>
      <c r="D47" s="53"/>
      <c r="E47" s="53"/>
      <c r="F47" s="5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Q47" s="53"/>
      <c r="AR47" s="53"/>
    </row>
    <row r="48" spans="1:47">
      <c r="A48" s="53"/>
      <c r="B48" s="53"/>
      <c r="C48" s="53"/>
      <c r="D48" s="53"/>
      <c r="E48" s="53"/>
      <c r="F48" s="5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 s="53"/>
      <c r="AQ48" s="53"/>
      <c r="AR48" s="53"/>
      <c r="AS48" s="53"/>
      <c r="AT48" s="53"/>
    </row>
    <row r="49" spans="1:46" ht="22.5" customHeight="1">
      <c r="A49" s="53"/>
      <c r="B49" s="53"/>
      <c r="C49" s="53"/>
      <c r="D49" s="53"/>
      <c r="E49" s="53"/>
      <c r="F49" s="5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 s="53"/>
      <c r="AQ49" s="53"/>
      <c r="AR49" s="53"/>
      <c r="AS49" s="53"/>
      <c r="AT49" s="53"/>
    </row>
    <row r="50" spans="1:46">
      <c r="A50" s="53"/>
      <c r="B50" s="53"/>
      <c r="C50" s="53"/>
      <c r="D50" s="53"/>
      <c r="E50" s="53"/>
      <c r="F50" s="5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 s="53"/>
      <c r="AS50" s="53"/>
    </row>
    <row r="51" spans="1:46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6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6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6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</sheetData>
  <sheetProtection formatCells="0" formatColumns="0" formatRows="0" insertColumns="0" insertRows="0" insertHyperlinks="0" deleteColumns="0" deleteRows="0" sort="0"/>
  <mergeCells count="89">
    <mergeCell ref="D31:F31"/>
    <mergeCell ref="D29:F29"/>
    <mergeCell ref="D33:F33"/>
    <mergeCell ref="D30:F30"/>
    <mergeCell ref="AD29:AJ29"/>
    <mergeCell ref="Z30:AB30"/>
    <mergeCell ref="AD30:AJ30"/>
    <mergeCell ref="H31:N31"/>
    <mergeCell ref="Z29:AB29"/>
    <mergeCell ref="M37:O37"/>
    <mergeCell ref="AD33:AJ33"/>
    <mergeCell ref="Z33:AB33"/>
    <mergeCell ref="D32:F32"/>
    <mergeCell ref="Z32:AB32"/>
    <mergeCell ref="AD32:AJ32"/>
    <mergeCell ref="H33:N33"/>
    <mergeCell ref="H32:N32"/>
    <mergeCell ref="AJ1:AO1"/>
    <mergeCell ref="AB2:AC2"/>
    <mergeCell ref="AE2:AG2"/>
    <mergeCell ref="AH2:AP2"/>
    <mergeCell ref="Z31:AB31"/>
    <mergeCell ref="AD31:AJ31"/>
    <mergeCell ref="AF28:AI28"/>
    <mergeCell ref="AP4:AP5"/>
    <mergeCell ref="Y4:AO4"/>
    <mergeCell ref="AM15:AO15"/>
    <mergeCell ref="AL14:AL15"/>
    <mergeCell ref="Y15:AB15"/>
    <mergeCell ref="AM14:AO14"/>
    <mergeCell ref="Y14:AB14"/>
    <mergeCell ref="AM8:AO8"/>
    <mergeCell ref="AB20:AE20"/>
    <mergeCell ref="Y8:AB8"/>
    <mergeCell ref="AF8:AI8"/>
    <mergeCell ref="Y9:AB9"/>
    <mergeCell ref="AF9:AI9"/>
    <mergeCell ref="T4:T5"/>
    <mergeCell ref="X8:X9"/>
    <mergeCell ref="AE8:AE9"/>
    <mergeCell ref="B1:D1"/>
    <mergeCell ref="E1:G1"/>
    <mergeCell ref="B2:D2"/>
    <mergeCell ref="F2:G2"/>
    <mergeCell ref="I25:I26"/>
    <mergeCell ref="I1:L1"/>
    <mergeCell ref="C4:S4"/>
    <mergeCell ref="C9:F9"/>
    <mergeCell ref="J8:M8"/>
    <mergeCell ref="J9:M9"/>
    <mergeCell ref="Q8:S8"/>
    <mergeCell ref="C8:F8"/>
    <mergeCell ref="C14:F14"/>
    <mergeCell ref="B8:B9"/>
    <mergeCell ref="I8:I9"/>
    <mergeCell ref="B14:B15"/>
    <mergeCell ref="AA20:AA21"/>
    <mergeCell ref="AH20:AH21"/>
    <mergeCell ref="Q14:S14"/>
    <mergeCell ref="F20:I20"/>
    <mergeCell ref="M20:P20"/>
    <mergeCell ref="J14:M14"/>
    <mergeCell ref="Q15:S15"/>
    <mergeCell ref="AF14:AI14"/>
    <mergeCell ref="X14:X15"/>
    <mergeCell ref="AI20:AL20"/>
    <mergeCell ref="AF26:AI26"/>
    <mergeCell ref="N1:S1"/>
    <mergeCell ref="AE1:AH1"/>
    <mergeCell ref="L2:T2"/>
    <mergeCell ref="X2:Z2"/>
    <mergeCell ref="X1:Z1"/>
    <mergeCell ref="AA1:AC1"/>
    <mergeCell ref="AF25:AI25"/>
    <mergeCell ref="J26:M26"/>
    <mergeCell ref="M21:P21"/>
    <mergeCell ref="AE25:AE26"/>
    <mergeCell ref="AB21:AE21"/>
    <mergeCell ref="AI21:AL21"/>
    <mergeCell ref="I2:K2"/>
    <mergeCell ref="J25:M25"/>
    <mergeCell ref="P14:P15"/>
    <mergeCell ref="E20:E21"/>
    <mergeCell ref="L20:L21"/>
    <mergeCell ref="F21:I21"/>
    <mergeCell ref="C15:F15"/>
    <mergeCell ref="H30:N30"/>
    <mergeCell ref="J28:M28"/>
    <mergeCell ref="H29:N29"/>
  </mergeCells>
  <conditionalFormatting sqref="J14:M14 Y8:AB9 AF8:AF9 AG8:AI8">
    <cfRule type="expression" dxfId="499" priority="229">
      <formula>$E$2=0</formula>
    </cfRule>
  </conditionalFormatting>
  <conditionalFormatting sqref="AF26:AI26">
    <cfRule type="cellIs" dxfId="498" priority="22" operator="equal">
      <formula>0</formula>
    </cfRule>
    <cfRule type="expression" dxfId="497" priority="282" stopIfTrue="1">
      <formula>(AND($AF$8="",$AF$9="",$AM$8=""))</formula>
    </cfRule>
  </conditionalFormatting>
  <conditionalFormatting sqref="AI21:AL21 H32:N33 AB20:AE21 AD33:AJ33 AD31:AJ31 AF25:AI25">
    <cfRule type="cellIs" dxfId="496" priority="51" operator="equal">
      <formula>0</formula>
    </cfRule>
  </conditionalFormatting>
  <conditionalFormatting sqref="AI20">
    <cfRule type="expression" dxfId="495" priority="391">
      <formula>($AI$20="")</formula>
    </cfRule>
  </conditionalFormatting>
  <conditionalFormatting sqref="H33 AD33">
    <cfRule type="expression" dxfId="494" priority="375">
      <formula>$AD$2=5</formula>
    </cfRule>
  </conditionalFormatting>
  <conditionalFormatting sqref="AD33">
    <cfRule type="expression" dxfId="493" priority="237">
      <formula>$AD$2=0</formula>
    </cfRule>
  </conditionalFormatting>
  <conditionalFormatting sqref="Y15">
    <cfRule type="expression" dxfId="492" priority="220">
      <formula>(OR(AA2=3,AA2=4,AA2=5))</formula>
    </cfRule>
  </conditionalFormatting>
  <conditionalFormatting sqref="Y8:AB9 AM8 AF14:AI14 AF8:AF9 AG8:AI8">
    <cfRule type="expression" dxfId="491" priority="189">
      <formula>$AA$2=0</formula>
    </cfRule>
  </conditionalFormatting>
  <conditionalFormatting sqref="AD29">
    <cfRule type="expression" dxfId="490" priority="176">
      <formula>$AD$2=2</formula>
    </cfRule>
    <cfRule type="expression" dxfId="489" priority="244">
      <formula>$AD$2=5</formula>
    </cfRule>
    <cfRule type="expression" dxfId="488" priority="245">
      <formula>$AD$2=4</formula>
    </cfRule>
    <cfRule type="expression" dxfId="487" priority="248">
      <formula>$AD$2=3</formula>
    </cfRule>
    <cfRule type="expression" dxfId="486" priority="250">
      <formula>$H$2=0</formula>
    </cfRule>
  </conditionalFormatting>
  <conditionalFormatting sqref="AD30">
    <cfRule type="expression" dxfId="485" priority="241">
      <formula>$AD$2=0</formula>
    </cfRule>
    <cfRule type="expression" dxfId="484" priority="242">
      <formula>$AD$2=5</formula>
    </cfRule>
    <cfRule type="expression" dxfId="483" priority="243">
      <formula>$AD$2=4</formula>
    </cfRule>
    <cfRule type="expression" dxfId="482" priority="246">
      <formula>$AD$2=3</formula>
    </cfRule>
    <cfRule type="expression" dxfId="481" priority="247">
      <formula>$AD$2=2</formula>
    </cfRule>
  </conditionalFormatting>
  <conditionalFormatting sqref="AD31">
    <cfRule type="expression" dxfId="480" priority="239">
      <formula>$AD$2=0</formula>
    </cfRule>
    <cfRule type="expression" dxfId="479" priority="240">
      <formula>$AD$2=5</formula>
    </cfRule>
    <cfRule type="expression" dxfId="478" priority="251">
      <formula>$AD$2=4</formula>
    </cfRule>
    <cfRule type="expression" dxfId="477" priority="254">
      <formula>$AD$2=3</formula>
    </cfRule>
  </conditionalFormatting>
  <conditionalFormatting sqref="AD32:AJ32">
    <cfRule type="cellIs" dxfId="476" priority="52" operator="equal">
      <formula>0</formula>
    </cfRule>
    <cfRule type="expression" dxfId="475" priority="164">
      <formula>$AD$2=5</formula>
    </cfRule>
    <cfRule type="expression" dxfId="474" priority="238">
      <formula>$AD$2=0</formula>
    </cfRule>
    <cfRule type="expression" dxfId="473" priority="252">
      <formula>$AD$2=4</formula>
    </cfRule>
  </conditionalFormatting>
  <conditionalFormatting sqref="H32 AD32">
    <cfRule type="expression" dxfId="472" priority="168">
      <formula>$H$2=0</formula>
    </cfRule>
  </conditionalFormatting>
  <conditionalFormatting sqref="AD29:AJ29">
    <cfRule type="expression" dxfId="471" priority="165">
      <formula>$AD$2=1</formula>
    </cfRule>
  </conditionalFormatting>
  <conditionalFormatting sqref="H29:N29">
    <cfRule type="expression" dxfId="470" priority="167">
      <formula>$H$2=0</formula>
    </cfRule>
    <cfRule type="expression" dxfId="469" priority="172" stopIfTrue="1">
      <formula>(OR(H2="1",H2="2",H2="3"))</formula>
    </cfRule>
  </conditionalFormatting>
  <conditionalFormatting sqref="H30:N30">
    <cfRule type="expression" dxfId="468" priority="111">
      <formula>(OR(H2="2",H2="3"))</formula>
    </cfRule>
  </conditionalFormatting>
  <conditionalFormatting sqref="H31:N31">
    <cfRule type="cellIs" dxfId="467" priority="56" operator="equal">
      <formula>0</formula>
    </cfRule>
    <cfRule type="expression" dxfId="466" priority="110">
      <formula>(H2="3")</formula>
    </cfRule>
  </conditionalFormatting>
  <conditionalFormatting sqref="AD29:AJ29">
    <cfRule type="expression" dxfId="465" priority="97">
      <formula>$H$2=0</formula>
    </cfRule>
    <cfRule type="expression" dxfId="464" priority="98" stopIfTrue="1">
      <formula>(OR(AD2="1",AD2="2",AD2="3"))</formula>
    </cfRule>
  </conditionalFormatting>
  <conditionalFormatting sqref="AD30:AJ30">
    <cfRule type="expression" dxfId="463" priority="96">
      <formula>(OR(AD2="2",AD2="3"))</formula>
    </cfRule>
  </conditionalFormatting>
  <conditionalFormatting sqref="AD31">
    <cfRule type="expression" dxfId="462" priority="95">
      <formula>(AD2="3")</formula>
    </cfRule>
  </conditionalFormatting>
  <conditionalFormatting sqref="C9:F9 J9:M9 Y9:AB9 AF9">
    <cfRule type="cellIs" dxfId="461" priority="29" operator="equal">
      <formula>$E$2=0</formula>
    </cfRule>
    <cfRule type="expression" dxfId="460" priority="82">
      <formula>(OR($E$2=3,$E$2=4,$E$2=5))</formula>
    </cfRule>
  </conditionalFormatting>
  <conditionalFormatting sqref="C14:F14 Q15:S15 C8:F9 J8:M9 Y8:AB9 AF8:AF9 AF8:AI8 Y14:AB14">
    <cfRule type="expression" dxfId="459" priority="81">
      <formula>(OR($E$2=3,$E$2=4,$E$2=5))</formula>
    </cfRule>
  </conditionalFormatting>
  <conditionalFormatting sqref="J9:M9 C15:F15 AF9 Y15:AB15">
    <cfRule type="expression" dxfId="458" priority="80">
      <formula>(OR($E$2=4,$E$2=5))</formula>
    </cfRule>
  </conditionalFormatting>
  <conditionalFormatting sqref="Y8:AB9 AF8:AI8 AF9 Y14:AB14 AM15:AO15">
    <cfRule type="expression" dxfId="457" priority="73">
      <formula>(OR($AA$2=3,$AA$2=4,$AA$2=5))</formula>
    </cfRule>
  </conditionalFormatting>
  <conditionalFormatting sqref="F21:I21 M21:P21">
    <cfRule type="expression" dxfId="456" priority="38">
      <formula>$E$2=5</formula>
    </cfRule>
    <cfRule type="cellIs" dxfId="455" priority="63" operator="equal">
      <formula>0</formula>
    </cfRule>
  </conditionalFormatting>
  <conditionalFormatting sqref="J25:M25">
    <cfRule type="expression" dxfId="454" priority="20">
      <formula>(OR($F$3=3,$E$2=4,$E$2=5))</formula>
    </cfRule>
    <cfRule type="cellIs" dxfId="453" priority="60" operator="equal">
      <formula>0</formula>
    </cfRule>
  </conditionalFormatting>
  <conditionalFormatting sqref="J26:M26">
    <cfRule type="expression" dxfId="452" priority="19">
      <formula>(OR($E$2=3,$E$2=4,$E$2=5))</formula>
    </cfRule>
    <cfRule type="cellIs" dxfId="451" priority="59" operator="equal">
      <formula>0</formula>
    </cfRule>
  </conditionalFormatting>
  <conditionalFormatting sqref="S24">
    <cfRule type="containsText" dxfId="450" priority="47" operator="containsText" text="5">
      <formula>NOT(ISERROR(SEARCH("5",S24)))</formula>
    </cfRule>
  </conditionalFormatting>
  <conditionalFormatting sqref="F20:I20">
    <cfRule type="cellIs" dxfId="449" priority="18" operator="equal">
      <formula>0</formula>
    </cfRule>
    <cfRule type="expression" dxfId="448" priority="34">
      <formula>$E$2=5</formula>
    </cfRule>
  </conditionalFormatting>
  <pageMargins left="0.15" right="0.2" top="0.31496062992125984" bottom="0.33" header="0.23622047244094491" footer="0.17"/>
  <pageSetup paperSize="9" scale="95" orientation="landscape" horizontalDpi="4294967292" verticalDpi="0" r:id="rId1"/>
  <rowBreaks count="1" manualBreakCount="1">
    <brk id="35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66FF33"/>
    <pageSetUpPr fitToPage="1"/>
  </sheetPr>
  <dimension ref="A1:AR37"/>
  <sheetViews>
    <sheetView zoomScale="70" zoomScaleNormal="70" workbookViewId="0">
      <selection activeCell="AG46" sqref="AG46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7.28515625" customWidth="1"/>
    <col min="21" max="22" width="6" hidden="1" customWidth="1"/>
    <col min="23" max="23" width="6.42578125" customWidth="1"/>
    <col min="24" max="24" width="5.140625" customWidth="1"/>
    <col min="25" max="25" width="6.42578125" customWidth="1"/>
    <col min="26" max="26" width="11.28515625" customWidth="1"/>
    <col min="27" max="27" width="4.42578125" customWidth="1"/>
    <col min="28" max="28" width="7.42578125" customWidth="1"/>
    <col min="29" max="29" width="6" customWidth="1"/>
    <col min="30" max="30" width="8.42578125" customWidth="1"/>
    <col min="31" max="31" width="5.5703125" customWidth="1"/>
    <col min="32" max="32" width="5" customWidth="1"/>
    <col min="33" max="33" width="6.28515625" customWidth="1"/>
    <col min="34" max="34" width="4.42578125" customWidth="1"/>
    <col min="35" max="35" width="13" customWidth="1"/>
    <col min="36" max="38" width="6" customWidth="1"/>
    <col min="39" max="39" width="7.7109375" customWidth="1"/>
    <col min="40" max="40" width="5.28515625" customWidth="1"/>
    <col min="41" max="41" width="12.28515625" customWidth="1"/>
    <col min="42" max="42" width="6" customWidth="1"/>
    <col min="43" max="43" width="7.42578125" hidden="1" customWidth="1"/>
    <col min="44" max="44" width="6.42578125" hidden="1" customWidth="1"/>
  </cols>
  <sheetData>
    <row r="1" spans="1:44" ht="23.25" customHeight="1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16" t="str">
        <f>Données!$D$3</f>
        <v>Féminine</v>
      </c>
      <c r="I1" s="813">
        <f>Données!$M$3</f>
        <v>0</v>
      </c>
      <c r="J1" s="813"/>
      <c r="K1" s="813"/>
      <c r="L1" s="813"/>
      <c r="M1" s="17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41">
        <f>+Données!D17</f>
        <v>0</v>
      </c>
      <c r="U1" s="36"/>
      <c r="V1" s="36"/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16" t="str">
        <f>Données!$D$3</f>
        <v>Féminine</v>
      </c>
      <c r="AE1" s="813">
        <f>Données!$M$3</f>
        <v>0</v>
      </c>
      <c r="AF1" s="813"/>
      <c r="AG1" s="813"/>
      <c r="AH1" s="813"/>
      <c r="AI1" s="17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6"/>
    </row>
    <row r="2" spans="1:44" ht="24" customHeight="1" thickBot="1">
      <c r="A2" s="3"/>
      <c r="B2" s="811" t="s">
        <v>19</v>
      </c>
      <c r="C2" s="812"/>
      <c r="D2" s="812"/>
      <c r="E2" s="42">
        <f>Données!G17</f>
        <v>0</v>
      </c>
      <c r="F2" s="813" t="s">
        <v>21</v>
      </c>
      <c r="G2" s="813"/>
      <c r="H2" s="9">
        <f>Données!$G$18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U2" s="35"/>
      <c r="V2" s="35"/>
      <c r="W2" s="3"/>
      <c r="X2" s="811" t="s">
        <v>20</v>
      </c>
      <c r="Y2" s="812"/>
      <c r="Z2" s="812"/>
      <c r="AA2" s="23">
        <f>Données!$H$17</f>
        <v>0</v>
      </c>
      <c r="AB2" s="813" t="s">
        <v>21</v>
      </c>
      <c r="AC2" s="813"/>
      <c r="AD2" s="9">
        <f>Données!$H$18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6"/>
    </row>
    <row r="3" spans="1:44" ht="19.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11</v>
      </c>
      <c r="B8" s="784">
        <f>+Données!AE15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13</v>
      </c>
      <c r="I8" s="784">
        <f>+Données!AE17</f>
        <v>0</v>
      </c>
      <c r="J8" s="775" t="str">
        <f>IF(ISNA(MATCH($H$8,Données!$AA$5:$AA$84,0)),"",INDEX(Données!$Y$5:$Y$84,MATCH($H$8,Données!$AA$5:$AA$84,0)))</f>
        <v/>
      </c>
      <c r="K8" s="776"/>
      <c r="L8" s="776"/>
      <c r="M8" s="777"/>
      <c r="N8" s="67">
        <v>1</v>
      </c>
      <c r="O8" s="59"/>
      <c r="P8" s="165">
        <v>15</v>
      </c>
      <c r="Q8" s="816" t="str">
        <f>IF($E$2+$E$3=4,0,IF($E$2+$E$3=3,0,IF(ISNA(MATCH($P$8,Données!$AA$5:$AA$84,0)),"",INDEX(Données!$Y$5:$Y$84,MATCH($P$8,Données!$AA$5:$AA$84,0)))))</f>
        <v/>
      </c>
      <c r="R8" s="817"/>
      <c r="S8" s="818"/>
      <c r="T8" s="68"/>
      <c r="U8" s="62"/>
      <c r="V8" s="62"/>
      <c r="W8" s="156">
        <v>16</v>
      </c>
      <c r="X8" s="784">
        <f>+Données!AE20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18</v>
      </c>
      <c r="AE8" s="784">
        <f>+Données!AE22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20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12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14</v>
      </c>
      <c r="I9" s="785"/>
      <c r="J9" s="734" t="str">
        <f>IF(ISNA(MATCH($H$9,Données!$AA$5:$AA$84,0)),"",INDEX(Données!$Y$5:$Y$84,MATCH($H$9,Données!$AA$5:$AA$84,0)))</f>
        <v/>
      </c>
      <c r="K9" s="735"/>
      <c r="L9" s="735"/>
      <c r="M9" s="736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17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19</v>
      </c>
      <c r="AE9" s="785"/>
      <c r="AF9" s="734" t="str">
        <f>IF(ISNA(MATCH($AD$9,Données!$AA$5:$AA$84,0)),"",INDEX(Données!$Y$5:$Y$84,MATCH($AD$9,Données!$AA$5:$AA$84,0)))</f>
        <v/>
      </c>
      <c r="AG9" s="735"/>
      <c r="AH9" s="735"/>
      <c r="AI9" s="736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166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68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/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162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3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21.75" customHeight="1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6"/>
      <c r="AR36" s="6"/>
    </row>
    <row r="37" spans="1:44" ht="15.75" thickBot="1">
      <c r="A37" s="3"/>
      <c r="B37" s="4"/>
      <c r="C37" s="4"/>
      <c r="G37" s="4"/>
      <c r="H37" s="4"/>
      <c r="I37" s="4"/>
      <c r="J37" s="4"/>
      <c r="K37" s="4"/>
      <c r="L37" s="4"/>
      <c r="M37" s="820" t="s">
        <v>85</v>
      </c>
      <c r="N37" s="821"/>
      <c r="O37" s="822"/>
      <c r="P37" s="4"/>
      <c r="Q37" s="4"/>
      <c r="R37" s="4"/>
      <c r="S37" s="4"/>
      <c r="T37" s="4"/>
      <c r="U37" s="1"/>
      <c r="V37" s="1"/>
      <c r="W37" s="1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AD30:AJ30"/>
    <mergeCell ref="Z31:AB31"/>
    <mergeCell ref="AD31:AJ31"/>
    <mergeCell ref="D32:F32"/>
    <mergeCell ref="H32:N32"/>
    <mergeCell ref="Z32:AB32"/>
    <mergeCell ref="D31:F31"/>
    <mergeCell ref="H31:N31"/>
    <mergeCell ref="AD32:AJ32"/>
    <mergeCell ref="D33:F33"/>
    <mergeCell ref="H33:N33"/>
    <mergeCell ref="Z33:AB33"/>
    <mergeCell ref="AD33:AJ33"/>
    <mergeCell ref="B1:D1"/>
    <mergeCell ref="E1:G1"/>
    <mergeCell ref="X1:Z1"/>
    <mergeCell ref="AA1:AC1"/>
    <mergeCell ref="AJ1:AO1"/>
    <mergeCell ref="I1:L1"/>
    <mergeCell ref="N1:S1"/>
    <mergeCell ref="AE1:AH1"/>
    <mergeCell ref="AP4:AP5"/>
    <mergeCell ref="C4:S4"/>
    <mergeCell ref="Y4:AO4"/>
    <mergeCell ref="X8:X9"/>
    <mergeCell ref="Y8:AB8"/>
    <mergeCell ref="AE8:AE9"/>
    <mergeCell ref="AF8:AI8"/>
    <mergeCell ref="Y9:AB9"/>
    <mergeCell ref="AF9:AI9"/>
    <mergeCell ref="AM8:AO8"/>
    <mergeCell ref="AF25:AI25"/>
    <mergeCell ref="AE25:AE26"/>
    <mergeCell ref="AM14:AO14"/>
    <mergeCell ref="J8:M8"/>
    <mergeCell ref="Q8:S8"/>
    <mergeCell ref="AM15:AO15"/>
    <mergeCell ref="AA20:AA21"/>
    <mergeCell ref="AB20:AE20"/>
    <mergeCell ref="AH20:AH21"/>
    <mergeCell ref="AI20:AL20"/>
    <mergeCell ref="AB21:AE21"/>
    <mergeCell ref="AI21:AL21"/>
    <mergeCell ref="AL14:AL15"/>
    <mergeCell ref="X2:Z2"/>
    <mergeCell ref="AB2:AC2"/>
    <mergeCell ref="AE2:AG2"/>
    <mergeCell ref="AF26:AI26"/>
    <mergeCell ref="J28:M28"/>
    <mergeCell ref="AF28:AI28"/>
    <mergeCell ref="Q14:S14"/>
    <mergeCell ref="X14:X15"/>
    <mergeCell ref="Y14:AB14"/>
    <mergeCell ref="AF14:AI14"/>
    <mergeCell ref="Q15:S15"/>
    <mergeCell ref="Y15:AB15"/>
    <mergeCell ref="AH2:AP2"/>
    <mergeCell ref="J26:M26"/>
    <mergeCell ref="M20:P20"/>
    <mergeCell ref="J25:M25"/>
    <mergeCell ref="AD29:AJ29"/>
    <mergeCell ref="D29:F29"/>
    <mergeCell ref="H29:N29"/>
    <mergeCell ref="Z29:AB29"/>
    <mergeCell ref="D30:F30"/>
    <mergeCell ref="H30:N30"/>
    <mergeCell ref="Z30:AB30"/>
    <mergeCell ref="B2:D2"/>
    <mergeCell ref="F2:G2"/>
    <mergeCell ref="T4:T5"/>
    <mergeCell ref="I2:K2"/>
    <mergeCell ref="L2:T2"/>
    <mergeCell ref="B8:B9"/>
    <mergeCell ref="I8:I9"/>
    <mergeCell ref="C9:F9"/>
    <mergeCell ref="J9:M9"/>
    <mergeCell ref="C8:F8"/>
    <mergeCell ref="B14:B15"/>
    <mergeCell ref="P14:P15"/>
    <mergeCell ref="E20:E21"/>
    <mergeCell ref="L20:L21"/>
    <mergeCell ref="I25:I26"/>
    <mergeCell ref="C15:F15"/>
    <mergeCell ref="F21:I21"/>
    <mergeCell ref="M21:P21"/>
    <mergeCell ref="F20:I20"/>
    <mergeCell ref="C14:F14"/>
    <mergeCell ref="J14:M14"/>
  </mergeCells>
  <conditionalFormatting sqref="G32 AC32">
    <cfRule type="expression" dxfId="447" priority="316">
      <formula>$H$2=5</formula>
    </cfRule>
  </conditionalFormatting>
  <conditionalFormatting sqref="G29:M29 AC29:AI29">
    <cfRule type="expression" dxfId="446" priority="220">
      <formula>$AD$2=5</formula>
    </cfRule>
    <cfRule type="expression" dxfId="445" priority="221">
      <formula>$AD$2=4</formula>
    </cfRule>
    <cfRule type="expression" dxfId="444" priority="222">
      <formula>$AD$2=3</formula>
    </cfRule>
    <cfRule type="expression" dxfId="443" priority="223">
      <formula>$AD$2=2</formula>
    </cfRule>
    <cfRule type="expression" dxfId="442" priority="224">
      <formula>$AD$2=0</formula>
    </cfRule>
  </conditionalFormatting>
  <conditionalFormatting sqref="G30:M30 AC30:AI30">
    <cfRule type="expression" dxfId="441" priority="215">
      <formula>$AD$2=0</formula>
    </cfRule>
    <cfRule type="expression" dxfId="440" priority="216">
      <formula>$AD$2=5</formula>
    </cfRule>
    <cfRule type="expression" dxfId="439" priority="217">
      <formula>$AD$2=4</formula>
    </cfRule>
    <cfRule type="expression" dxfId="438" priority="218">
      <formula>$AD$2=3</formula>
    </cfRule>
    <cfRule type="expression" dxfId="437" priority="219">
      <formula>$AD$2=2</formula>
    </cfRule>
  </conditionalFormatting>
  <conditionalFormatting sqref="AC31:AI31">
    <cfRule type="expression" dxfId="436" priority="227">
      <formula>$AD$2=0</formula>
    </cfRule>
    <cfRule type="expression" dxfId="435" priority="228">
      <formula>$AD$2=5</formula>
    </cfRule>
    <cfRule type="expression" dxfId="434" priority="229">
      <formula>$AD$2=4</formula>
    </cfRule>
    <cfRule type="expression" dxfId="433" priority="230">
      <formula>$AD$2=3</formula>
    </cfRule>
  </conditionalFormatting>
  <conditionalFormatting sqref="AC32:AI32">
    <cfRule type="expression" dxfId="432" priority="225">
      <formula>$H$2=0</formula>
    </cfRule>
    <cfRule type="expression" dxfId="431" priority="226">
      <formula>$H$2=4</formula>
    </cfRule>
  </conditionalFormatting>
  <conditionalFormatting sqref="AC33">
    <cfRule type="expression" dxfId="430" priority="206">
      <formula>$AD$2=0</formula>
    </cfRule>
    <cfRule type="expression" dxfId="429" priority="207">
      <formula>$AD$2=5</formula>
    </cfRule>
  </conditionalFormatting>
  <conditionalFormatting sqref="G33:M33">
    <cfRule type="expression" dxfId="428" priority="204">
      <formula>$H$2=0</formula>
    </cfRule>
    <cfRule type="expression" dxfId="427" priority="205">
      <formula>$H$2=5</formula>
    </cfRule>
  </conditionalFormatting>
  <conditionalFormatting sqref="G31:M31">
    <cfRule type="expression" dxfId="426" priority="200">
      <formula>$H$2=0</formula>
    </cfRule>
    <cfRule type="expression" dxfId="425" priority="201">
      <formula>$H$2=5</formula>
    </cfRule>
    <cfRule type="expression" dxfId="424" priority="202">
      <formula>$H$2=4</formula>
    </cfRule>
    <cfRule type="expression" dxfId="423" priority="203">
      <formula>$H$2=3</formula>
    </cfRule>
  </conditionalFormatting>
  <conditionalFormatting sqref="G32:M32">
    <cfRule type="expression" dxfId="422" priority="199">
      <formula>$H$2=4</formula>
    </cfRule>
  </conditionalFormatting>
  <conditionalFormatting sqref="H33 AD33">
    <cfRule type="expression" dxfId="421" priority="181">
      <formula>$AD$2=5</formula>
    </cfRule>
  </conditionalFormatting>
  <conditionalFormatting sqref="AD33">
    <cfRule type="expression" dxfId="420" priority="180">
      <formula>$AD$2=0</formula>
    </cfRule>
  </conditionalFormatting>
  <conditionalFormatting sqref="AD29">
    <cfRule type="expression" dxfId="419" priority="171">
      <formula>$AD$2=2</formula>
    </cfRule>
    <cfRule type="expression" dxfId="418" priority="172">
      <formula>$AD$2=5</formula>
    </cfRule>
    <cfRule type="expression" dxfId="417" priority="173">
      <formula>$AD$2=4</formula>
    </cfRule>
    <cfRule type="expression" dxfId="416" priority="174">
      <formula>$AD$2=3</formula>
    </cfRule>
    <cfRule type="expression" dxfId="415" priority="175">
      <formula>$H$2=0</formula>
    </cfRule>
  </conditionalFormatting>
  <conditionalFormatting sqref="AD31:AJ31">
    <cfRule type="expression" dxfId="414" priority="162">
      <formula>$AD$2=0</formula>
    </cfRule>
    <cfRule type="expression" dxfId="413" priority="163">
      <formula>$AD$2=5</formula>
    </cfRule>
    <cfRule type="expression" dxfId="412" priority="164">
      <formula>$AD$2=4</formula>
    </cfRule>
    <cfRule type="expression" dxfId="411" priority="165">
      <formula>$AD$2=3</formula>
    </cfRule>
  </conditionalFormatting>
  <conditionalFormatting sqref="AD32:AJ32">
    <cfRule type="expression" dxfId="410" priority="159">
      <formula>$AD$2=5</formula>
    </cfRule>
    <cfRule type="expression" dxfId="409" priority="160">
      <formula>$AD$2=0</formula>
    </cfRule>
    <cfRule type="expression" dxfId="408" priority="161">
      <formula>$AD$2=4</formula>
    </cfRule>
  </conditionalFormatting>
  <conditionalFormatting sqref="H32 AD32">
    <cfRule type="expression" dxfId="407" priority="156">
      <formula>$H$2=5</formula>
    </cfRule>
    <cfRule type="expression" dxfId="406" priority="157">
      <formula>$H$2=4</formula>
    </cfRule>
    <cfRule type="expression" dxfId="405" priority="158">
      <formula>$H$2=0</formula>
    </cfRule>
  </conditionalFormatting>
  <conditionalFormatting sqref="AD29:AJ29">
    <cfRule type="expression" dxfId="404" priority="155">
      <formula>$AD$2=1</formula>
    </cfRule>
  </conditionalFormatting>
  <conditionalFormatting sqref="H29:N29">
    <cfRule type="expression" dxfId="403" priority="153">
      <formula>$H$2=0</formula>
    </cfRule>
    <cfRule type="expression" dxfId="402" priority="154" stopIfTrue="1">
      <formula>(OR(H2="1",H2="2",H2="3"))</formula>
    </cfRule>
  </conditionalFormatting>
  <conditionalFormatting sqref="H30:N30">
    <cfRule type="expression" dxfId="401" priority="152">
      <formula>(OR(H2="2",H2="3"))</formula>
    </cfRule>
  </conditionalFormatting>
  <conditionalFormatting sqref="H31:N31">
    <cfRule type="expression" dxfId="400" priority="151">
      <formula>(H2="3")</formula>
    </cfRule>
  </conditionalFormatting>
  <conditionalFormatting sqref="H32:N33 AD31:AJ33 F20:I21 AI21:AL21 AB21:AE21 M21:P21">
    <cfRule type="cellIs" dxfId="399" priority="150" operator="equal">
      <formula>0</formula>
    </cfRule>
  </conditionalFormatting>
  <conditionalFormatting sqref="AD29:AJ29">
    <cfRule type="expression" dxfId="398" priority="138">
      <formula>$H$2=0</formula>
    </cfRule>
    <cfRule type="expression" dxfId="397" priority="139" stopIfTrue="1">
      <formula>(OR(AD2="1",AD2="2",AD2="3"))</formula>
    </cfRule>
  </conditionalFormatting>
  <conditionalFormatting sqref="AD30:AJ30">
    <cfRule type="expression" dxfId="396" priority="137">
      <formula>(OR(AD2="2",AD2="3"))</formula>
    </cfRule>
  </conditionalFormatting>
  <conditionalFormatting sqref="AD31:AJ31">
    <cfRule type="expression" dxfId="395" priority="136">
      <formula>(AD2="3")</formula>
    </cfRule>
  </conditionalFormatting>
  <conditionalFormatting sqref="AD32:AJ32">
    <cfRule type="cellIs" dxfId="394" priority="97" operator="equal">
      <formula>0</formula>
    </cfRule>
    <cfRule type="expression" dxfId="393" priority="98">
      <formula>$AD$2=5</formula>
    </cfRule>
    <cfRule type="expression" dxfId="392" priority="99">
      <formula>$AD$2=0</formula>
    </cfRule>
    <cfRule type="expression" dxfId="391" priority="100">
      <formula>$AD$2=4</formula>
    </cfRule>
  </conditionalFormatting>
  <conditionalFormatting sqref="H32 AD32">
    <cfRule type="expression" dxfId="390" priority="96">
      <formula>$H$2=0</formula>
    </cfRule>
  </conditionalFormatting>
  <conditionalFormatting sqref="H29:N29">
    <cfRule type="expression" dxfId="389" priority="93">
      <formula>$H$2=0</formula>
    </cfRule>
    <cfRule type="expression" dxfId="388" priority="94" stopIfTrue="1">
      <formula>(OR(H2="1",H2="2",H2="3"))</formula>
    </cfRule>
  </conditionalFormatting>
  <conditionalFormatting sqref="H30:N30">
    <cfRule type="expression" dxfId="387" priority="92">
      <formula>(OR(H2="2",H2="3"))</formula>
    </cfRule>
  </conditionalFormatting>
  <conditionalFormatting sqref="H31:N31">
    <cfRule type="cellIs" dxfId="386" priority="90" operator="equal">
      <formula>0</formula>
    </cfRule>
    <cfRule type="expression" dxfId="385" priority="91">
      <formula>(H2="3")</formula>
    </cfRule>
  </conditionalFormatting>
  <conditionalFormatting sqref="AD29:AJ29">
    <cfRule type="expression" dxfId="384" priority="88">
      <formula>$H$2=0</formula>
    </cfRule>
    <cfRule type="expression" dxfId="383" priority="89" stopIfTrue="1">
      <formula>(OR(AD2="1",AD2="2",AD2="3"))</formula>
    </cfRule>
  </conditionalFormatting>
  <conditionalFormatting sqref="AD30:AJ30">
    <cfRule type="expression" dxfId="382" priority="87">
      <formula>(OR(AD2="2",AD2="3"))</formula>
    </cfRule>
  </conditionalFormatting>
  <conditionalFormatting sqref="AD31">
    <cfRule type="expression" dxfId="381" priority="86">
      <formula>(AD2="3")</formula>
    </cfRule>
  </conditionalFormatting>
  <conditionalFormatting sqref="J8:M8">
    <cfRule type="expression" dxfId="380" priority="16">
      <formula>(OR($E$2=3,$E$2=4,$E$2=5))</formula>
    </cfRule>
  </conditionalFormatting>
  <conditionalFormatting sqref="AF9:AI9">
    <cfRule type="cellIs" dxfId="379" priority="8" operator="equal">
      <formula>$E$2=0</formula>
    </cfRule>
  </conditionalFormatting>
  <conditionalFormatting sqref="AM15:AO15">
    <cfRule type="expression" dxfId="378" priority="6">
      <formula>(OR($AA$2=3,$AA$2=4,$AA$2=5))</formula>
    </cfRule>
  </conditionalFormatting>
  <conditionalFormatting sqref="C8:F8">
    <cfRule type="expression" dxfId="377" priority="1">
      <formula>(OR($E$2=3,$E$2=4,$E$2=5))</formula>
    </cfRule>
  </conditionalFormatting>
  <pageMargins left="0.23622047244094491" right="0.23622047244094491" top="0.74803149606299213" bottom="0.19685039370078741" header="0.31496062992125984" footer="0.31496062992125984"/>
  <pageSetup paperSize="9" scale="50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0070C0"/>
    <pageSetUpPr fitToPage="1"/>
  </sheetPr>
  <dimension ref="A1:AR40"/>
  <sheetViews>
    <sheetView zoomScale="70" zoomScaleNormal="70" workbookViewId="0">
      <selection activeCell="AC53" sqref="AC53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7.28515625" customWidth="1"/>
    <col min="21" max="21" width="7.85546875" hidden="1" customWidth="1"/>
    <col min="22" max="22" width="5.140625" hidden="1" customWidth="1"/>
    <col min="23" max="23" width="6.42578125" customWidth="1"/>
    <col min="24" max="24" width="6.285156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7.710937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8" customWidth="1"/>
    <col min="43" max="43" width="7.28515625" hidden="1" customWidth="1"/>
    <col min="44" max="44" width="7.85546875" hidden="1" customWidth="1"/>
  </cols>
  <sheetData>
    <row r="1" spans="1:44" ht="24.75" customHeight="1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18" t="str">
        <f>Données!$D$3</f>
        <v>Féminine</v>
      </c>
      <c r="I1" s="813">
        <f>Données!$M$3</f>
        <v>0</v>
      </c>
      <c r="J1" s="813"/>
      <c r="K1" s="813"/>
      <c r="L1" s="813"/>
      <c r="M1" s="19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7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18" t="str">
        <f>Données!$D$3</f>
        <v>Féminine</v>
      </c>
      <c r="AE1" s="813">
        <f>Données!$M$3</f>
        <v>0</v>
      </c>
      <c r="AF1" s="813"/>
      <c r="AG1" s="813"/>
      <c r="AH1" s="813"/>
      <c r="AI1" s="19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6"/>
    </row>
    <row r="2" spans="1:44" ht="20.25" customHeight="1" thickBot="1">
      <c r="A2" s="3"/>
      <c r="B2" s="819" t="s">
        <v>27</v>
      </c>
      <c r="C2" s="813"/>
      <c r="D2" s="813"/>
      <c r="E2" s="20">
        <f>Données!I17</f>
        <v>0</v>
      </c>
      <c r="F2" s="813" t="s">
        <v>21</v>
      </c>
      <c r="G2" s="813"/>
      <c r="H2" s="9">
        <f>Données!I18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W2" s="3"/>
      <c r="X2" s="819" t="s">
        <v>28</v>
      </c>
      <c r="Y2" s="813"/>
      <c r="Z2" s="813"/>
      <c r="AA2" s="8">
        <f>Données!J17</f>
        <v>0</v>
      </c>
      <c r="AB2" s="813" t="s">
        <v>21</v>
      </c>
      <c r="AC2" s="813"/>
      <c r="AD2" s="9">
        <f>Données!J18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6"/>
    </row>
    <row r="3" spans="1:44" ht="15.7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21</v>
      </c>
      <c r="B8" s="784">
        <f>+Données!AE25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23</v>
      </c>
      <c r="I8" s="784">
        <f>+Données!AE27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25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26</v>
      </c>
      <c r="X8" s="784">
        <f>+Données!AE30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28</v>
      </c>
      <c r="AE8" s="784">
        <f>+Données!AE32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30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22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2">
        <v>0</v>
      </c>
      <c r="H9" s="164">
        <v>24</v>
      </c>
      <c r="I9" s="785"/>
      <c r="J9" s="734" t="str">
        <f>IF(ISNA(MATCH($H$9,Données!$AA$5:$AA$84,0)),"0ffice",INDEX(Données!$Y$5:$Y$84,MATCH($H$9,Données!$AA$5:$AA$84,0)))</f>
        <v>0ffice</v>
      </c>
      <c r="K9" s="735"/>
      <c r="L9" s="735"/>
      <c r="M9" s="736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27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29</v>
      </c>
      <c r="AE9" s="785"/>
      <c r="AF9" s="734" t="str">
        <f>IF(ISNA(MATCH($AD$9,Données!$AA$5:$AA$84,0)),"",INDEX(Données!$Y$5:$Y$84,MATCH($AD$9,Données!$AA$5:$AA$84,0)))</f>
        <v/>
      </c>
      <c r="AG9" s="735"/>
      <c r="AH9" s="735"/>
      <c r="AI9" s="736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166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0ffice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162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2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IF($E$2+$E$3=5,$J$14)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823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824"/>
      <c r="AH26" s="824"/>
      <c r="AI26" s="825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6"/>
    </row>
    <row r="37" spans="1:44" ht="15.75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20" t="s">
        <v>85</v>
      </c>
      <c r="N37" s="821"/>
      <c r="O37" s="822"/>
      <c r="P37" s="10"/>
      <c r="Q37" s="10"/>
      <c r="R37" s="10"/>
      <c r="S37" s="10"/>
      <c r="T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4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AF28:AI28"/>
    <mergeCell ref="J28:M28"/>
    <mergeCell ref="B1:D1"/>
    <mergeCell ref="E1:G1"/>
    <mergeCell ref="X1:Z1"/>
    <mergeCell ref="AA1:AC1"/>
    <mergeCell ref="E20:E21"/>
    <mergeCell ref="F20:I20"/>
    <mergeCell ref="L20:L21"/>
    <mergeCell ref="M20:P20"/>
    <mergeCell ref="F2:G2"/>
    <mergeCell ref="C4:S4"/>
    <mergeCell ref="I2:K2"/>
    <mergeCell ref="B2:D2"/>
    <mergeCell ref="L2:T2"/>
    <mergeCell ref="T4:T5"/>
    <mergeCell ref="AJ1:AO1"/>
    <mergeCell ref="X2:Z2"/>
    <mergeCell ref="AB2:AC2"/>
    <mergeCell ref="AE2:AG2"/>
    <mergeCell ref="AE1:AH1"/>
    <mergeCell ref="AH2:AP2"/>
    <mergeCell ref="AP4:AP5"/>
    <mergeCell ref="Y4:AO4"/>
    <mergeCell ref="I1:L1"/>
    <mergeCell ref="N1:S1"/>
    <mergeCell ref="B8:B9"/>
    <mergeCell ref="C8:F8"/>
    <mergeCell ref="I8:I9"/>
    <mergeCell ref="J8:M8"/>
    <mergeCell ref="Q8:S8"/>
    <mergeCell ref="C9:F9"/>
    <mergeCell ref="J9:M9"/>
    <mergeCell ref="X8:X9"/>
    <mergeCell ref="Y8:AB8"/>
    <mergeCell ref="AE8:AE9"/>
    <mergeCell ref="AF8:AI8"/>
    <mergeCell ref="AM8:AO8"/>
    <mergeCell ref="Y9:AB9"/>
    <mergeCell ref="AF9:AI9"/>
    <mergeCell ref="B14:B15"/>
    <mergeCell ref="C14:F14"/>
    <mergeCell ref="J14:M14"/>
    <mergeCell ref="P14:P15"/>
    <mergeCell ref="Q14:S14"/>
    <mergeCell ref="AF14:AI14"/>
    <mergeCell ref="AL14:AL15"/>
    <mergeCell ref="AM14:AO14"/>
    <mergeCell ref="C15:F15"/>
    <mergeCell ref="Q15:S15"/>
    <mergeCell ref="Y15:AB15"/>
    <mergeCell ref="AM15:AO15"/>
    <mergeCell ref="X14:X15"/>
    <mergeCell ref="Y14:AB14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  <mergeCell ref="D29:F29"/>
    <mergeCell ref="H29:N29"/>
    <mergeCell ref="Z29:AB29"/>
    <mergeCell ref="AD29:AJ29"/>
    <mergeCell ref="D30:F30"/>
    <mergeCell ref="H30:N30"/>
    <mergeCell ref="Z30:AB30"/>
    <mergeCell ref="AD30:AJ30"/>
    <mergeCell ref="D33:F33"/>
    <mergeCell ref="H33:N33"/>
    <mergeCell ref="Z33:AB33"/>
    <mergeCell ref="AD33:AJ33"/>
    <mergeCell ref="D31:F31"/>
    <mergeCell ref="H31:N31"/>
    <mergeCell ref="Z31:AB31"/>
    <mergeCell ref="AD31:AJ31"/>
    <mergeCell ref="D32:F32"/>
    <mergeCell ref="H32:N32"/>
    <mergeCell ref="Z32:AB32"/>
    <mergeCell ref="AD32:AJ32"/>
  </mergeCells>
  <conditionalFormatting sqref="H32">
    <cfRule type="expression" dxfId="376" priority="140">
      <formula>$H$2=5</formula>
    </cfRule>
    <cfRule type="expression" dxfId="375" priority="141">
      <formula>$H$2=4</formula>
    </cfRule>
    <cfRule type="expression" dxfId="374" priority="142">
      <formula>$H$2=0</formula>
    </cfRule>
  </conditionalFormatting>
  <conditionalFormatting sqref="H29:N29">
    <cfRule type="expression" dxfId="373" priority="137">
      <formula>$H$2=0</formula>
    </cfRule>
    <cfRule type="expression" dxfId="372" priority="138" stopIfTrue="1">
      <formula>(OR(H2="1",H2="2",H2="3"))</formula>
    </cfRule>
  </conditionalFormatting>
  <conditionalFormatting sqref="H30:N30">
    <cfRule type="expression" dxfId="371" priority="136">
      <formula>(OR(H2="2",H2="3"))</formula>
    </cfRule>
  </conditionalFormatting>
  <conditionalFormatting sqref="H31:N31">
    <cfRule type="expression" dxfId="370" priority="135">
      <formula>(H2="3")</formula>
    </cfRule>
  </conditionalFormatting>
  <conditionalFormatting sqref="H32:N33 AD32:AJ33 AD31 F20:I21 AB20:AE21 AI21:AL21 M21:P21">
    <cfRule type="cellIs" dxfId="369" priority="134" operator="equal">
      <formula>0</formula>
    </cfRule>
  </conditionalFormatting>
  <conditionalFormatting sqref="H33 AD33">
    <cfRule type="expression" dxfId="368" priority="165">
      <formula>$AF$2=5</formula>
    </cfRule>
  </conditionalFormatting>
  <conditionalFormatting sqref="AD33">
    <cfRule type="expression" dxfId="367" priority="164">
      <formula>$AA$2=0</formula>
    </cfRule>
  </conditionalFormatting>
  <conditionalFormatting sqref="AD30">
    <cfRule type="expression" dxfId="366" priority="150" stopIfTrue="1">
      <formula>$AA$2=0</formula>
    </cfRule>
    <cfRule type="expression" dxfId="365" priority="151">
      <formula>$AF$2=5</formula>
    </cfRule>
    <cfRule type="expression" dxfId="364" priority="152">
      <formula>$AF$2=4</formula>
    </cfRule>
    <cfRule type="expression" dxfId="363" priority="153">
      <formula>$AF$2=3</formula>
    </cfRule>
    <cfRule type="expression" dxfId="362" priority="154">
      <formula>$AF$2=2</formula>
    </cfRule>
  </conditionalFormatting>
  <conditionalFormatting sqref="AD31">
    <cfRule type="expression" dxfId="361" priority="146" stopIfTrue="1">
      <formula>$AA$2=0</formula>
    </cfRule>
    <cfRule type="expression" dxfId="360" priority="147">
      <formula>$AF$2=5</formula>
    </cfRule>
    <cfRule type="expression" dxfId="359" priority="148">
      <formula>$AF$2=4</formula>
    </cfRule>
    <cfRule type="expression" dxfId="358" priority="149">
      <formula>$AF$2=3</formula>
    </cfRule>
  </conditionalFormatting>
  <conditionalFormatting sqref="AD32:AJ32">
    <cfRule type="expression" dxfId="357" priority="143">
      <formula>$AF$2=5</formula>
    </cfRule>
    <cfRule type="expression" dxfId="356" priority="144" stopIfTrue="1">
      <formula>$AA$2=0</formula>
    </cfRule>
    <cfRule type="expression" dxfId="355" priority="145">
      <formula>$AF$2=4</formula>
    </cfRule>
  </conditionalFormatting>
  <conditionalFormatting sqref="AD29:AJ29">
    <cfRule type="expression" dxfId="354" priority="139">
      <formula>$AF$2=1</formula>
    </cfRule>
  </conditionalFormatting>
  <conditionalFormatting sqref="AD32">
    <cfRule type="expression" dxfId="353" priority="124">
      <formula>$H$2=5</formula>
    </cfRule>
    <cfRule type="expression" dxfId="352" priority="125">
      <formula>$H$2=4</formula>
    </cfRule>
    <cfRule type="expression" dxfId="351" priority="126">
      <formula>$AA$2=0</formula>
    </cfRule>
  </conditionalFormatting>
  <conditionalFormatting sqref="AD29:AJ29">
    <cfRule type="expression" dxfId="350" priority="122" stopIfTrue="1">
      <formula>$AA$2=0</formula>
    </cfRule>
    <cfRule type="expression" dxfId="349" priority="123" stopIfTrue="1">
      <formula>(OR(AF2="1",AF2="2",AF2="3"))</formula>
    </cfRule>
  </conditionalFormatting>
  <conditionalFormatting sqref="AD30:AJ30">
    <cfRule type="expression" dxfId="348" priority="121">
      <formula>(OR(AF2="2",AF2="3"))</formula>
    </cfRule>
  </conditionalFormatting>
  <conditionalFormatting sqref="AD31">
    <cfRule type="expression" dxfId="347" priority="120">
      <formula>(AF2="3")</formula>
    </cfRule>
  </conditionalFormatting>
  <conditionalFormatting sqref="AD29">
    <cfRule type="expression" dxfId="346" priority="204">
      <formula>$AF$2=2</formula>
    </cfRule>
    <cfRule type="expression" dxfId="345" priority="205">
      <formula>$AF$2=5</formula>
    </cfRule>
    <cfRule type="expression" dxfId="344" priority="206">
      <formula>$AF$2=4</formula>
    </cfRule>
    <cfRule type="expression" dxfId="343" priority="207">
      <formula>$AF$2=3</formula>
    </cfRule>
    <cfRule type="expression" dxfId="342" priority="208">
      <formula>$H$2=0</formula>
    </cfRule>
  </conditionalFormatting>
  <conditionalFormatting sqref="H33 AD33">
    <cfRule type="expression" dxfId="341" priority="103">
      <formula>$AD$2=5</formula>
    </cfRule>
  </conditionalFormatting>
  <conditionalFormatting sqref="AD33">
    <cfRule type="expression" dxfId="340" priority="102">
      <formula>$AD$2=0</formula>
    </cfRule>
  </conditionalFormatting>
  <conditionalFormatting sqref="AD29">
    <cfRule type="expression" dxfId="339" priority="94">
      <formula>$AD$2=2</formula>
    </cfRule>
    <cfRule type="expression" dxfId="338" priority="95">
      <formula>$AD$2=5</formula>
    </cfRule>
    <cfRule type="expression" dxfId="337" priority="96">
      <formula>$AD$2=4</formula>
    </cfRule>
    <cfRule type="expression" dxfId="336" priority="97">
      <formula>$AD$2=3</formula>
    </cfRule>
    <cfRule type="expression" dxfId="335" priority="98">
      <formula>$H$2=0</formula>
    </cfRule>
  </conditionalFormatting>
  <conditionalFormatting sqref="AD30">
    <cfRule type="expression" dxfId="334" priority="89">
      <formula>$AD$2=0</formula>
    </cfRule>
    <cfRule type="expression" dxfId="333" priority="90">
      <formula>$AD$2=5</formula>
    </cfRule>
    <cfRule type="expression" dxfId="332" priority="91">
      <formula>$AD$2=4</formula>
    </cfRule>
    <cfRule type="expression" dxfId="331" priority="92">
      <formula>$AD$2=3</formula>
    </cfRule>
    <cfRule type="expression" dxfId="330" priority="93">
      <formula>$AD$2=2</formula>
    </cfRule>
  </conditionalFormatting>
  <conditionalFormatting sqref="AD31">
    <cfRule type="expression" dxfId="329" priority="85">
      <formula>$AD$2=0</formula>
    </cfRule>
    <cfRule type="expression" dxfId="328" priority="86">
      <formula>$AD$2=5</formula>
    </cfRule>
    <cfRule type="expression" dxfId="327" priority="87">
      <formula>$AD$2=4</formula>
    </cfRule>
    <cfRule type="expression" dxfId="326" priority="88">
      <formula>$AD$2=3</formula>
    </cfRule>
  </conditionalFormatting>
  <conditionalFormatting sqref="AD32:AJ32">
    <cfRule type="cellIs" dxfId="325" priority="81" operator="equal">
      <formula>0</formula>
    </cfRule>
    <cfRule type="expression" dxfId="324" priority="82">
      <formula>$AD$2=5</formula>
    </cfRule>
    <cfRule type="expression" dxfId="323" priority="83">
      <formula>$AD$2=0</formula>
    </cfRule>
    <cfRule type="expression" dxfId="322" priority="84">
      <formula>$AD$2=4</formula>
    </cfRule>
  </conditionalFormatting>
  <conditionalFormatting sqref="H32 AD32">
    <cfRule type="expression" dxfId="321" priority="80">
      <formula>$H$2=0</formula>
    </cfRule>
  </conditionalFormatting>
  <conditionalFormatting sqref="AD29:AJ29">
    <cfRule type="expression" dxfId="320" priority="79">
      <formula>$AD$2=1</formula>
    </cfRule>
  </conditionalFormatting>
  <conditionalFormatting sqref="H29:N29">
    <cfRule type="expression" dxfId="319" priority="77">
      <formula>$H$2=0</formula>
    </cfRule>
    <cfRule type="expression" dxfId="318" priority="78" stopIfTrue="1">
      <formula>(OR(H2="1",H2="2",H2="3"))</formula>
    </cfRule>
  </conditionalFormatting>
  <conditionalFormatting sqref="H30:N30">
    <cfRule type="expression" dxfId="317" priority="76">
      <formula>(OR(H2="2",H2="3"))</formula>
    </cfRule>
  </conditionalFormatting>
  <conditionalFormatting sqref="H31:N31">
    <cfRule type="cellIs" dxfId="316" priority="74" operator="equal">
      <formula>0</formula>
    </cfRule>
    <cfRule type="expression" dxfId="315" priority="75">
      <formula>(H2="3")</formula>
    </cfRule>
  </conditionalFormatting>
  <conditionalFormatting sqref="AD29:AJ29">
    <cfRule type="expression" dxfId="314" priority="72">
      <formula>$H$2=0</formula>
    </cfRule>
    <cfRule type="expression" dxfId="313" priority="73" stopIfTrue="1">
      <formula>(OR(AD2="1",AD2="2",AD2="3"))</formula>
    </cfRule>
  </conditionalFormatting>
  <conditionalFormatting sqref="AD30:AJ30">
    <cfRule type="expression" dxfId="312" priority="71">
      <formula>(OR(AD2="2",AD2="3"))</formula>
    </cfRule>
  </conditionalFormatting>
  <conditionalFormatting sqref="AD31">
    <cfRule type="expression" dxfId="311" priority="70">
      <formula>(AD2="3")</formula>
    </cfRule>
  </conditionalFormatting>
  <conditionalFormatting sqref="C8:F9 AF26">
    <cfRule type="expression" dxfId="310" priority="43">
      <formula>(OR($E$2=3,$E$2=4,$E$2=5))</formula>
    </cfRule>
  </conditionalFormatting>
  <pageMargins left="0.7" right="0.7" top="0.75" bottom="0.75" header="0.3" footer="0.3"/>
  <pageSetup paperSize="9" scale="7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rgb="FF66FF33"/>
  </sheetPr>
  <dimension ref="A1:AR39"/>
  <sheetViews>
    <sheetView zoomScale="70" zoomScaleNormal="70" workbookViewId="0">
      <selection activeCell="X8" sqref="X8:X9"/>
    </sheetView>
  </sheetViews>
  <sheetFormatPr baseColWidth="10" defaultRowHeight="15"/>
  <cols>
    <col min="1" max="1" width="4" customWidth="1"/>
    <col min="2" max="2" width="5.57031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7" customWidth="1"/>
    <col min="21" max="21" width="7" hidden="1" customWidth="1"/>
    <col min="22" max="22" width="5.140625" hidden="1" customWidth="1"/>
    <col min="23" max="23" width="6.42578125" customWidth="1"/>
    <col min="24" max="24" width="6.285156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5" customWidth="1"/>
    <col min="31" max="31" width="6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7.7109375" customWidth="1"/>
    <col min="43" max="43" width="7" hidden="1" customWidth="1"/>
    <col min="44" max="44" width="5.5703125" hidden="1" customWidth="1"/>
  </cols>
  <sheetData>
    <row r="1" spans="1:44" ht="21.75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21" t="str">
        <f>Données!$D$3</f>
        <v>Féminine</v>
      </c>
      <c r="I1" s="813">
        <f>Données!$M$3</f>
        <v>0</v>
      </c>
      <c r="J1" s="813"/>
      <c r="K1" s="813"/>
      <c r="L1" s="813"/>
      <c r="M1" s="22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7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21" t="str">
        <f>Données!$D$3</f>
        <v>Féminine</v>
      </c>
      <c r="AE1" s="813">
        <f>Données!$M$3</f>
        <v>0</v>
      </c>
      <c r="AF1" s="813"/>
      <c r="AG1" s="813"/>
      <c r="AH1" s="813"/>
      <c r="AI1" s="22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6"/>
    </row>
    <row r="2" spans="1:44" ht="19.5" customHeight="1" thickBot="1">
      <c r="A2" s="3"/>
      <c r="B2" s="819" t="s">
        <v>29</v>
      </c>
      <c r="C2" s="813"/>
      <c r="D2" s="813"/>
      <c r="E2" s="20">
        <f>Données!K17</f>
        <v>0</v>
      </c>
      <c r="F2" s="813" t="s">
        <v>21</v>
      </c>
      <c r="G2" s="813"/>
      <c r="H2" s="9">
        <f>Données!K18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U2" s="35"/>
      <c r="V2" s="35"/>
      <c r="W2" s="3"/>
      <c r="X2" s="819" t="s">
        <v>30</v>
      </c>
      <c r="Y2" s="813"/>
      <c r="Z2" s="813"/>
      <c r="AA2" s="8">
        <f>Données!L17</f>
        <v>0</v>
      </c>
      <c r="AB2" s="813" t="s">
        <v>21</v>
      </c>
      <c r="AC2" s="813"/>
      <c r="AD2" s="9">
        <f>Données!L18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6"/>
    </row>
    <row r="3" spans="1:44" ht="15.7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31</v>
      </c>
      <c r="B8" s="784">
        <f>+Données!AE35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33</v>
      </c>
      <c r="I8" s="784">
        <f>+Données!AE37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35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36</v>
      </c>
      <c r="X8" s="784">
        <f>+Données!AE40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38</v>
      </c>
      <c r="AE8" s="784">
        <f>+Données!AE42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40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32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34</v>
      </c>
      <c r="I9" s="785"/>
      <c r="J9" s="778" t="s">
        <v>114</v>
      </c>
      <c r="K9" s="735"/>
      <c r="L9" s="735"/>
      <c r="M9" s="736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37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39</v>
      </c>
      <c r="AE9" s="785"/>
      <c r="AF9" s="829" t="str">
        <f>IF(ISNA(MATCH($AD$9,Données!$AA$5:$AA$84,0)),"",INDEX(Données!$Y$5:$Y$84,MATCH($AD$9,Données!$AA$5:$AA$84,0)))</f>
        <v/>
      </c>
      <c r="AG9" s="830"/>
      <c r="AH9" s="830"/>
      <c r="AI9" s="831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 t="s">
        <v>159</v>
      </c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166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D7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162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2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/>
    <row r="37" spans="1:44" ht="15.75" thickBot="1">
      <c r="M37" s="820" t="s">
        <v>85</v>
      </c>
      <c r="N37" s="821"/>
      <c r="O37" s="822"/>
    </row>
    <row r="39" spans="1:4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I1:L1"/>
    <mergeCell ref="N1:S1"/>
    <mergeCell ref="B1:D1"/>
    <mergeCell ref="E1:G1"/>
    <mergeCell ref="B2:D2"/>
    <mergeCell ref="F2:G2"/>
    <mergeCell ref="I2:K2"/>
    <mergeCell ref="L2:T2"/>
    <mergeCell ref="J28:M28"/>
    <mergeCell ref="D32:F32"/>
    <mergeCell ref="H32:N32"/>
    <mergeCell ref="B14:B15"/>
    <mergeCell ref="C14:F14"/>
    <mergeCell ref="J14:M14"/>
    <mergeCell ref="P14:P15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AF28:AI28"/>
    <mergeCell ref="D29:F29"/>
    <mergeCell ref="H29:N29"/>
    <mergeCell ref="Z29:AB29"/>
    <mergeCell ref="AD29:AJ29"/>
    <mergeCell ref="Z32:AB32"/>
    <mergeCell ref="AD32:AJ32"/>
    <mergeCell ref="D33:F33"/>
    <mergeCell ref="H33:N33"/>
    <mergeCell ref="Z33:AB33"/>
    <mergeCell ref="AD33:AJ33"/>
    <mergeCell ref="E20:E21"/>
    <mergeCell ref="F20:I20"/>
    <mergeCell ref="L20:L21"/>
    <mergeCell ref="M20:P20"/>
    <mergeCell ref="Y9:AB9"/>
    <mergeCell ref="AA20:AA21"/>
    <mergeCell ref="AB20:AE20"/>
    <mergeCell ref="AF9:AI9"/>
    <mergeCell ref="B8:B9"/>
    <mergeCell ref="C8:F8"/>
    <mergeCell ref="I8:I9"/>
    <mergeCell ref="J8:M8"/>
    <mergeCell ref="Q8:S8"/>
    <mergeCell ref="C9:F9"/>
    <mergeCell ref="J9:M9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  <mergeCell ref="H30:N30"/>
    <mergeCell ref="Z30:AB30"/>
    <mergeCell ref="AD30:AJ30"/>
    <mergeCell ref="D31:F31"/>
    <mergeCell ref="H31:N31"/>
    <mergeCell ref="Z31:AB31"/>
    <mergeCell ref="AD31:AJ31"/>
    <mergeCell ref="D30:F30"/>
  </mergeCells>
  <conditionalFormatting sqref="H32">
    <cfRule type="expression" dxfId="309" priority="204">
      <formula>$H$2=5</formula>
    </cfRule>
    <cfRule type="expression" dxfId="308" priority="205">
      <formula>$H$2=4</formula>
    </cfRule>
    <cfRule type="expression" dxfId="307" priority="206">
      <formula>$H$2=0</formula>
    </cfRule>
  </conditionalFormatting>
  <conditionalFormatting sqref="H29:N29">
    <cfRule type="expression" dxfId="306" priority="201">
      <formula>$H$2=0</formula>
    </cfRule>
    <cfRule type="expression" dxfId="305" priority="202" stopIfTrue="1">
      <formula>(OR(H2="1",H2="2",H2="3"))</formula>
    </cfRule>
  </conditionalFormatting>
  <conditionalFormatting sqref="H30:N30">
    <cfRule type="expression" dxfId="304" priority="200">
      <formula>(OR(H2="2",H2="3"))</formula>
    </cfRule>
  </conditionalFormatting>
  <conditionalFormatting sqref="H31:N31">
    <cfRule type="expression" dxfId="303" priority="199">
      <formula>(H2="3")</formula>
    </cfRule>
  </conditionalFormatting>
  <conditionalFormatting sqref="H32:N33 AD31:AJ33 C14:F15 Q14:S15 M20:P21 J25:M26 F21:I21 AB21:AE21 AI21:AL21">
    <cfRule type="cellIs" dxfId="302" priority="198" operator="equal">
      <formula>0</formula>
    </cfRule>
  </conditionalFormatting>
  <conditionalFormatting sqref="AD32">
    <cfRule type="expression" dxfId="301" priority="188">
      <formula>$H$2=5</formula>
    </cfRule>
    <cfRule type="expression" dxfId="300" priority="189">
      <formula>$H$2=4</formula>
    </cfRule>
    <cfRule type="expression" dxfId="299" priority="190">
      <formula>$AA$2=0</formula>
    </cfRule>
  </conditionalFormatting>
  <conditionalFormatting sqref="H33 AD33">
    <cfRule type="expression" dxfId="298" priority="229">
      <formula>$AF$2=5</formula>
    </cfRule>
  </conditionalFormatting>
  <conditionalFormatting sqref="AD33">
    <cfRule type="expression" dxfId="297" priority="228">
      <formula>$AA$2=0</formula>
    </cfRule>
  </conditionalFormatting>
  <conditionalFormatting sqref="AD30">
    <cfRule type="expression" dxfId="296" priority="214">
      <formula>$AA$2=0</formula>
    </cfRule>
    <cfRule type="expression" dxfId="295" priority="215">
      <formula>$AF$2=5</formula>
    </cfRule>
    <cfRule type="expression" dxfId="294" priority="216">
      <formula>$AF$2=4</formula>
    </cfRule>
    <cfRule type="expression" dxfId="293" priority="217">
      <formula>$AF$2=3</formula>
    </cfRule>
    <cfRule type="expression" dxfId="292" priority="218">
      <formula>$AF$2=2</formula>
    </cfRule>
  </conditionalFormatting>
  <conditionalFormatting sqref="AD31:AJ31">
    <cfRule type="expression" dxfId="291" priority="210">
      <formula>$AA$2=0</formula>
    </cfRule>
    <cfRule type="expression" dxfId="290" priority="211">
      <formula>$AF$2=5</formula>
    </cfRule>
    <cfRule type="expression" dxfId="289" priority="212">
      <formula>$AF$2=4</formula>
    </cfRule>
    <cfRule type="expression" dxfId="288" priority="213">
      <formula>$AF$2=3</formula>
    </cfRule>
  </conditionalFormatting>
  <conditionalFormatting sqref="AD32:AJ32">
    <cfRule type="expression" dxfId="287" priority="207">
      <formula>$AF$2=5</formula>
    </cfRule>
    <cfRule type="expression" dxfId="286" priority="208">
      <formula>$AA$2=0</formula>
    </cfRule>
    <cfRule type="expression" dxfId="285" priority="209">
      <formula>$AF$2=4</formula>
    </cfRule>
  </conditionalFormatting>
  <conditionalFormatting sqref="AD29:AJ29">
    <cfRule type="expression" dxfId="284" priority="203">
      <formula>$AF$2=1</formula>
    </cfRule>
  </conditionalFormatting>
  <conditionalFormatting sqref="AD29:AJ29">
    <cfRule type="expression" dxfId="283" priority="186">
      <formula>$AA$2=0</formula>
    </cfRule>
    <cfRule type="expression" dxfId="282" priority="187" stopIfTrue="1">
      <formula>(OR(AF2="1",AF2="2",AF2="3"))</formula>
    </cfRule>
  </conditionalFormatting>
  <conditionalFormatting sqref="AD30:AJ30">
    <cfRule type="expression" dxfId="281" priority="185">
      <formula>(OR(AF2="2",AF2="3"))</formula>
    </cfRule>
  </conditionalFormatting>
  <conditionalFormatting sqref="AD31:AJ31">
    <cfRule type="expression" dxfId="280" priority="184">
      <formula>(AF2="3")</formula>
    </cfRule>
  </conditionalFormatting>
  <conditionalFormatting sqref="AD29">
    <cfRule type="expression" dxfId="279" priority="268">
      <formula>$AF$2=2</formula>
    </cfRule>
    <cfRule type="expression" dxfId="278" priority="269">
      <formula>$AF$2=5</formula>
    </cfRule>
    <cfRule type="expression" dxfId="277" priority="270">
      <formula>$AF$2=4</formula>
    </cfRule>
    <cfRule type="expression" dxfId="276" priority="271">
      <formula>$AF$2=3</formula>
    </cfRule>
    <cfRule type="expression" dxfId="275" priority="272">
      <formula>$AA$2=0</formula>
    </cfRule>
  </conditionalFormatting>
  <conditionalFormatting sqref="H33 AD33">
    <cfRule type="expression" dxfId="274" priority="167">
      <formula>$AD$2=5</formula>
    </cfRule>
  </conditionalFormatting>
  <conditionalFormatting sqref="AD33">
    <cfRule type="expression" dxfId="273" priority="166">
      <formula>$AD$2=0</formula>
    </cfRule>
  </conditionalFormatting>
  <conditionalFormatting sqref="AD29">
    <cfRule type="expression" dxfId="272" priority="158">
      <formula>$AD$2=2</formula>
    </cfRule>
    <cfRule type="expression" dxfId="271" priority="159">
      <formula>$AD$2=5</formula>
    </cfRule>
    <cfRule type="expression" dxfId="270" priority="160">
      <formula>$AD$2=4</formula>
    </cfRule>
    <cfRule type="expression" dxfId="269" priority="161">
      <formula>$AD$2=3</formula>
    </cfRule>
    <cfRule type="expression" dxfId="268" priority="162">
      <formula>$H$2=0</formula>
    </cfRule>
  </conditionalFormatting>
  <conditionalFormatting sqref="AD30">
    <cfRule type="expression" dxfId="267" priority="153">
      <formula>$AD$2=0</formula>
    </cfRule>
    <cfRule type="expression" dxfId="266" priority="154">
      <formula>$AD$2=5</formula>
    </cfRule>
    <cfRule type="expression" dxfId="265" priority="155">
      <formula>$AD$2=4</formula>
    </cfRule>
    <cfRule type="expression" dxfId="264" priority="156">
      <formula>$AD$2=3</formula>
    </cfRule>
    <cfRule type="expression" dxfId="263" priority="157">
      <formula>$AD$2=2</formula>
    </cfRule>
  </conditionalFormatting>
  <conditionalFormatting sqref="AD31">
    <cfRule type="expression" dxfId="262" priority="149">
      <formula>$AD$2=0</formula>
    </cfRule>
    <cfRule type="expression" dxfId="261" priority="150">
      <formula>$AD$2=5</formula>
    </cfRule>
    <cfRule type="expression" dxfId="260" priority="151">
      <formula>$AD$2=4</formula>
    </cfRule>
    <cfRule type="expression" dxfId="259" priority="152">
      <formula>$AD$2=3</formula>
    </cfRule>
  </conditionalFormatting>
  <conditionalFormatting sqref="AD32:AJ32">
    <cfRule type="cellIs" dxfId="258" priority="145" operator="equal">
      <formula>0</formula>
    </cfRule>
    <cfRule type="expression" dxfId="257" priority="146">
      <formula>$AD$2=5</formula>
    </cfRule>
    <cfRule type="expression" dxfId="256" priority="147">
      <formula>$AD$2=0</formula>
    </cfRule>
    <cfRule type="expression" dxfId="255" priority="148">
      <formula>$AD$2=4</formula>
    </cfRule>
  </conditionalFormatting>
  <conditionalFormatting sqref="H32 AD32">
    <cfRule type="expression" dxfId="254" priority="144">
      <formula>$H$2=0</formula>
    </cfRule>
  </conditionalFormatting>
  <conditionalFormatting sqref="AD29:AJ29">
    <cfRule type="expression" dxfId="253" priority="143">
      <formula>$AD$2=1</formula>
    </cfRule>
  </conditionalFormatting>
  <conditionalFormatting sqref="H29:N29">
    <cfRule type="expression" dxfId="252" priority="141">
      <formula>$H$2=0</formula>
    </cfRule>
    <cfRule type="expression" dxfId="251" priority="142" stopIfTrue="1">
      <formula>(OR(H2="1",H2="2",H2="3"))</formula>
    </cfRule>
  </conditionalFormatting>
  <conditionalFormatting sqref="H30:N30">
    <cfRule type="expression" dxfId="250" priority="140">
      <formula>(OR(H2="2",H2="3"))</formula>
    </cfRule>
  </conditionalFormatting>
  <conditionalFormatting sqref="H31:N31">
    <cfRule type="cellIs" dxfId="249" priority="138" operator="equal">
      <formula>0</formula>
    </cfRule>
    <cfRule type="expression" dxfId="248" priority="139">
      <formula>(H2="3")</formula>
    </cfRule>
  </conditionalFormatting>
  <conditionalFormatting sqref="AD29:AJ29">
    <cfRule type="expression" dxfId="247" priority="136">
      <formula>$H$2=0</formula>
    </cfRule>
    <cfRule type="expression" dxfId="246" priority="137" stopIfTrue="1">
      <formula>(OR(AD2="1",AD2="2",AD2="3"))</formula>
    </cfRule>
  </conditionalFormatting>
  <conditionalFormatting sqref="AD30:AJ30">
    <cfRule type="expression" dxfId="245" priority="135">
      <formula>(OR(AD2="2",AD2="3"))</formula>
    </cfRule>
  </conditionalFormatting>
  <conditionalFormatting sqref="AD31">
    <cfRule type="expression" dxfId="244" priority="134">
      <formula>(AD2="3")</formula>
    </cfRule>
  </conditionalFormatting>
  <conditionalFormatting sqref="C8:F9 AF8:AF9 AG8:AI8">
    <cfRule type="expression" dxfId="243" priority="71">
      <formula>(OR($E$2=3,$E$2=4,$E$2=5))</formula>
    </cfRule>
  </conditionalFormatting>
  <conditionalFormatting sqref="AF9">
    <cfRule type="cellIs" dxfId="242" priority="11" operator="equal">
      <formula>$E$2=0</formula>
    </cfRule>
  </conditionalFormatting>
  <conditionalFormatting sqref="F20:I20">
    <cfRule type="cellIs" dxfId="241" priority="4" operator="equal">
      <formula>0</formula>
    </cfRule>
    <cfRule type="cellIs" dxfId="240" priority="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0070C0"/>
    <pageSetUpPr fitToPage="1"/>
  </sheetPr>
  <dimension ref="A1:AR39"/>
  <sheetViews>
    <sheetView zoomScale="70" zoomScaleNormal="70" workbookViewId="0">
      <selection activeCell="Y36" sqref="Y36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7.42578125" customWidth="1"/>
    <col min="21" max="21" width="8.140625" hidden="1" customWidth="1"/>
    <col min="22" max="22" width="5.140625" hidden="1" customWidth="1"/>
    <col min="23" max="23" width="6.42578125" customWidth="1"/>
    <col min="24" max="24" width="6.5703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8.570312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85546875" customWidth="1"/>
    <col min="39" max="39" width="12.28515625" customWidth="1"/>
    <col min="40" max="40" width="6" customWidth="1"/>
    <col min="42" max="42" width="9.42578125" customWidth="1"/>
    <col min="43" max="43" width="8.42578125" hidden="1" customWidth="1"/>
    <col min="44" max="44" width="9.140625" hidden="1" customWidth="1"/>
  </cols>
  <sheetData>
    <row r="1" spans="1:44" ht="21.75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21" t="str">
        <f>Données!$D$3</f>
        <v>Féminine</v>
      </c>
      <c r="I1" s="813">
        <f>Données!$M$3</f>
        <v>0</v>
      </c>
      <c r="J1" s="813"/>
      <c r="K1" s="813"/>
      <c r="L1" s="813"/>
      <c r="M1" s="22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7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21" t="str">
        <f>Données!$D$3</f>
        <v>Féminine</v>
      </c>
      <c r="AE1" s="813">
        <f>Données!$M$3</f>
        <v>0</v>
      </c>
      <c r="AF1" s="813"/>
      <c r="AG1" s="813"/>
      <c r="AH1" s="813"/>
      <c r="AI1" s="22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6"/>
    </row>
    <row r="2" spans="1:44" ht="19.5" customHeight="1" thickBot="1">
      <c r="A2" s="3"/>
      <c r="B2" s="819" t="s">
        <v>31</v>
      </c>
      <c r="C2" s="813"/>
      <c r="D2" s="813"/>
      <c r="E2" s="20">
        <f>Données!M17</f>
        <v>0</v>
      </c>
      <c r="F2" s="813" t="s">
        <v>21</v>
      </c>
      <c r="G2" s="813"/>
      <c r="H2" s="9">
        <f>Données!M18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W2" s="3"/>
      <c r="X2" s="819" t="s">
        <v>32</v>
      </c>
      <c r="Y2" s="813"/>
      <c r="Z2" s="813"/>
      <c r="AA2" s="8">
        <f>Données!N17</f>
        <v>0</v>
      </c>
      <c r="AB2" s="813" t="s">
        <v>21</v>
      </c>
      <c r="AC2" s="813"/>
      <c r="AD2" s="9">
        <f>Données!N18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6"/>
    </row>
    <row r="3" spans="1:44" ht="15.7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41</v>
      </c>
      <c r="B8" s="784">
        <f>+Données!AE45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43</v>
      </c>
      <c r="I8" s="784">
        <f>+Données!AE47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45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46</v>
      </c>
      <c r="X8" s="784">
        <f>+Données!AE50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48</v>
      </c>
      <c r="AE8" s="784">
        <f>+Données!AE52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50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42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44</v>
      </c>
      <c r="I9" s="785"/>
      <c r="J9" s="734" t="str">
        <f>IF(ISNA(MATCH($H$9,Données!$AA$5:$AA$84,0)),"0ffice",INDEX(Données!$Y$5:$Y$84,MATCH($H$9,Données!$AA$5:$AA$84,0)))</f>
        <v>0ffice</v>
      </c>
      <c r="K9" s="735"/>
      <c r="L9" s="735"/>
      <c r="M9" s="736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47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49</v>
      </c>
      <c r="AE9" s="785"/>
      <c r="AF9" s="734" t="str">
        <f>IF(ISNA(MATCH($AD$9,Données!$AA$5:$AA$84,0)),"",INDEX(Données!$Y$5:$Y$84,MATCH($AD$9,Données!$AA$5:$AA$84,0)))</f>
        <v/>
      </c>
      <c r="AG9" s="735"/>
      <c r="AH9" s="735"/>
      <c r="AI9" s="736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60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/>
      <c r="AK14" s="62"/>
      <c r="AL14" s="732"/>
      <c r="AM14" s="760" t="str">
        <f>IF($AA$2+$AA$3=5,$AM$8,IF($AJ$8&gt;$AJ$9,$AF$8,$AF$9))</f>
        <v/>
      </c>
      <c r="AN14" s="761"/>
      <c r="AO14" s="762"/>
      <c r="AP14" s="130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0ffice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93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117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/>
    <row r="37" spans="1:44" ht="15.75" thickBot="1">
      <c r="M37" s="820" t="s">
        <v>85</v>
      </c>
      <c r="N37" s="821"/>
      <c r="O37" s="822"/>
    </row>
    <row r="39" spans="1:4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I1:L1"/>
    <mergeCell ref="N1:S1"/>
    <mergeCell ref="B1:D1"/>
    <mergeCell ref="E1:G1"/>
    <mergeCell ref="B2:D2"/>
    <mergeCell ref="F2:G2"/>
    <mergeCell ref="I2:K2"/>
    <mergeCell ref="L2:T2"/>
    <mergeCell ref="J28:M28"/>
    <mergeCell ref="D32:F32"/>
    <mergeCell ref="H32:N32"/>
    <mergeCell ref="B14:B15"/>
    <mergeCell ref="C14:F14"/>
    <mergeCell ref="J14:M14"/>
    <mergeCell ref="P14:P15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AF28:AI28"/>
    <mergeCell ref="D29:F29"/>
    <mergeCell ref="H29:N29"/>
    <mergeCell ref="Z29:AB29"/>
    <mergeCell ref="AD29:AJ29"/>
    <mergeCell ref="Z32:AB32"/>
    <mergeCell ref="AD32:AJ32"/>
    <mergeCell ref="D33:F33"/>
    <mergeCell ref="H33:N33"/>
    <mergeCell ref="Z33:AB33"/>
    <mergeCell ref="AD33:AJ33"/>
    <mergeCell ref="E20:E21"/>
    <mergeCell ref="F20:I20"/>
    <mergeCell ref="L20:L21"/>
    <mergeCell ref="M20:P20"/>
    <mergeCell ref="Y9:AB9"/>
    <mergeCell ref="AA20:AA21"/>
    <mergeCell ref="AB20:AE20"/>
    <mergeCell ref="AF9:AI9"/>
    <mergeCell ref="B8:B9"/>
    <mergeCell ref="C8:F8"/>
    <mergeCell ref="I8:I9"/>
    <mergeCell ref="J8:M8"/>
    <mergeCell ref="Q8:S8"/>
    <mergeCell ref="C9:F9"/>
    <mergeCell ref="J9:M9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  <mergeCell ref="H30:N30"/>
    <mergeCell ref="Z30:AB30"/>
    <mergeCell ref="AD30:AJ30"/>
    <mergeCell ref="D31:F31"/>
    <mergeCell ref="H31:N31"/>
    <mergeCell ref="Z31:AB31"/>
    <mergeCell ref="AD31:AJ31"/>
    <mergeCell ref="D30:F30"/>
  </mergeCells>
  <conditionalFormatting sqref="H32">
    <cfRule type="expression" dxfId="239" priority="290">
      <formula>$H$2=5</formula>
    </cfRule>
    <cfRule type="expression" dxfId="238" priority="291">
      <formula>$H$2=4</formula>
    </cfRule>
    <cfRule type="expression" dxfId="237" priority="292">
      <formula>$H$2=0</formula>
    </cfRule>
  </conditionalFormatting>
  <conditionalFormatting sqref="H29:N29">
    <cfRule type="expression" dxfId="236" priority="287">
      <formula>$H$2=0</formula>
    </cfRule>
    <cfRule type="expression" dxfId="235" priority="288" stopIfTrue="1">
      <formula>(OR(H2="1",H2="2",H2="3"))</formula>
    </cfRule>
  </conditionalFormatting>
  <conditionalFormatting sqref="H30:N30">
    <cfRule type="expression" dxfId="234" priority="286">
      <formula>(OR(H2="2",H2="3"))</formula>
    </cfRule>
  </conditionalFormatting>
  <conditionalFormatting sqref="H31:N31">
    <cfRule type="expression" dxfId="233" priority="285">
      <formula>(H2="3")</formula>
    </cfRule>
  </conditionalFormatting>
  <conditionalFormatting sqref="H32:N33 AF9:AI9 AD33:AJ33 F21:I21 M21:P21 AB21:AE21 AI21:AL21">
    <cfRule type="cellIs" dxfId="232" priority="284" operator="equal">
      <formula>0</formula>
    </cfRule>
  </conditionalFormatting>
  <conditionalFormatting sqref="H33">
    <cfRule type="expression" dxfId="231" priority="315">
      <formula>$AF$2=5</formula>
    </cfRule>
  </conditionalFormatting>
  <conditionalFormatting sqref="AD30">
    <cfRule type="expression" dxfId="230" priority="301">
      <formula>$AF$2=5</formula>
    </cfRule>
    <cfRule type="expression" dxfId="229" priority="302">
      <formula>$AF$2=4</formula>
    </cfRule>
    <cfRule type="expression" dxfId="228" priority="303">
      <formula>$AF$2=3</formula>
    </cfRule>
    <cfRule type="expression" dxfId="227" priority="304">
      <formula>$AF$2=2</formula>
    </cfRule>
  </conditionalFormatting>
  <conditionalFormatting sqref="AD29:AJ29">
    <cfRule type="expression" priority="6">
      <formula>(OR(FALSE,"OFFICE"))</formula>
    </cfRule>
    <cfRule type="expression" dxfId="226" priority="289">
      <formula>$AF$2=1</formula>
    </cfRule>
  </conditionalFormatting>
  <conditionalFormatting sqref="AD29:AJ29">
    <cfRule type="expression" dxfId="225" priority="273" stopIfTrue="1">
      <formula>(OR(AF2="1",AF2="2",AF2="3"))</formula>
    </cfRule>
  </conditionalFormatting>
  <conditionalFormatting sqref="AD30:AJ30">
    <cfRule type="expression" dxfId="224" priority="271">
      <formula>(OR(AF2="2",AF2="3"))</formula>
    </cfRule>
  </conditionalFormatting>
  <conditionalFormatting sqref="AD29">
    <cfRule type="expression" dxfId="223" priority="354">
      <formula>$AF$2=2</formula>
    </cfRule>
    <cfRule type="expression" dxfId="222" priority="355">
      <formula>$AF$2=5</formula>
    </cfRule>
    <cfRule type="expression" dxfId="221" priority="356">
      <formula>$AF$2=4</formula>
    </cfRule>
    <cfRule type="expression" dxfId="220" priority="357">
      <formula>$AF$2=3</formula>
    </cfRule>
  </conditionalFormatting>
  <conditionalFormatting sqref="H33">
    <cfRule type="expression" dxfId="219" priority="253">
      <formula>$AD$2=5</formula>
    </cfRule>
  </conditionalFormatting>
  <conditionalFormatting sqref="AD29">
    <cfRule type="expression" dxfId="218" priority="244">
      <formula>$AD$2=2</formula>
    </cfRule>
    <cfRule type="expression" dxfId="217" priority="245">
      <formula>$AD$2=5</formula>
    </cfRule>
    <cfRule type="expression" dxfId="216" priority="246">
      <formula>$AD$2=4</formula>
    </cfRule>
    <cfRule type="expression" dxfId="215" priority="247">
      <formula>$AD$2=3</formula>
    </cfRule>
  </conditionalFormatting>
  <conditionalFormatting sqref="AD30">
    <cfRule type="expression" dxfId="214" priority="240">
      <formula>$AD$2=5</formula>
    </cfRule>
    <cfRule type="expression" dxfId="213" priority="241">
      <formula>$AD$2=4</formula>
    </cfRule>
    <cfRule type="expression" dxfId="212" priority="242">
      <formula>$AD$2=3</formula>
    </cfRule>
    <cfRule type="expression" dxfId="211" priority="243">
      <formula>$AD$2=2</formula>
    </cfRule>
  </conditionalFormatting>
  <conditionalFormatting sqref="AD29:AJ29">
    <cfRule type="expression" dxfId="210" priority="229">
      <formula>$AD$2=1</formula>
    </cfRule>
  </conditionalFormatting>
  <conditionalFormatting sqref="H29:N29">
    <cfRule type="expression" dxfId="209" priority="227">
      <formula>$H$2=0</formula>
    </cfRule>
    <cfRule type="expression" dxfId="208" priority="228" stopIfTrue="1">
      <formula>(OR(H2="1",H2="2",H2="3"))</formula>
    </cfRule>
  </conditionalFormatting>
  <conditionalFormatting sqref="H30:N30">
    <cfRule type="expression" dxfId="207" priority="226">
      <formula>(OR(H2="2",H2="3"))</formula>
    </cfRule>
  </conditionalFormatting>
  <conditionalFormatting sqref="H31:N31">
    <cfRule type="cellIs" dxfId="206" priority="224" operator="equal">
      <formula>0</formula>
    </cfRule>
    <cfRule type="expression" dxfId="205" priority="225">
      <formula>(H2="3")</formula>
    </cfRule>
  </conditionalFormatting>
  <conditionalFormatting sqref="AD29:AJ29">
    <cfRule type="expression" dxfId="204" priority="223" stopIfTrue="1">
      <formula>(OR(AD2="1",AD2="2",AD2="3"))</formula>
    </cfRule>
  </conditionalFormatting>
  <conditionalFormatting sqref="AD30:AJ30">
    <cfRule type="expression" dxfId="203" priority="221">
      <formula>(OR(AD2="2",AD2="3"))</formula>
    </cfRule>
  </conditionalFormatting>
  <conditionalFormatting sqref="C9:F9">
    <cfRule type="cellIs" dxfId="202" priority="135" operator="equal">
      <formula>$E$2=0</formula>
    </cfRule>
  </conditionalFormatting>
  <conditionalFormatting sqref="C8:F9 AF8:AI9">
    <cfRule type="expression" dxfId="201" priority="124">
      <formula>(OR($E$2=3,$E$2=4,$E$2=5))</formula>
    </cfRule>
  </conditionalFormatting>
  <pageMargins left="0.7" right="0.7" top="0.75" bottom="0.75" header="0.3" footer="0.3"/>
  <pageSetup paperSize="9" scale="40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66FF33"/>
    <pageSetUpPr fitToPage="1"/>
  </sheetPr>
  <dimension ref="A1:AR40"/>
  <sheetViews>
    <sheetView zoomScale="70" zoomScaleNormal="70" workbookViewId="0">
      <selection activeCell="AM42" sqref="AM42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7.28515625" customWidth="1"/>
    <col min="21" max="21" width="7.28515625" hidden="1" customWidth="1"/>
    <col min="22" max="22" width="5.140625" hidden="1" customWidth="1"/>
    <col min="23" max="23" width="6.42578125" customWidth="1"/>
    <col min="24" max="24" width="6.5703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7.8554687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8.7109375" customWidth="1"/>
    <col min="43" max="43" width="7.140625" hidden="1" customWidth="1"/>
    <col min="44" max="44" width="8.5703125" hidden="1" customWidth="1"/>
  </cols>
  <sheetData>
    <row r="1" spans="1:44" ht="21.75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21" t="str">
        <f>Données!$D$3</f>
        <v>Féminine</v>
      </c>
      <c r="I1" s="813">
        <f>Données!$M$3</f>
        <v>0</v>
      </c>
      <c r="J1" s="813"/>
      <c r="K1" s="813"/>
      <c r="L1" s="813"/>
      <c r="M1" s="22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7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21" t="str">
        <f>Données!$D$3</f>
        <v>Féminine</v>
      </c>
      <c r="AE1" s="813">
        <f>Données!$M$3</f>
        <v>0</v>
      </c>
      <c r="AF1" s="813"/>
      <c r="AG1" s="813"/>
      <c r="AH1" s="813"/>
      <c r="AI1" s="22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6"/>
    </row>
    <row r="2" spans="1:44" ht="19.5" customHeight="1" thickBot="1">
      <c r="A2" s="3"/>
      <c r="B2" s="819" t="s">
        <v>33</v>
      </c>
      <c r="C2" s="813"/>
      <c r="D2" s="813"/>
      <c r="E2" s="20">
        <f>Données!O17</f>
        <v>0</v>
      </c>
      <c r="F2" s="813" t="s">
        <v>21</v>
      </c>
      <c r="G2" s="813"/>
      <c r="H2" s="9">
        <f>Données!O18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W2" s="3"/>
      <c r="X2" s="819" t="s">
        <v>34</v>
      </c>
      <c r="Y2" s="813"/>
      <c r="Z2" s="813"/>
      <c r="AA2" s="8">
        <f>Données!P17</f>
        <v>0</v>
      </c>
      <c r="AB2" s="813" t="s">
        <v>21</v>
      </c>
      <c r="AC2" s="813"/>
      <c r="AD2" s="9">
        <f>Données!P18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6"/>
    </row>
    <row r="3" spans="1:44" ht="15.7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156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51</v>
      </c>
      <c r="B8" s="784">
        <f>+Données!AE55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53</v>
      </c>
      <c r="I8" s="784">
        <f>+Données!AE57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55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56</v>
      </c>
      <c r="X8" s="784">
        <f>+Données!AE60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9">
        <v>58</v>
      </c>
      <c r="AE8" s="784">
        <f>+Données!AE62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60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52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54</v>
      </c>
      <c r="I9" s="785"/>
      <c r="J9" s="734" t="str">
        <f>IF(ISNA(MATCH($H$9,Données!$AA$5:$AA$84,0)),"0ffice",INDEX(Données!$Y$5:$Y$84,MATCH($H$9,Données!$AA$5:$AA$84,0)))</f>
        <v>0ffice</v>
      </c>
      <c r="K9" s="735"/>
      <c r="L9" s="735"/>
      <c r="M9" s="736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57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9">
        <v>59</v>
      </c>
      <c r="AE9" s="785"/>
      <c r="AF9" s="734" t="str">
        <f>IF(ISNA(MATCH($AD$9,Données!$AA$5:$AA$84,0)),"",INDEX(Données!$Y$5:$Y$84,MATCH($AD$9,Données!$AA$5:$AA$84,0)))</f>
        <v/>
      </c>
      <c r="AG9" s="735"/>
      <c r="AH9" s="735"/>
      <c r="AI9" s="736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60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0ffice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93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2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str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OFFICE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str">
        <f>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</f>
        <v>OFFICE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str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OFFICE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str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OFFICE</v>
      </c>
      <c r="AE30" s="741"/>
      <c r="AF30" s="741"/>
      <c r="AG30" s="741"/>
      <c r="AH30" s="741"/>
      <c r="AI30" s="741"/>
      <c r="AJ30" s="742"/>
      <c r="AK30" s="62"/>
      <c r="AL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/>
    <row r="37" spans="1:44" ht="15.75" thickBot="1">
      <c r="M37" s="820" t="s">
        <v>85</v>
      </c>
      <c r="N37" s="821"/>
      <c r="O37" s="822"/>
    </row>
    <row r="40" spans="1:4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37:O37"/>
    <mergeCell ref="I1:L1"/>
    <mergeCell ref="N1:S1"/>
    <mergeCell ref="B1:D1"/>
    <mergeCell ref="E1:G1"/>
    <mergeCell ref="B2:D2"/>
    <mergeCell ref="F2:G2"/>
    <mergeCell ref="I2:K2"/>
    <mergeCell ref="L2:T2"/>
    <mergeCell ref="J28:M28"/>
    <mergeCell ref="D32:F32"/>
    <mergeCell ref="H32:N32"/>
    <mergeCell ref="B14:B15"/>
    <mergeCell ref="C14:F14"/>
    <mergeCell ref="J14:M14"/>
    <mergeCell ref="P14:P15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AF28:AI28"/>
    <mergeCell ref="D29:F29"/>
    <mergeCell ref="H29:N29"/>
    <mergeCell ref="Z29:AB29"/>
    <mergeCell ref="AD29:AJ29"/>
    <mergeCell ref="Z32:AB32"/>
    <mergeCell ref="AD32:AJ32"/>
    <mergeCell ref="D33:F33"/>
    <mergeCell ref="H33:N33"/>
    <mergeCell ref="Z33:AB33"/>
    <mergeCell ref="AD33:AJ33"/>
    <mergeCell ref="E20:E21"/>
    <mergeCell ref="F20:I20"/>
    <mergeCell ref="L20:L21"/>
    <mergeCell ref="M20:P20"/>
    <mergeCell ref="Y9:AB9"/>
    <mergeCell ref="AA20:AA21"/>
    <mergeCell ref="AB20:AE20"/>
    <mergeCell ref="AF9:AI9"/>
    <mergeCell ref="B8:B9"/>
    <mergeCell ref="C8:F8"/>
    <mergeCell ref="I8:I9"/>
    <mergeCell ref="J8:M8"/>
    <mergeCell ref="Q8:S8"/>
    <mergeCell ref="C9:F9"/>
    <mergeCell ref="J9:M9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  <mergeCell ref="H30:N30"/>
    <mergeCell ref="Z30:AB30"/>
    <mergeCell ref="AD30:AJ30"/>
    <mergeCell ref="D31:F31"/>
    <mergeCell ref="H31:N31"/>
    <mergeCell ref="Z31:AB31"/>
    <mergeCell ref="AD31:AJ31"/>
    <mergeCell ref="D30:F30"/>
  </mergeCells>
  <conditionalFormatting sqref="H32">
    <cfRule type="expression" dxfId="200" priority="251">
      <formula>$H$2=5</formula>
    </cfRule>
    <cfRule type="expression" dxfId="199" priority="252">
      <formula>$H$2=4</formula>
    </cfRule>
    <cfRule type="expression" dxfId="198" priority="253">
      <formula>$H$2=0</formula>
    </cfRule>
  </conditionalFormatting>
  <conditionalFormatting sqref="H29:N29">
    <cfRule type="expression" dxfId="197" priority="248">
      <formula>$H$2=0</formula>
    </cfRule>
    <cfRule type="expression" dxfId="196" priority="249" stopIfTrue="1">
      <formula>(OR(H2="1",H2="2",H2="3"))</formula>
    </cfRule>
  </conditionalFormatting>
  <conditionalFormatting sqref="H30:N30">
    <cfRule type="expression" dxfId="195" priority="247">
      <formula>(OR(H2="2",H2="3"))</formula>
    </cfRule>
  </conditionalFormatting>
  <conditionalFormatting sqref="H31:N31">
    <cfRule type="expression" dxfId="194" priority="246">
      <formula>(H2="3")</formula>
    </cfRule>
  </conditionalFormatting>
  <conditionalFormatting sqref="H32:N33 AD31:AJ33 Q14:S15 Y8:AB9 F21:I21 M21:P21 AB21:AE21 AI21:AL21">
    <cfRule type="cellIs" dxfId="193" priority="245" operator="equal">
      <formula>0</formula>
    </cfRule>
  </conditionalFormatting>
  <conditionalFormatting sqref="AD32">
    <cfRule type="expression" dxfId="192" priority="237">
      <formula>$AA$2=0</formula>
    </cfRule>
  </conditionalFormatting>
  <conditionalFormatting sqref="AD33 AD31:AJ31">
    <cfRule type="expression" dxfId="191" priority="275">
      <formula>$AA$2=0</formula>
    </cfRule>
  </conditionalFormatting>
  <conditionalFormatting sqref="AD30">
    <cfRule type="expression" dxfId="190" priority="261">
      <formula>$AA$2=0</formula>
    </cfRule>
    <cfRule type="expression" dxfId="189" priority="262">
      <formula>$AF$2=5</formula>
    </cfRule>
    <cfRule type="expression" dxfId="188" priority="263">
      <formula>$AF$2=4</formula>
    </cfRule>
    <cfRule type="expression" dxfId="187" priority="264">
      <formula>$AF$2=3</formula>
    </cfRule>
    <cfRule type="expression" dxfId="186" priority="265">
      <formula>$AF$2=2</formula>
    </cfRule>
  </conditionalFormatting>
  <conditionalFormatting sqref="AD29:AJ29">
    <cfRule type="expression" dxfId="185" priority="233">
      <formula>$AA$2=0</formula>
    </cfRule>
    <cfRule type="expression" dxfId="184" priority="234">
      <formula>(OR(AD2="1",AD2="2",AD2="3"))</formula>
    </cfRule>
  </conditionalFormatting>
  <conditionalFormatting sqref="AD30:AJ30">
    <cfRule type="expression" dxfId="183" priority="232">
      <formula>(OR(AD2="2",AD2="3"))</formula>
    </cfRule>
  </conditionalFormatting>
  <conditionalFormatting sqref="AD31:AJ31">
    <cfRule type="expression" dxfId="182" priority="231">
      <formula>(AD2="3")</formula>
    </cfRule>
  </conditionalFormatting>
  <conditionalFormatting sqref="H33 AD33">
    <cfRule type="expression" dxfId="181" priority="214">
      <formula>$AD$2=5</formula>
    </cfRule>
  </conditionalFormatting>
  <conditionalFormatting sqref="AD33">
    <cfRule type="expression" dxfId="180" priority="213">
      <formula>$AD$2=0</formula>
    </cfRule>
  </conditionalFormatting>
  <conditionalFormatting sqref="AD29">
    <cfRule type="expression" dxfId="179" priority="205">
      <formula>$AD$2=2</formula>
    </cfRule>
    <cfRule type="expression" dxfId="178" priority="206">
      <formula>$AD$2=5</formula>
    </cfRule>
    <cfRule type="expression" dxfId="177" priority="207">
      <formula>$AD$2=4</formula>
    </cfRule>
    <cfRule type="expression" dxfId="176" priority="208">
      <formula>$AD$2=3</formula>
    </cfRule>
    <cfRule type="expression" dxfId="175" priority="209">
      <formula>$H$2=0</formula>
    </cfRule>
  </conditionalFormatting>
  <conditionalFormatting sqref="AD30">
    <cfRule type="expression" dxfId="174" priority="200">
      <formula>$AD$2=0</formula>
    </cfRule>
    <cfRule type="expression" dxfId="173" priority="201">
      <formula>$AD$2=5</formula>
    </cfRule>
    <cfRule type="expression" dxfId="172" priority="202">
      <formula>$AD$2=4</formula>
    </cfRule>
    <cfRule type="expression" dxfId="171" priority="203">
      <formula>$AD$2=3</formula>
    </cfRule>
    <cfRule type="expression" dxfId="170" priority="204">
      <formula>$AD$2=2</formula>
    </cfRule>
  </conditionalFormatting>
  <conditionalFormatting sqref="AD31">
    <cfRule type="expression" dxfId="169" priority="196">
      <formula>$AD$2=0</formula>
    </cfRule>
    <cfRule type="expression" dxfId="168" priority="197">
      <formula>$AD$2=5</formula>
    </cfRule>
    <cfRule type="expression" dxfId="167" priority="198">
      <formula>$AD$2=4</formula>
    </cfRule>
    <cfRule type="expression" dxfId="166" priority="199">
      <formula>$AD$2=3</formula>
    </cfRule>
  </conditionalFormatting>
  <conditionalFormatting sqref="AD32:AJ32">
    <cfRule type="cellIs" dxfId="165" priority="192" operator="equal">
      <formula>0</formula>
    </cfRule>
    <cfRule type="expression" dxfId="164" priority="193">
      <formula>$AD$2=5</formula>
    </cfRule>
    <cfRule type="expression" dxfId="163" priority="194">
      <formula>$AD$2=0</formula>
    </cfRule>
    <cfRule type="expression" dxfId="162" priority="195">
      <formula>$AD$2=4</formula>
    </cfRule>
  </conditionalFormatting>
  <conditionalFormatting sqref="H32 AD32">
    <cfRule type="expression" dxfId="161" priority="191">
      <formula>$H$2=0</formula>
    </cfRule>
  </conditionalFormatting>
  <conditionalFormatting sqref="AD29:AJ29">
    <cfRule type="expression" dxfId="160" priority="190">
      <formula>$AD$2=1</formula>
    </cfRule>
  </conditionalFormatting>
  <conditionalFormatting sqref="H29:N29">
    <cfRule type="expression" dxfId="159" priority="188">
      <formula>$H$2=0</formula>
    </cfRule>
    <cfRule type="expression" dxfId="158" priority="189" stopIfTrue="1">
      <formula>(OR(H2="1",H2="2",H2="3"))</formula>
    </cfRule>
  </conditionalFormatting>
  <conditionalFormatting sqref="H30:N30">
    <cfRule type="expression" dxfId="157" priority="187">
      <formula>(OR(H2="2",H2="3"))</formula>
    </cfRule>
  </conditionalFormatting>
  <conditionalFormatting sqref="H31:N31">
    <cfRule type="cellIs" dxfId="156" priority="185" operator="equal">
      <formula>0</formula>
    </cfRule>
    <cfRule type="expression" dxfId="155" priority="186">
      <formula>(H2="3")</formula>
    </cfRule>
  </conditionalFormatting>
  <conditionalFormatting sqref="AD29:AJ29">
    <cfRule type="expression" dxfId="154" priority="183">
      <formula>$H$2=0</formula>
    </cfRule>
    <cfRule type="expression" dxfId="153" priority="184" stopIfTrue="1">
      <formula>(OR(AD2="1",AD2="2",AD2="3"))</formula>
    </cfRule>
  </conditionalFormatting>
  <conditionalFormatting sqref="AD30:AJ30">
    <cfRule type="expression" dxfId="152" priority="182">
      <formula>(OR(AD2="2",AD2="3"))</formula>
    </cfRule>
  </conditionalFormatting>
  <conditionalFormatting sqref="AD31">
    <cfRule type="expression" dxfId="151" priority="181">
      <formula>(AD2="3")</formula>
    </cfRule>
  </conditionalFormatting>
  <conditionalFormatting sqref="C8:F9 AF8:AI9">
    <cfRule type="expression" dxfId="150" priority="101">
      <formula>(OR($E$2=3,$E$2=4,$E$2=5))</formula>
    </cfRule>
  </conditionalFormatting>
  <pageMargins left="0.7" right="0.7" top="0.75" bottom="0.75" header="0.3" footer="0.3"/>
  <pageSetup paperSize="9" scale="8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0070C0"/>
    <pageSetUpPr fitToPage="1"/>
  </sheetPr>
  <dimension ref="A1:AR37"/>
  <sheetViews>
    <sheetView zoomScale="70" zoomScaleNormal="70" workbookViewId="0">
      <selection activeCell="Z45" sqref="Z45"/>
    </sheetView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8.28515625" customWidth="1"/>
    <col min="7" max="7" width="6" customWidth="1"/>
    <col min="8" max="8" width="8.1406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5" width="4.42578125" customWidth="1"/>
    <col min="16" max="16" width="6.42578125" customWidth="1"/>
    <col min="17" max="17" width="7.7109375" customWidth="1"/>
    <col min="18" max="18" width="7.42578125" customWidth="1"/>
    <col min="19" max="19" width="9.7109375" customWidth="1"/>
    <col min="20" max="20" width="6.5703125" customWidth="1"/>
    <col min="21" max="21" width="5.42578125" hidden="1" customWidth="1"/>
    <col min="22" max="22" width="5.140625" hidden="1" customWidth="1"/>
    <col min="23" max="24" width="6.42578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9.2851562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8" customWidth="1"/>
    <col min="43" max="43" width="7.140625" hidden="1" customWidth="1"/>
    <col min="44" max="44" width="6.28515625" hidden="1" customWidth="1"/>
  </cols>
  <sheetData>
    <row r="1" spans="1:44" ht="21.75" thickBot="1">
      <c r="A1" s="3"/>
      <c r="B1" s="819" t="s">
        <v>76</v>
      </c>
      <c r="C1" s="813"/>
      <c r="D1" s="813"/>
      <c r="E1" s="813">
        <f>Données!J1</f>
        <v>0</v>
      </c>
      <c r="F1" s="813"/>
      <c r="G1" s="813"/>
      <c r="H1" s="21" t="str">
        <f>Données!$D$3</f>
        <v>Féminine</v>
      </c>
      <c r="I1" s="813">
        <f>Données!$M$3</f>
        <v>0</v>
      </c>
      <c r="J1" s="813"/>
      <c r="K1" s="813"/>
      <c r="L1" s="813"/>
      <c r="M1" s="22" t="str">
        <f>Données!$G$3</f>
        <v>F_U18</v>
      </c>
      <c r="N1" s="819" t="s">
        <v>24</v>
      </c>
      <c r="O1" s="813"/>
      <c r="P1" s="813"/>
      <c r="Q1" s="813"/>
      <c r="R1" s="813"/>
      <c r="S1" s="814"/>
      <c r="T1" s="7">
        <f>+Données!D17</f>
        <v>0</v>
      </c>
      <c r="W1" s="3"/>
      <c r="X1" s="819" t="s">
        <v>76</v>
      </c>
      <c r="Y1" s="813"/>
      <c r="Z1" s="813"/>
      <c r="AA1" s="813">
        <f>Données!J1</f>
        <v>0</v>
      </c>
      <c r="AB1" s="813"/>
      <c r="AC1" s="813"/>
      <c r="AD1" s="11" t="str">
        <f>Données!$D$3</f>
        <v>Féminine</v>
      </c>
      <c r="AE1" s="813">
        <f>Données!$M$3</f>
        <v>0</v>
      </c>
      <c r="AF1" s="813"/>
      <c r="AG1" s="813"/>
      <c r="AH1" s="813"/>
      <c r="AI1" s="12" t="str">
        <f>Données!$G$3</f>
        <v>F_U18</v>
      </c>
      <c r="AJ1" s="819" t="s">
        <v>24</v>
      </c>
      <c r="AK1" s="813"/>
      <c r="AL1" s="813"/>
      <c r="AM1" s="813"/>
      <c r="AN1" s="813"/>
      <c r="AO1" s="814"/>
      <c r="AP1" s="40">
        <f>+Données!D17</f>
        <v>0</v>
      </c>
      <c r="AQ1" s="10"/>
    </row>
    <row r="2" spans="1:44" ht="18.75" customHeight="1" thickBot="1">
      <c r="A2" s="3"/>
      <c r="B2" s="819" t="s">
        <v>35</v>
      </c>
      <c r="C2" s="813"/>
      <c r="D2" s="813"/>
      <c r="E2" s="20">
        <f>Données!Q17</f>
        <v>0</v>
      </c>
      <c r="F2" s="813" t="s">
        <v>21</v>
      </c>
      <c r="G2" s="813"/>
      <c r="H2" s="9">
        <f>Données!Q18</f>
        <v>0</v>
      </c>
      <c r="I2" s="813" t="s">
        <v>22</v>
      </c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W2" s="3"/>
      <c r="X2" s="819" t="s">
        <v>36</v>
      </c>
      <c r="Y2" s="813"/>
      <c r="Z2" s="813"/>
      <c r="AA2" s="8">
        <f>Données!$R$17</f>
        <v>0</v>
      </c>
      <c r="AB2" s="813" t="s">
        <v>21</v>
      </c>
      <c r="AC2" s="813"/>
      <c r="AD2" s="14">
        <f>Données!$R$18</f>
        <v>0</v>
      </c>
      <c r="AE2" s="813" t="s">
        <v>22</v>
      </c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4"/>
      <c r="AQ2" s="10"/>
    </row>
    <row r="3" spans="1:44" ht="15" customHeight="1" thickBot="1">
      <c r="A3" s="47"/>
      <c r="B3" s="58"/>
      <c r="C3" s="59"/>
      <c r="D3" s="59"/>
      <c r="E3" s="59"/>
      <c r="F3" s="167" t="str">
        <f>CONCATENATE(E2,H2)</f>
        <v>00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U3" s="59"/>
      <c r="V3" s="59"/>
      <c r="W3" s="47"/>
      <c r="X3" s="58"/>
      <c r="Y3" s="59"/>
      <c r="Z3" s="59"/>
      <c r="AA3" s="51"/>
      <c r="AB3" s="168" t="str">
        <f>CONCATENATE(AA2,AD2)</f>
        <v>00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52"/>
      <c r="AR3" s="52"/>
    </row>
    <row r="4" spans="1:44" ht="15.75" thickBot="1">
      <c r="A4" s="47"/>
      <c r="B4" s="58"/>
      <c r="C4" s="772" t="s">
        <v>88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4"/>
      <c r="T4" s="786"/>
      <c r="U4" s="61"/>
      <c r="V4" s="61"/>
      <c r="W4" s="47"/>
      <c r="X4" s="58"/>
      <c r="Y4" s="772" t="s">
        <v>88</v>
      </c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4"/>
      <c r="AP4" s="786"/>
      <c r="AQ4" s="52"/>
      <c r="AR4" s="52"/>
    </row>
    <row r="5" spans="1:44">
      <c r="A5" s="47"/>
      <c r="B5" s="58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786"/>
      <c r="U5" s="61"/>
      <c r="V5" s="61"/>
      <c r="W5" s="47"/>
      <c r="X5" s="58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6"/>
      <c r="AQ5" s="52"/>
      <c r="AR5" s="52"/>
    </row>
    <row r="6" spans="1:44" ht="15.75" thickBot="1">
      <c r="A6" s="47"/>
      <c r="B6" s="5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9"/>
      <c r="T6" s="60"/>
      <c r="U6" s="59"/>
      <c r="V6" s="59"/>
      <c r="W6" s="47"/>
      <c r="X6" s="58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59"/>
      <c r="AP6" s="60"/>
      <c r="AQ6" s="52"/>
      <c r="AR6" s="52"/>
    </row>
    <row r="7" spans="1:44" ht="15.75" thickBot="1">
      <c r="A7" s="47"/>
      <c r="B7" s="64" t="s">
        <v>6</v>
      </c>
      <c r="C7" s="65" t="s">
        <v>16</v>
      </c>
      <c r="D7" s="51"/>
      <c r="E7" s="62"/>
      <c r="F7" s="62"/>
      <c r="G7" s="59" t="s">
        <v>5</v>
      </c>
      <c r="H7" s="59"/>
      <c r="I7" s="59" t="s">
        <v>6</v>
      </c>
      <c r="J7" s="65" t="str">
        <f>IF(E2=2,"","C")</f>
        <v>C</v>
      </c>
      <c r="K7" s="51"/>
      <c r="L7" s="62"/>
      <c r="M7" s="62"/>
      <c r="N7" s="59" t="s">
        <v>5</v>
      </c>
      <c r="O7" s="59"/>
      <c r="P7" s="59"/>
      <c r="Q7" s="65" t="s">
        <v>56</v>
      </c>
      <c r="R7" s="62"/>
      <c r="S7" s="62" t="s">
        <v>84</v>
      </c>
      <c r="T7" s="66"/>
      <c r="U7" s="62"/>
      <c r="V7" s="62"/>
      <c r="W7" s="47"/>
      <c r="X7" s="64" t="s">
        <v>6</v>
      </c>
      <c r="Y7" s="65" t="s">
        <v>16</v>
      </c>
      <c r="Z7" s="51"/>
      <c r="AA7" s="62"/>
      <c r="AB7" s="62"/>
      <c r="AC7" s="59" t="s">
        <v>5</v>
      </c>
      <c r="AD7" s="59"/>
      <c r="AE7" s="59" t="s">
        <v>6</v>
      </c>
      <c r="AF7" s="65" t="str">
        <f>IF(AA2=2,"","C")</f>
        <v>C</v>
      </c>
      <c r="AG7" s="51"/>
      <c r="AH7" s="62"/>
      <c r="AI7" s="62"/>
      <c r="AJ7" s="59" t="s">
        <v>5</v>
      </c>
      <c r="AK7" s="59"/>
      <c r="AL7" s="59"/>
      <c r="AM7" s="65" t="s">
        <v>56</v>
      </c>
      <c r="AN7" s="62"/>
      <c r="AO7" s="62" t="s">
        <v>84</v>
      </c>
      <c r="AP7" s="66"/>
      <c r="AQ7" s="52"/>
      <c r="AR7" s="52"/>
    </row>
    <row r="8" spans="1:44" ht="15.75" thickBot="1">
      <c r="A8" s="163">
        <v>61</v>
      </c>
      <c r="B8" s="784">
        <f>+Données!AE65</f>
        <v>0</v>
      </c>
      <c r="C8" s="775" t="str">
        <f>IF(ISNA(MATCH($A$8,Données!$AA$5:$AA$84,0)),"",INDEX(Données!$Y$5:$Y$84,MATCH($A$8,Données!$AA$5:$AA$84,0)))</f>
        <v/>
      </c>
      <c r="D8" s="776"/>
      <c r="E8" s="776"/>
      <c r="F8" s="777"/>
      <c r="G8" s="67">
        <v>1</v>
      </c>
      <c r="H8" s="164">
        <v>63</v>
      </c>
      <c r="I8" s="784">
        <f>+Données!AE67</f>
        <v>0</v>
      </c>
      <c r="J8" s="826" t="str">
        <f>IF(ISNA(MATCH($H$8,Données!$AA$5:$AA$84,0)),"",INDEX(Données!$Y$5:$Y$84,MATCH($H$8,Données!$AA$5:$AA$84,0)))</f>
        <v/>
      </c>
      <c r="K8" s="827"/>
      <c r="L8" s="827"/>
      <c r="M8" s="828"/>
      <c r="N8" s="67">
        <v>1</v>
      </c>
      <c r="O8" s="59"/>
      <c r="P8" s="165">
        <v>65</v>
      </c>
      <c r="Q8" s="793" t="str">
        <f>IF(E2+E3=4,0,IF(E2+E3=3,0,IF(ISNA(MATCH($P$8,Données!$AA$5:$AA$84,0)),"",INDEX(Données!$Y$5:$Y$84,MATCH($P$8,Données!$AA$5:$AA$84,0)))))</f>
        <v/>
      </c>
      <c r="R8" s="794"/>
      <c r="S8" s="795"/>
      <c r="T8" s="68"/>
      <c r="U8" s="62"/>
      <c r="V8" s="62"/>
      <c r="W8" s="156">
        <v>66</v>
      </c>
      <c r="X8" s="784">
        <f>+Données!AE70</f>
        <v>0</v>
      </c>
      <c r="Y8" s="775" t="str">
        <f>IF(ISNA(MATCH($W$8,Données!$AA$5:$AA$84,0)),"",INDEX(Données!$Y$5:$Y$84,MATCH($W$8,Données!$AA$5:$AA$84,0)))</f>
        <v/>
      </c>
      <c r="Z8" s="776"/>
      <c r="AA8" s="776"/>
      <c r="AB8" s="777"/>
      <c r="AC8" s="67">
        <v>1</v>
      </c>
      <c r="AD8" s="164">
        <v>68</v>
      </c>
      <c r="AE8" s="784">
        <f>+Données!AE72</f>
        <v>0</v>
      </c>
      <c r="AF8" s="775" t="str">
        <f>IF(ISNA(MATCH($AD$8,Données!$AA$5:$AA$84,0)),"",INDEX(Données!$Y$5:$Y$84,MATCH($AD$8,Données!$AA$5:$AA$84,0)))</f>
        <v/>
      </c>
      <c r="AG8" s="776"/>
      <c r="AH8" s="776"/>
      <c r="AI8" s="777"/>
      <c r="AJ8" s="67">
        <v>1</v>
      </c>
      <c r="AK8" s="59"/>
      <c r="AL8" s="165">
        <v>70</v>
      </c>
      <c r="AM8" s="793" t="str">
        <f>IF($AA$2+$AA$3=4,0,IF($AA$2+$AA$3=3,0,IF(ISNA(MATCH($AL$8,Données!$AA$5:$AA$84,0)),"",INDEX(Données!$Y$5:$Y$84,MATCH($AL$8,Données!$AA$5:$AA$84,0)))))</f>
        <v/>
      </c>
      <c r="AN8" s="794"/>
      <c r="AO8" s="795"/>
      <c r="AP8" s="68"/>
      <c r="AQ8" s="52"/>
      <c r="AR8" s="52"/>
    </row>
    <row r="9" spans="1:44" ht="15.75" thickBot="1">
      <c r="A9" s="163">
        <v>62</v>
      </c>
      <c r="B9" s="785"/>
      <c r="C9" s="734" t="str">
        <f>IF(ISNA(MATCH($A$9,Données!$AA$5:$AA$84,0)),"",INDEX(Données!$Y$5:$Y$84,MATCH($A$9,Données!$AA$5:$AA$84,0)))</f>
        <v/>
      </c>
      <c r="D9" s="735"/>
      <c r="E9" s="735"/>
      <c r="F9" s="736"/>
      <c r="G9" s="93">
        <v>0</v>
      </c>
      <c r="H9" s="164">
        <v>64</v>
      </c>
      <c r="I9" s="785"/>
      <c r="J9" s="778" t="str">
        <f>IF(ISNA(MATCH($H$9,Données!$AA$5:$AA$84,0)),"0ffice",INDEX(Données!$Y$5:$Y$84,MATCH($H$9,Données!$AA$5:$AA$84,0)))</f>
        <v>0ffice</v>
      </c>
      <c r="K9" s="763"/>
      <c r="L9" s="763"/>
      <c r="M9" s="764"/>
      <c r="N9" s="67">
        <v>0</v>
      </c>
      <c r="O9" s="59"/>
      <c r="P9" s="62"/>
      <c r="Q9" s="70" t="e">
        <f>IF(ISNA(MATCH($P$8,#REF!,0)),"",INDEX(#REF!,MATCH($P$8,#REF!,0)))</f>
        <v>#REF!</v>
      </c>
      <c r="R9" s="62"/>
      <c r="S9" s="62"/>
      <c r="T9" s="66"/>
      <c r="U9" s="62"/>
      <c r="V9" s="62"/>
      <c r="W9" s="156">
        <v>67</v>
      </c>
      <c r="X9" s="785"/>
      <c r="Y9" s="734" t="str">
        <f>IF(ISNA(MATCH($W$9,Données!$AA$5:$AA$84,0)),"",INDEX(Données!$Y$5:$Y$84,MATCH($W$9,Données!$AA$5:$AA$84,0)))</f>
        <v/>
      </c>
      <c r="Z9" s="735"/>
      <c r="AA9" s="735"/>
      <c r="AB9" s="736"/>
      <c r="AC9" s="93">
        <v>0</v>
      </c>
      <c r="AD9" s="164">
        <v>69</v>
      </c>
      <c r="AE9" s="785"/>
      <c r="AF9" s="829" t="str">
        <f>IF(ISNA(MATCH($AD$9,Données!$AA$5:$AA$84,0)),"",INDEX(Données!$Y$5:$Y$84,MATCH($AD$9,Données!$AA$5:$AA$84,0)))</f>
        <v/>
      </c>
      <c r="AG9" s="830"/>
      <c r="AH9" s="830"/>
      <c r="AI9" s="831"/>
      <c r="AJ9" s="67">
        <v>0</v>
      </c>
      <c r="AK9" s="59"/>
      <c r="AL9" s="62"/>
      <c r="AM9" s="70" t="e">
        <f>IF(ISNA(MATCH($AL$8,#REF!,0)),"",INDEX(#REF!,MATCH($AL$8,#REF!,0)))</f>
        <v>#REF!</v>
      </c>
      <c r="AN9" s="62"/>
      <c r="AO9" s="62"/>
      <c r="AP9" s="66"/>
      <c r="AQ9" s="52"/>
      <c r="AR9" s="52"/>
    </row>
    <row r="10" spans="1:44" ht="15.75" thickBot="1">
      <c r="A10" s="47"/>
      <c r="B10" s="58"/>
      <c r="C10" s="103" t="s">
        <v>17</v>
      </c>
      <c r="D10" s="51"/>
      <c r="E10" s="62"/>
      <c r="F10" s="62"/>
      <c r="G10" s="62"/>
      <c r="H10" s="62"/>
      <c r="I10" s="62"/>
      <c r="J10" s="65" t="s">
        <v>55</v>
      </c>
      <c r="K10" s="51"/>
      <c r="L10" s="62"/>
      <c r="M10" s="62"/>
      <c r="N10" s="62"/>
      <c r="O10" s="62"/>
      <c r="P10" s="62"/>
      <c r="Q10" s="62"/>
      <c r="R10" s="62"/>
      <c r="S10" s="62"/>
      <c r="T10" s="66"/>
      <c r="U10" s="62"/>
      <c r="V10" s="62"/>
      <c r="W10" s="47"/>
      <c r="X10" s="58"/>
      <c r="Y10" s="103" t="s">
        <v>17</v>
      </c>
      <c r="Z10" s="51"/>
      <c r="AA10" s="62"/>
      <c r="AB10" s="62"/>
      <c r="AC10" s="62"/>
      <c r="AD10" s="62"/>
      <c r="AE10" s="62"/>
      <c r="AF10" s="65" t="s">
        <v>55</v>
      </c>
      <c r="AG10" s="51"/>
      <c r="AH10" s="62"/>
      <c r="AI10" s="62"/>
      <c r="AJ10" s="62"/>
      <c r="AK10" s="62"/>
      <c r="AL10" s="62"/>
      <c r="AM10" s="62"/>
      <c r="AN10" s="62"/>
      <c r="AO10" s="62"/>
      <c r="AP10" s="66"/>
      <c r="AQ10" s="52"/>
      <c r="AR10" s="52"/>
    </row>
    <row r="11" spans="1:44">
      <c r="A11" s="47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6"/>
      <c r="U11" s="62"/>
      <c r="V11" s="62"/>
      <c r="W11" s="47"/>
      <c r="X11" s="58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6"/>
      <c r="AQ11" s="52"/>
      <c r="AR11" s="52"/>
    </row>
    <row r="12" spans="1:44">
      <c r="A12" s="47"/>
      <c r="B12" s="5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6"/>
      <c r="U12" s="62"/>
      <c r="V12" s="62"/>
      <c r="W12" s="47"/>
      <c r="X12" s="58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6"/>
      <c r="AQ12" s="52"/>
      <c r="AR12" s="52"/>
    </row>
    <row r="13" spans="1:44" ht="15.75" thickBot="1">
      <c r="A13" s="47"/>
      <c r="B13" s="64" t="s">
        <v>6</v>
      </c>
      <c r="C13" s="62"/>
      <c r="D13" s="89" t="s">
        <v>83</v>
      </c>
      <c r="E13" s="62"/>
      <c r="F13" s="62"/>
      <c r="G13" s="59" t="s">
        <v>5</v>
      </c>
      <c r="H13" s="59"/>
      <c r="I13" s="62"/>
      <c r="J13" s="62"/>
      <c r="K13" s="62"/>
      <c r="L13" s="62" t="s">
        <v>84</v>
      </c>
      <c r="M13" s="62"/>
      <c r="N13" s="62"/>
      <c r="O13" s="62"/>
      <c r="P13" s="59" t="s">
        <v>6</v>
      </c>
      <c r="Q13" s="62"/>
      <c r="R13" s="89" t="s">
        <v>82</v>
      </c>
      <c r="S13" s="62"/>
      <c r="T13" s="60" t="s">
        <v>5</v>
      </c>
      <c r="U13" s="71"/>
      <c r="V13" s="72"/>
      <c r="W13" s="47"/>
      <c r="X13" s="73" t="s">
        <v>6</v>
      </c>
      <c r="Y13" s="63"/>
      <c r="Z13" s="63" t="s">
        <v>83</v>
      </c>
      <c r="AA13" s="63"/>
      <c r="AB13" s="63"/>
      <c r="AC13" s="59" t="s">
        <v>5</v>
      </c>
      <c r="AD13" s="59"/>
      <c r="AE13" s="62"/>
      <c r="AF13" s="62"/>
      <c r="AG13" s="62"/>
      <c r="AH13" s="62" t="s">
        <v>84</v>
      </c>
      <c r="AI13" s="62"/>
      <c r="AJ13" s="62"/>
      <c r="AK13" s="62"/>
      <c r="AL13" s="59" t="s">
        <v>6</v>
      </c>
      <c r="AM13" s="62"/>
      <c r="AN13" s="62" t="s">
        <v>82</v>
      </c>
      <c r="AO13" s="62"/>
      <c r="AP13" s="60" t="s">
        <v>5</v>
      </c>
      <c r="AQ13" s="72"/>
      <c r="AR13" s="72"/>
    </row>
    <row r="14" spans="1:44" ht="15.75" thickBot="1">
      <c r="A14" s="47"/>
      <c r="B14" s="732"/>
      <c r="C14" s="775" t="str">
        <f>IF($G$8=$G$9,"résultat",IF($G$8&gt;$G$9,$C$9,$C$8))</f>
        <v/>
      </c>
      <c r="D14" s="782"/>
      <c r="E14" s="782"/>
      <c r="F14" s="783"/>
      <c r="G14" s="67">
        <v>1</v>
      </c>
      <c r="H14" s="59"/>
      <c r="I14" s="62"/>
      <c r="J14" s="768" t="str">
        <f>IF(ISTEXT($Q$8),IF(($G$9=$G$8),"résultat",IF(($N$9=$N$8),"résultat",IF(($U$14=2),$C$8,IF(($V$14=2),$C$9,IF(($U$15=2),$J$9,IF(($V$15=2),J8,0)))))))</f>
        <v/>
      </c>
      <c r="K14" s="769"/>
      <c r="L14" s="769"/>
      <c r="M14" s="770"/>
      <c r="N14" s="68"/>
      <c r="O14" s="62"/>
      <c r="P14" s="732"/>
      <c r="Q14" s="760" t="str">
        <f>IF($E$2+$E$3=5,$Q$8,IF($N$8=$N$9,"résultat",IF($N$8&gt;$N$9,$J$8,$J$9)))</f>
        <v/>
      </c>
      <c r="R14" s="761"/>
      <c r="S14" s="762"/>
      <c r="T14" s="67">
        <v>1</v>
      </c>
      <c r="U14" s="75">
        <f>IF(G8&gt;G9,1)+IF(N8&gt;N9,1)</f>
        <v>2</v>
      </c>
      <c r="V14" s="76">
        <f>IF(G9&gt;G8,1)+IF(N9&gt;N8,1)</f>
        <v>0</v>
      </c>
      <c r="W14" s="47"/>
      <c r="X14" s="732"/>
      <c r="Y14" s="815" t="str">
        <f>IF($AC$8=$AC$9,"résultat",IF($AC$8&gt;$AC$9,$Y$9,$Y$8))</f>
        <v/>
      </c>
      <c r="Z14" s="782"/>
      <c r="AA14" s="782"/>
      <c r="AB14" s="783"/>
      <c r="AC14" s="67">
        <v>1</v>
      </c>
      <c r="AD14" s="59"/>
      <c r="AE14" s="62"/>
      <c r="AF14" s="771" t="str">
        <f>IF(ISTEXT($AM$8),IF(($AC$9=$AC$8),"résultat",IF(($AJ$9=$AJ$8),"résultat",IF(($AQ$14=2),$Y$8,IF(($AR$14=2),$Y$9,IF(($AQ$15=2),$AF$9,IF(($AR$15=2),$AF$8,0)))))))</f>
        <v/>
      </c>
      <c r="AG14" s="769"/>
      <c r="AH14" s="769"/>
      <c r="AI14" s="770"/>
      <c r="AJ14" s="74"/>
      <c r="AK14" s="62"/>
      <c r="AL14" s="732"/>
      <c r="AM14" s="760" t="str">
        <f>IF($AA$2+$AA$3=5,$AM$8,IF($AJ$8&gt;$AJ$9,$AF$8,$AF$9))</f>
        <v/>
      </c>
      <c r="AN14" s="761"/>
      <c r="AO14" s="762"/>
      <c r="AP14" s="67">
        <v>1</v>
      </c>
      <c r="AQ14" s="75">
        <f>IF(AC8&gt;AC9,1)+IF(AJ8&gt;AJ9,1)</f>
        <v>2</v>
      </c>
      <c r="AR14" s="76">
        <f>IF(AC9&gt;AC8,1)+IF(AJ9&gt;AJ8,1)</f>
        <v>0</v>
      </c>
    </row>
    <row r="15" spans="1:44" ht="15.75" thickBot="1">
      <c r="A15" s="47"/>
      <c r="B15" s="733"/>
      <c r="C15" s="737" t="str">
        <f>IF($N$8=$N$9,"résultat",IF($N$8&lt;$N$9,$J$8,$J$9))</f>
        <v>0ffice</v>
      </c>
      <c r="D15" s="738"/>
      <c r="E15" s="738"/>
      <c r="F15" s="739"/>
      <c r="G15" s="77">
        <v>0</v>
      </c>
      <c r="H15" s="59"/>
      <c r="I15" s="62"/>
      <c r="J15" s="78" t="str">
        <f>IF(ISTEXT(J14)," ",0)</f>
        <v xml:space="preserve"> </v>
      </c>
      <c r="K15" s="62"/>
      <c r="L15" s="62"/>
      <c r="M15" s="62"/>
      <c r="N15" s="62"/>
      <c r="O15" s="62"/>
      <c r="P15" s="733"/>
      <c r="Q15" s="737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738"/>
      <c r="S15" s="739"/>
      <c r="T15" s="93">
        <v>0</v>
      </c>
      <c r="U15" s="79">
        <f>IF(G8&gt;G9,1)+IF(N9&gt;N8,1)</f>
        <v>1</v>
      </c>
      <c r="V15" s="80">
        <f>IF(G9&gt;G8,1)+IF(N8&gt;N9,1)</f>
        <v>1</v>
      </c>
      <c r="W15" s="47"/>
      <c r="X15" s="733"/>
      <c r="Y15" s="737" t="str">
        <f>IF($AJ$8=$AJ$9,"résultat",IF($AJ$8&lt;$AJ$9,$AF$8,$AF$9))</f>
        <v/>
      </c>
      <c r="Z15" s="738"/>
      <c r="AA15" s="738"/>
      <c r="AB15" s="739"/>
      <c r="AC15" s="67">
        <v>0</v>
      </c>
      <c r="AD15" s="59"/>
      <c r="AE15" s="62"/>
      <c r="AF15" s="62"/>
      <c r="AG15" s="62"/>
      <c r="AH15" s="62"/>
      <c r="AI15" s="62"/>
      <c r="AJ15" s="62"/>
      <c r="AK15" s="62"/>
      <c r="AL15" s="733"/>
      <c r="AM15" s="737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738"/>
      <c r="AO15" s="739"/>
      <c r="AP15" s="92">
        <v>0</v>
      </c>
      <c r="AQ15" s="79">
        <f>IF(AC8&gt;AC9,1)+IF(AJ9&gt;AJ8,1)</f>
        <v>1</v>
      </c>
      <c r="AR15" s="80">
        <f>IF(AC9&gt;AC8,1)+IF(AJ8&gt;AJ9,1)</f>
        <v>1</v>
      </c>
    </row>
    <row r="16" spans="1:44">
      <c r="A16" s="47"/>
      <c r="B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81"/>
      <c r="Q16" s="62"/>
      <c r="R16" s="62"/>
      <c r="S16" s="62"/>
      <c r="T16" s="66"/>
      <c r="U16" s="62"/>
      <c r="V16" s="62"/>
      <c r="W16" s="47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6"/>
      <c r="AQ16" s="52"/>
      <c r="AR16" s="52"/>
    </row>
    <row r="17" spans="1:44">
      <c r="A17" s="47"/>
      <c r="B17" s="5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6"/>
      <c r="U17" s="62"/>
      <c r="V17" s="62"/>
      <c r="W17" s="47"/>
      <c r="X17" s="5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6"/>
      <c r="AQ17" s="52"/>
      <c r="AR17" s="52"/>
    </row>
    <row r="18" spans="1:44">
      <c r="A18" s="47"/>
      <c r="B18" s="5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4"/>
      <c r="T18" s="66"/>
      <c r="U18" s="62"/>
      <c r="V18" s="62"/>
      <c r="W18" s="47"/>
      <c r="X18" s="58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6"/>
      <c r="AQ18" s="52"/>
      <c r="AR18" s="52"/>
    </row>
    <row r="19" spans="1:44" ht="15.75" thickBot="1">
      <c r="A19" s="47"/>
      <c r="B19" s="58"/>
      <c r="C19" s="62"/>
      <c r="D19" s="62"/>
      <c r="E19" s="59" t="s">
        <v>6</v>
      </c>
      <c r="F19" s="62"/>
      <c r="G19" s="62"/>
      <c r="H19" s="62"/>
      <c r="I19" s="62"/>
      <c r="J19" s="59" t="s">
        <v>5</v>
      </c>
      <c r="K19" s="59"/>
      <c r="L19" s="59" t="s">
        <v>6</v>
      </c>
      <c r="M19" s="62"/>
      <c r="N19" s="62"/>
      <c r="O19" s="62"/>
      <c r="P19" s="62"/>
      <c r="Q19" s="59" t="s">
        <v>5</v>
      </c>
      <c r="R19" s="62"/>
      <c r="S19" s="62"/>
      <c r="T19" s="66"/>
      <c r="U19" s="82"/>
      <c r="V19" s="62"/>
      <c r="W19" s="47"/>
      <c r="X19" s="58"/>
      <c r="Y19" s="62"/>
      <c r="Z19" s="62"/>
      <c r="AA19" s="59" t="s">
        <v>6</v>
      </c>
      <c r="AB19" s="62"/>
      <c r="AC19" s="62"/>
      <c r="AD19" s="62"/>
      <c r="AE19" s="62"/>
      <c r="AF19" s="59" t="s">
        <v>5</v>
      </c>
      <c r="AG19" s="59"/>
      <c r="AH19" s="59" t="s">
        <v>6</v>
      </c>
      <c r="AI19" s="62"/>
      <c r="AJ19" s="62"/>
      <c r="AK19" s="62"/>
      <c r="AL19" s="62"/>
      <c r="AM19" s="59" t="s">
        <v>5</v>
      </c>
      <c r="AN19" s="62"/>
      <c r="AO19" s="62"/>
      <c r="AP19" s="66"/>
      <c r="AQ19" s="52"/>
      <c r="AR19" s="52"/>
    </row>
    <row r="20" spans="1:44" ht="15.75" thickBot="1">
      <c r="A20" s="47"/>
      <c r="B20" s="58"/>
      <c r="C20" s="62"/>
      <c r="D20" s="62"/>
      <c r="E20" s="732"/>
      <c r="F20" s="734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763"/>
      <c r="H20" s="763"/>
      <c r="I20" s="764"/>
      <c r="J20" s="67">
        <v>1</v>
      </c>
      <c r="K20" s="59"/>
      <c r="L20" s="732" t="s">
        <v>18</v>
      </c>
      <c r="M20" s="765" t="b">
        <f>IF($E$2+$E$3=5,$J$14)</f>
        <v>0</v>
      </c>
      <c r="N20" s="766"/>
      <c r="O20" s="766"/>
      <c r="P20" s="767"/>
      <c r="Q20" s="67">
        <v>1</v>
      </c>
      <c r="R20" s="62"/>
      <c r="S20" s="62"/>
      <c r="T20" s="66"/>
      <c r="U20" s="62"/>
      <c r="V20" s="62"/>
      <c r="W20" s="47"/>
      <c r="X20" s="58"/>
      <c r="Y20" s="62"/>
      <c r="Z20" s="62"/>
      <c r="AA20" s="732"/>
      <c r="AB20" s="734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763"/>
      <c r="AD20" s="763"/>
      <c r="AE20" s="764"/>
      <c r="AF20" s="67">
        <v>1</v>
      </c>
      <c r="AG20" s="59"/>
      <c r="AH20" s="732" t="s">
        <v>18</v>
      </c>
      <c r="AI20" s="765" t="b">
        <f>IF($AA$2+$AA$3=5,$AF$14)</f>
        <v>0</v>
      </c>
      <c r="AJ20" s="766"/>
      <c r="AK20" s="766"/>
      <c r="AL20" s="767"/>
      <c r="AM20" s="67">
        <v>1</v>
      </c>
      <c r="AN20" s="62"/>
      <c r="AO20" s="62"/>
      <c r="AP20" s="66"/>
      <c r="AQ20" s="52"/>
      <c r="AR20" s="52"/>
    </row>
    <row r="21" spans="1:44" ht="15.75" thickBot="1">
      <c r="A21" s="47"/>
      <c r="B21" s="58"/>
      <c r="C21" s="62"/>
      <c r="D21" s="62"/>
      <c r="E21" s="733"/>
      <c r="F21" s="734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735"/>
      <c r="H21" s="735"/>
      <c r="I21" s="736"/>
      <c r="J21" s="67">
        <v>0</v>
      </c>
      <c r="K21" s="59"/>
      <c r="L21" s="733"/>
      <c r="M21" s="734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735"/>
      <c r="O21" s="735"/>
      <c r="P21" s="736"/>
      <c r="Q21" s="67">
        <v>0</v>
      </c>
      <c r="R21" s="62"/>
      <c r="S21" s="82"/>
      <c r="T21" s="66"/>
      <c r="U21" s="62"/>
      <c r="V21" s="54"/>
      <c r="W21" s="47"/>
      <c r="X21" s="58"/>
      <c r="Y21" s="62"/>
      <c r="Z21" s="62"/>
      <c r="AA21" s="733"/>
      <c r="AB21" s="734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735"/>
      <c r="AD21" s="735"/>
      <c r="AE21" s="736"/>
      <c r="AF21" s="67">
        <v>0</v>
      </c>
      <c r="AG21" s="59"/>
      <c r="AH21" s="733"/>
      <c r="AI21" s="734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735"/>
      <c r="AK21" s="735"/>
      <c r="AL21" s="736"/>
      <c r="AM21" s="67">
        <v>0</v>
      </c>
      <c r="AN21" s="62"/>
      <c r="AO21" s="62"/>
      <c r="AP21" s="66"/>
      <c r="AQ21" s="52"/>
      <c r="AR21" s="52"/>
    </row>
    <row r="22" spans="1:44">
      <c r="A22" s="47"/>
      <c r="B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6"/>
      <c r="U22" s="62"/>
      <c r="V22" s="62"/>
      <c r="W22" s="47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6"/>
      <c r="AQ22" s="52"/>
      <c r="AR22" s="52"/>
    </row>
    <row r="23" spans="1:44">
      <c r="A23" s="47"/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6"/>
      <c r="U23" s="62"/>
      <c r="V23" s="62"/>
      <c r="W23" s="47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52"/>
      <c r="AR23" s="52"/>
    </row>
    <row r="24" spans="1:44" ht="15.75" thickBot="1">
      <c r="A24" s="47"/>
      <c r="B24" s="58"/>
      <c r="C24" s="62"/>
      <c r="D24" s="62"/>
      <c r="E24" s="62"/>
      <c r="F24" s="62"/>
      <c r="G24" s="62"/>
      <c r="H24" s="62"/>
      <c r="I24" s="59" t="s">
        <v>6</v>
      </c>
      <c r="J24" s="62"/>
      <c r="K24" s="62"/>
      <c r="L24" s="62"/>
      <c r="M24" s="62"/>
      <c r="N24" s="59" t="s">
        <v>5</v>
      </c>
      <c r="O24" s="59"/>
      <c r="P24" s="83"/>
      <c r="Q24" s="62"/>
      <c r="R24" s="62"/>
      <c r="S24" s="62"/>
      <c r="T24" s="66"/>
      <c r="U24" s="62"/>
      <c r="V24" s="62"/>
      <c r="W24" s="47"/>
      <c r="X24" s="58"/>
      <c r="Y24" s="62"/>
      <c r="Z24" s="62"/>
      <c r="AA24" s="62"/>
      <c r="AB24" s="62"/>
      <c r="AC24" s="62"/>
      <c r="AD24" s="62"/>
      <c r="AE24" s="59" t="s">
        <v>6</v>
      </c>
      <c r="AF24" s="62"/>
      <c r="AG24" s="62"/>
      <c r="AH24" s="62"/>
      <c r="AI24" s="62"/>
      <c r="AJ24" s="59" t="s">
        <v>5</v>
      </c>
      <c r="AK24" s="59"/>
      <c r="AL24" s="83"/>
      <c r="AM24" s="62"/>
      <c r="AN24" s="62"/>
      <c r="AO24" s="62"/>
      <c r="AP24" s="66"/>
      <c r="AQ24" s="52"/>
      <c r="AR24" s="52"/>
    </row>
    <row r="25" spans="1:44" ht="15.75" thickBot="1">
      <c r="A25" s="47"/>
      <c r="B25" s="58"/>
      <c r="C25" s="62"/>
      <c r="D25" s="62"/>
      <c r="E25" s="62"/>
      <c r="F25" s="62"/>
      <c r="G25" s="62"/>
      <c r="H25" s="62"/>
      <c r="I25" s="732"/>
      <c r="J25" s="757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758"/>
      <c r="L25" s="758"/>
      <c r="M25" s="759"/>
      <c r="N25" s="67">
        <v>1</v>
      </c>
      <c r="O25" s="59"/>
      <c r="P25" s="62"/>
      <c r="Q25" s="62"/>
      <c r="R25" s="62"/>
      <c r="S25" s="62"/>
      <c r="T25" s="66"/>
      <c r="U25" s="62"/>
      <c r="V25" s="62"/>
      <c r="W25" s="47"/>
      <c r="X25" s="58"/>
      <c r="Y25" s="62"/>
      <c r="Z25" s="62"/>
      <c r="AA25" s="62"/>
      <c r="AB25" s="62"/>
      <c r="AC25" s="62"/>
      <c r="AD25" s="62"/>
      <c r="AE25" s="732"/>
      <c r="AF25" s="757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758"/>
      <c r="AH25" s="758"/>
      <c r="AI25" s="759"/>
      <c r="AJ25" s="67">
        <v>1</v>
      </c>
      <c r="AK25" s="59"/>
      <c r="AL25" s="62"/>
      <c r="AM25" s="62"/>
      <c r="AN25" s="62"/>
      <c r="AO25" s="62"/>
      <c r="AP25" s="66"/>
      <c r="AQ25" s="52"/>
      <c r="AR25" s="52"/>
    </row>
    <row r="26" spans="1:44" ht="15.75" thickBot="1">
      <c r="A26" s="47"/>
      <c r="B26" s="58"/>
      <c r="C26" s="62"/>
      <c r="D26" s="62"/>
      <c r="E26" s="62"/>
      <c r="F26" s="62"/>
      <c r="G26" s="62"/>
      <c r="H26" s="62"/>
      <c r="I26" s="733"/>
      <c r="J26" s="749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750"/>
      <c r="L26" s="750"/>
      <c r="M26" s="751"/>
      <c r="N26" s="67">
        <v>0</v>
      </c>
      <c r="O26" s="59"/>
      <c r="P26" s="62"/>
      <c r="Q26" s="62"/>
      <c r="R26" s="62"/>
      <c r="S26" s="62"/>
      <c r="T26" s="66"/>
      <c r="U26" s="62"/>
      <c r="V26" s="62"/>
      <c r="W26" s="47"/>
      <c r="X26" s="58"/>
      <c r="Y26" s="62"/>
      <c r="Z26" s="62"/>
      <c r="AA26" s="62"/>
      <c r="AB26" s="62"/>
      <c r="AC26" s="62"/>
      <c r="AD26" s="62"/>
      <c r="AE26" s="733"/>
      <c r="AF26" s="749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750"/>
      <c r="AH26" s="750"/>
      <c r="AI26" s="751"/>
      <c r="AJ26" s="67">
        <v>0</v>
      </c>
      <c r="AK26" s="59"/>
      <c r="AL26" s="62"/>
      <c r="AM26" s="62"/>
      <c r="AN26" s="62"/>
      <c r="AO26" s="62"/>
      <c r="AP26" s="66"/>
      <c r="AQ26" s="52"/>
      <c r="AR26" s="52"/>
    </row>
    <row r="27" spans="1:44" ht="15.75" thickBot="1">
      <c r="A27" s="47"/>
      <c r="B27" s="5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6"/>
      <c r="U27" s="62"/>
      <c r="V27" s="62"/>
      <c r="W27" s="47"/>
      <c r="X27" s="58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6"/>
      <c r="AQ27" s="52"/>
      <c r="AR27" s="52"/>
    </row>
    <row r="28" spans="1:44" ht="15.75" thickBot="1">
      <c r="A28" s="47"/>
      <c r="B28" s="58"/>
      <c r="D28" s="62"/>
      <c r="E28" s="62"/>
      <c r="F28" s="62"/>
      <c r="G28" s="62"/>
      <c r="H28" s="62"/>
      <c r="I28" s="62"/>
      <c r="J28" s="743" t="s">
        <v>81</v>
      </c>
      <c r="K28" s="744"/>
      <c r="L28" s="744"/>
      <c r="M28" s="745"/>
      <c r="N28" s="62"/>
      <c r="O28" s="62"/>
      <c r="P28" s="82"/>
      <c r="Q28" s="62"/>
      <c r="R28" s="62"/>
      <c r="S28" s="62"/>
      <c r="T28" s="66"/>
      <c r="W28" s="47"/>
      <c r="X28" s="58"/>
      <c r="Z28" s="62"/>
      <c r="AA28" s="62"/>
      <c r="AB28" s="62"/>
      <c r="AC28" s="62"/>
      <c r="AD28" s="62"/>
      <c r="AE28" s="62"/>
      <c r="AF28" s="743" t="s">
        <v>81</v>
      </c>
      <c r="AG28" s="744"/>
      <c r="AH28" s="744"/>
      <c r="AI28" s="745"/>
      <c r="AJ28" s="62"/>
      <c r="AK28" s="62"/>
      <c r="AL28" s="82"/>
      <c r="AM28" s="62"/>
      <c r="AN28" s="62"/>
      <c r="AO28" s="62"/>
      <c r="AP28" s="66"/>
    </row>
    <row r="29" spans="1:44">
      <c r="A29" s="47"/>
      <c r="B29" s="58"/>
      <c r="D29" s="808" t="s">
        <v>0</v>
      </c>
      <c r="E29" s="809"/>
      <c r="F29" s="810"/>
      <c r="G29" s="62"/>
      <c r="H29" s="746" t="str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OFFICE</v>
      </c>
      <c r="I29" s="747"/>
      <c r="J29" s="747"/>
      <c r="K29" s="747"/>
      <c r="L29" s="747"/>
      <c r="M29" s="747"/>
      <c r="N29" s="748"/>
      <c r="O29" s="62"/>
      <c r="P29" s="62"/>
      <c r="Q29" s="62"/>
      <c r="R29" s="62"/>
      <c r="S29" s="62"/>
      <c r="T29" s="66"/>
      <c r="W29" s="47"/>
      <c r="X29" s="58"/>
      <c r="Z29" s="808" t="s">
        <v>0</v>
      </c>
      <c r="AA29" s="809"/>
      <c r="AB29" s="810"/>
      <c r="AC29" s="62"/>
      <c r="AD29" s="746" t="str">
        <f>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</f>
        <v>OFFICE</v>
      </c>
      <c r="AE29" s="747"/>
      <c r="AF29" s="747"/>
      <c r="AG29" s="747"/>
      <c r="AH29" s="747"/>
      <c r="AI29" s="747"/>
      <c r="AJ29" s="748"/>
      <c r="AK29" s="62"/>
      <c r="AL29" s="62"/>
      <c r="AN29" s="62"/>
      <c r="AO29" s="62"/>
      <c r="AP29" s="66"/>
    </row>
    <row r="30" spans="1:44">
      <c r="A30" s="47"/>
      <c r="B30" s="58"/>
      <c r="D30" s="787" t="s">
        <v>1</v>
      </c>
      <c r="E30" s="788"/>
      <c r="F30" s="789"/>
      <c r="G30" s="62"/>
      <c r="H30" s="740" t="str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OFFICE</v>
      </c>
      <c r="I30" s="741"/>
      <c r="J30" s="741"/>
      <c r="K30" s="741"/>
      <c r="L30" s="741"/>
      <c r="M30" s="741"/>
      <c r="N30" s="742"/>
      <c r="O30" s="62"/>
      <c r="P30" s="84"/>
      <c r="Q30" s="84"/>
      <c r="R30" s="84"/>
      <c r="S30" s="84"/>
      <c r="T30" s="66"/>
      <c r="W30" s="47"/>
      <c r="X30" s="58"/>
      <c r="Z30" s="787" t="s">
        <v>1</v>
      </c>
      <c r="AA30" s="788"/>
      <c r="AB30" s="789"/>
      <c r="AC30" s="62"/>
      <c r="AD30" s="740" t="str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OFFICE</v>
      </c>
      <c r="AE30" s="741"/>
      <c r="AF30" s="741"/>
      <c r="AG30" s="741"/>
      <c r="AH30" s="741"/>
      <c r="AI30" s="741"/>
      <c r="AJ30" s="742"/>
      <c r="AK30" s="62"/>
      <c r="AL30" s="84"/>
      <c r="AM30" s="84"/>
      <c r="AN30" s="84"/>
      <c r="AO30" s="62"/>
      <c r="AP30" s="66"/>
    </row>
    <row r="31" spans="1:44">
      <c r="A31" s="47"/>
      <c r="B31" s="58"/>
      <c r="D31" s="787" t="s">
        <v>2</v>
      </c>
      <c r="E31" s="788"/>
      <c r="F31" s="789"/>
      <c r="G31" s="62"/>
      <c r="H31" s="8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806"/>
      <c r="J31" s="806"/>
      <c r="K31" s="806"/>
      <c r="L31" s="806"/>
      <c r="M31" s="806"/>
      <c r="N31" s="807"/>
      <c r="O31" s="62"/>
      <c r="P31" s="62"/>
      <c r="Q31" s="62"/>
      <c r="R31" s="62"/>
      <c r="S31" s="62"/>
      <c r="T31" s="66"/>
      <c r="W31" s="47"/>
      <c r="X31" s="58"/>
      <c r="Z31" s="787" t="s">
        <v>2</v>
      </c>
      <c r="AA31" s="788"/>
      <c r="AB31" s="789"/>
      <c r="AC31" s="62"/>
      <c r="AD31" s="790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791"/>
      <c r="AF31" s="791"/>
      <c r="AG31" s="791"/>
      <c r="AH31" s="791"/>
      <c r="AI31" s="791"/>
      <c r="AJ31" s="792"/>
      <c r="AK31" s="62"/>
      <c r="AL31" s="62"/>
      <c r="AM31" s="62"/>
      <c r="AN31" s="62"/>
      <c r="AO31" s="62"/>
      <c r="AP31" s="66"/>
    </row>
    <row r="32" spans="1:44">
      <c r="A32" s="47"/>
      <c r="B32" s="58"/>
      <c r="D32" s="787" t="s">
        <v>3</v>
      </c>
      <c r="E32" s="788"/>
      <c r="F32" s="789"/>
      <c r="G32" s="62"/>
      <c r="H32" s="8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806"/>
      <c r="J32" s="806"/>
      <c r="K32" s="806"/>
      <c r="L32" s="806"/>
      <c r="M32" s="806"/>
      <c r="N32" s="807"/>
      <c r="O32" s="62"/>
      <c r="P32" s="62"/>
      <c r="Q32" s="62"/>
      <c r="R32" s="62"/>
      <c r="S32" s="62"/>
      <c r="T32" s="66"/>
      <c r="W32" s="47"/>
      <c r="X32" s="58"/>
      <c r="Z32" s="787" t="s">
        <v>3</v>
      </c>
      <c r="AA32" s="788"/>
      <c r="AB32" s="789"/>
      <c r="AC32" s="62"/>
      <c r="AD32" s="8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806"/>
      <c r="AF32" s="806"/>
      <c r="AG32" s="806"/>
      <c r="AH32" s="806"/>
      <c r="AI32" s="806"/>
      <c r="AJ32" s="807"/>
      <c r="AK32" s="62"/>
      <c r="AL32" s="62"/>
      <c r="AM32" s="62"/>
      <c r="AN32" s="62"/>
      <c r="AO32" s="62"/>
      <c r="AP32" s="66"/>
    </row>
    <row r="33" spans="1:44" ht="15.75" thickBot="1">
      <c r="A33" s="47"/>
      <c r="B33" s="58"/>
      <c r="D33" s="802" t="s">
        <v>4</v>
      </c>
      <c r="E33" s="803"/>
      <c r="F33" s="804"/>
      <c r="G33" s="62"/>
      <c r="H33" s="799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800"/>
      <c r="J33" s="800"/>
      <c r="K33" s="800"/>
      <c r="L33" s="800"/>
      <c r="M33" s="800"/>
      <c r="N33" s="801"/>
      <c r="O33" s="62"/>
      <c r="P33" s="62"/>
      <c r="Q33" s="62"/>
      <c r="R33" s="62"/>
      <c r="S33" s="62"/>
      <c r="T33" s="66"/>
      <c r="W33" s="47"/>
      <c r="X33" s="58"/>
      <c r="Z33" s="802" t="s">
        <v>4</v>
      </c>
      <c r="AA33" s="803"/>
      <c r="AB33" s="804"/>
      <c r="AC33" s="62"/>
      <c r="AD33" s="799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800"/>
      <c r="AF33" s="800"/>
      <c r="AG33" s="800"/>
      <c r="AH33" s="800"/>
      <c r="AI33" s="800"/>
      <c r="AJ33" s="801"/>
      <c r="AK33" s="62"/>
      <c r="AL33" s="62"/>
      <c r="AM33" s="62"/>
      <c r="AN33" s="62"/>
      <c r="AO33" s="62"/>
      <c r="AP33" s="66"/>
    </row>
    <row r="34" spans="1:44">
      <c r="A34" s="47"/>
      <c r="B34" s="58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2"/>
      <c r="O34" s="62"/>
      <c r="P34" s="62"/>
      <c r="Q34" s="62"/>
      <c r="R34" s="62"/>
      <c r="S34" s="62"/>
      <c r="T34" s="66"/>
      <c r="U34" s="62"/>
      <c r="V34" s="62"/>
      <c r="W34" s="47"/>
      <c r="X34" s="58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2"/>
      <c r="AK34" s="62"/>
      <c r="AL34" s="62"/>
      <c r="AM34" s="62"/>
      <c r="AN34" s="62"/>
      <c r="AO34" s="62"/>
      <c r="AP34" s="66"/>
      <c r="AQ34" s="52"/>
      <c r="AR34" s="52"/>
    </row>
    <row r="35" spans="1:44" ht="15.75" thickBot="1">
      <c r="A35" s="47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7"/>
      <c r="R35" s="87"/>
      <c r="S35" s="87"/>
      <c r="T35" s="88"/>
      <c r="U35" s="47"/>
      <c r="V35" s="47"/>
      <c r="W35" s="47"/>
      <c r="X35" s="8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52"/>
      <c r="AR35" s="52"/>
    </row>
    <row r="36" spans="1:44" ht="15.75" thickBot="1"/>
    <row r="37" spans="1:44" ht="15.75" thickBot="1">
      <c r="M37" s="820" t="s">
        <v>85</v>
      </c>
      <c r="N37" s="821"/>
      <c r="O37" s="822"/>
    </row>
  </sheetData>
  <sheetProtection formatCells="0" formatColumns="0" formatRows="0" insertColumns="0" insertRows="0" insertHyperlinks="0" deleteColumns="0" deleteRows="0" sort="0"/>
  <mergeCells count="89">
    <mergeCell ref="M37:O37"/>
    <mergeCell ref="I1:L1"/>
    <mergeCell ref="N1:S1"/>
    <mergeCell ref="AE1:AH1"/>
    <mergeCell ref="B1:D1"/>
    <mergeCell ref="E1:G1"/>
    <mergeCell ref="B2:D2"/>
    <mergeCell ref="F2:G2"/>
    <mergeCell ref="I2:K2"/>
    <mergeCell ref="L2:T2"/>
    <mergeCell ref="X2:Z2"/>
    <mergeCell ref="T4:T5"/>
    <mergeCell ref="Y4:AO4"/>
    <mergeCell ref="X1:Z1"/>
    <mergeCell ref="AA1:AC1"/>
    <mergeCell ref="AJ1:AO1"/>
    <mergeCell ref="AB2:AC2"/>
    <mergeCell ref="AE2:AG2"/>
    <mergeCell ref="AH2:AP2"/>
    <mergeCell ref="AP4:AP5"/>
    <mergeCell ref="J28:M28"/>
    <mergeCell ref="AF28:AI28"/>
    <mergeCell ref="Y9:AB9"/>
    <mergeCell ref="AF9:AI9"/>
    <mergeCell ref="C4:S4"/>
    <mergeCell ref="AM14:AO14"/>
    <mergeCell ref="AM15:AO15"/>
    <mergeCell ref="X14:X15"/>
    <mergeCell ref="Y14:AB14"/>
    <mergeCell ref="AF14:AI14"/>
    <mergeCell ref="AL14:AL15"/>
    <mergeCell ref="X8:X9"/>
    <mergeCell ref="D29:F29"/>
    <mergeCell ref="H29:N29"/>
    <mergeCell ref="Z29:AB29"/>
    <mergeCell ref="AD29:AJ29"/>
    <mergeCell ref="D32:F32"/>
    <mergeCell ref="H32:N32"/>
    <mergeCell ref="Z32:AB32"/>
    <mergeCell ref="AD32:AJ32"/>
    <mergeCell ref="H30:N30"/>
    <mergeCell ref="Z30:AB30"/>
    <mergeCell ref="AD30:AJ30"/>
    <mergeCell ref="D31:F31"/>
    <mergeCell ref="H31:N31"/>
    <mergeCell ref="Z31:AB31"/>
    <mergeCell ref="AD31:AJ31"/>
    <mergeCell ref="D30:F30"/>
    <mergeCell ref="D33:F33"/>
    <mergeCell ref="H33:N33"/>
    <mergeCell ref="Z33:AB33"/>
    <mergeCell ref="AD33:AJ33"/>
    <mergeCell ref="B14:B15"/>
    <mergeCell ref="C14:F14"/>
    <mergeCell ref="J14:M14"/>
    <mergeCell ref="P14:P15"/>
    <mergeCell ref="E20:E21"/>
    <mergeCell ref="F20:I20"/>
    <mergeCell ref="L20:L21"/>
    <mergeCell ref="M20:P20"/>
    <mergeCell ref="C15:F15"/>
    <mergeCell ref="Q15:S15"/>
    <mergeCell ref="Y15:AB15"/>
    <mergeCell ref="Q14:S14"/>
    <mergeCell ref="B8:B9"/>
    <mergeCell ref="C8:F8"/>
    <mergeCell ref="I8:I9"/>
    <mergeCell ref="J8:M8"/>
    <mergeCell ref="Q8:S8"/>
    <mergeCell ref="C9:F9"/>
    <mergeCell ref="J9:M9"/>
    <mergeCell ref="Y8:AB8"/>
    <mergeCell ref="AE8:AE9"/>
    <mergeCell ref="AF8:AI8"/>
    <mergeCell ref="AM8:AO8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I25:I26"/>
    <mergeCell ref="J25:M25"/>
    <mergeCell ref="AE25:AE26"/>
    <mergeCell ref="AF25:AI25"/>
    <mergeCell ref="J26:M26"/>
    <mergeCell ref="AF26:AI26"/>
  </mergeCells>
  <conditionalFormatting sqref="H32">
    <cfRule type="expression" dxfId="149" priority="283">
      <formula>$H$2=5</formula>
    </cfRule>
    <cfRule type="expression" dxfId="148" priority="284">
      <formula>$H$2=4</formula>
    </cfRule>
    <cfRule type="expression" dxfId="147" priority="285">
      <formula>$H$2=0</formula>
    </cfRule>
  </conditionalFormatting>
  <conditionalFormatting sqref="H29:N29">
    <cfRule type="expression" dxfId="146" priority="280">
      <formula>$H$2=0</formula>
    </cfRule>
    <cfRule type="expression" dxfId="145" priority="281" stopIfTrue="1">
      <formula>(OR(H2="1",H2="2",H2="3"))</formula>
    </cfRule>
  </conditionalFormatting>
  <conditionalFormatting sqref="H30:N30">
    <cfRule type="expression" dxfId="144" priority="279">
      <formula>(OR(H2="2",H2="3"))</formula>
    </cfRule>
  </conditionalFormatting>
  <conditionalFormatting sqref="H31:N31">
    <cfRule type="expression" dxfId="143" priority="278">
      <formula>(H2="3")</formula>
    </cfRule>
  </conditionalFormatting>
  <conditionalFormatting sqref="H32:N33 AD31:AJ33 AF25:AI25 C14:F15 F21:I21 M21:P21 AB21:AE21 AI21:AL21">
    <cfRule type="cellIs" dxfId="142" priority="277" operator="equal">
      <formula>0</formula>
    </cfRule>
  </conditionalFormatting>
  <conditionalFormatting sqref="AD32">
    <cfRule type="expression" dxfId="141" priority="267">
      <formula>$H$2=5</formula>
    </cfRule>
    <cfRule type="expression" dxfId="140" priority="268">
      <formula>$H$2=4</formula>
    </cfRule>
  </conditionalFormatting>
  <conditionalFormatting sqref="H33 AD33">
    <cfRule type="expression" dxfId="139" priority="308">
      <formula>$AF$2=5</formula>
    </cfRule>
  </conditionalFormatting>
  <conditionalFormatting sqref="AD30">
    <cfRule type="expression" dxfId="138" priority="294">
      <formula>$AF$2=5</formula>
    </cfRule>
    <cfRule type="expression" dxfId="137" priority="295">
      <formula>$AF$2=4</formula>
    </cfRule>
    <cfRule type="expression" dxfId="136" priority="296">
      <formula>$AF$2=3</formula>
    </cfRule>
    <cfRule type="expression" dxfId="135" priority="297">
      <formula>$AF$2=2</formula>
    </cfRule>
  </conditionalFormatting>
  <conditionalFormatting sqref="AD31:AJ31">
    <cfRule type="expression" dxfId="134" priority="290">
      <formula>$AF$2=5</formula>
    </cfRule>
    <cfRule type="expression" dxfId="133" priority="291">
      <formula>$AF$2=4</formula>
    </cfRule>
    <cfRule type="expression" dxfId="132" priority="292">
      <formula>$AF$2=3</formula>
    </cfRule>
  </conditionalFormatting>
  <conditionalFormatting sqref="AD32:AJ32">
    <cfRule type="expression" dxfId="131" priority="286">
      <formula>$AF$2=5</formula>
    </cfRule>
    <cfRule type="expression" dxfId="130" priority="288">
      <formula>$AF$2=4</formula>
    </cfRule>
  </conditionalFormatting>
  <conditionalFormatting sqref="AD29:AJ29">
    <cfRule type="expression" dxfId="129" priority="282">
      <formula>$AF$2=1</formula>
    </cfRule>
  </conditionalFormatting>
  <conditionalFormatting sqref="AD29:AJ29">
    <cfRule type="expression" dxfId="128" priority="266" stopIfTrue="1">
      <formula>(OR(AF2="1",AF2="2",AF2="3"))</formula>
    </cfRule>
  </conditionalFormatting>
  <conditionalFormatting sqref="AD30:AJ30">
    <cfRule type="expression" dxfId="127" priority="264">
      <formula>(OR(AF2="2",AF2="3"))</formula>
    </cfRule>
  </conditionalFormatting>
  <conditionalFormatting sqref="AD31:AJ31">
    <cfRule type="expression" dxfId="126" priority="263">
      <formula>(AF2="3")</formula>
    </cfRule>
  </conditionalFormatting>
  <conditionalFormatting sqref="AD29">
    <cfRule type="expression" dxfId="125" priority="347">
      <formula>$AF$2=2</formula>
    </cfRule>
    <cfRule type="expression" dxfId="124" priority="348">
      <formula>$AF$2=5</formula>
    </cfRule>
    <cfRule type="expression" dxfId="123" priority="349">
      <formula>$AF$2=4</formula>
    </cfRule>
    <cfRule type="expression" dxfId="122" priority="350">
      <formula>$AF$2=3</formula>
    </cfRule>
  </conditionalFormatting>
  <conditionalFormatting sqref="H33 AD33">
    <cfRule type="expression" dxfId="121" priority="246">
      <formula>$AD$2=5</formula>
    </cfRule>
  </conditionalFormatting>
  <conditionalFormatting sqref="AD29">
    <cfRule type="expression" dxfId="120" priority="237">
      <formula>$AD$2=2</formula>
    </cfRule>
    <cfRule type="expression" dxfId="119" priority="238">
      <formula>$AD$2=5</formula>
    </cfRule>
    <cfRule type="expression" dxfId="118" priority="239">
      <formula>$AD$2=4</formula>
    </cfRule>
    <cfRule type="expression" dxfId="117" priority="240">
      <formula>$AD$2=3</formula>
    </cfRule>
  </conditionalFormatting>
  <conditionalFormatting sqref="AD30">
    <cfRule type="expression" dxfId="116" priority="233">
      <formula>$AD$2=5</formula>
    </cfRule>
    <cfRule type="expression" dxfId="115" priority="234">
      <formula>$AD$2=4</formula>
    </cfRule>
    <cfRule type="expression" dxfId="114" priority="235">
      <formula>$AD$2=3</formula>
    </cfRule>
    <cfRule type="expression" dxfId="113" priority="236">
      <formula>$AD$2=2</formula>
    </cfRule>
  </conditionalFormatting>
  <conditionalFormatting sqref="AD31">
    <cfRule type="expression" dxfId="112" priority="229">
      <formula>$AD$2=5</formula>
    </cfRule>
    <cfRule type="expression" dxfId="111" priority="230">
      <formula>$AD$2=4</formula>
    </cfRule>
    <cfRule type="expression" dxfId="110" priority="231">
      <formula>$AD$2=3</formula>
    </cfRule>
  </conditionalFormatting>
  <conditionalFormatting sqref="AD32:AJ32">
    <cfRule type="cellIs" dxfId="109" priority="224" operator="equal">
      <formula>0</formula>
    </cfRule>
    <cfRule type="expression" dxfId="108" priority="225">
      <formula>$AD$2=5</formula>
    </cfRule>
    <cfRule type="expression" dxfId="107" priority="227">
      <formula>$AD$2=4</formula>
    </cfRule>
  </conditionalFormatting>
  <conditionalFormatting sqref="AD29:AJ29">
    <cfRule type="expression" dxfId="106" priority="222">
      <formula>$AD$2=1</formula>
    </cfRule>
  </conditionalFormatting>
  <conditionalFormatting sqref="H29:N29">
    <cfRule type="expression" dxfId="105" priority="220">
      <formula>$H$2=0</formula>
    </cfRule>
    <cfRule type="expression" dxfId="104" priority="221" stopIfTrue="1">
      <formula>(OR(H2="1",H2="2",H2="3"))</formula>
    </cfRule>
  </conditionalFormatting>
  <conditionalFormatting sqref="H30:N30">
    <cfRule type="expression" dxfId="103" priority="219">
      <formula>(OR(H2="2",H2="3"))</formula>
    </cfRule>
  </conditionalFormatting>
  <conditionalFormatting sqref="H31:N31">
    <cfRule type="cellIs" dxfId="102" priority="217" operator="equal">
      <formula>0</formula>
    </cfRule>
    <cfRule type="expression" dxfId="101" priority="218">
      <formula>(H2="3")</formula>
    </cfRule>
  </conditionalFormatting>
  <conditionalFormatting sqref="AD29:AJ29">
    <cfRule type="expression" dxfId="100" priority="216" stopIfTrue="1">
      <formula>(OR(AD2="1",AD2="2",AD2="3"))</formula>
    </cfRule>
  </conditionalFormatting>
  <conditionalFormatting sqref="AD30:AJ30">
    <cfRule type="expression" dxfId="99" priority="214">
      <formula>(OR(AD2="2",AD2="3"))</formula>
    </cfRule>
  </conditionalFormatting>
  <conditionalFormatting sqref="AD31">
    <cfRule type="expression" dxfId="98" priority="213">
      <formula>(AD2="3")</formula>
    </cfRule>
  </conditionalFormatting>
  <conditionalFormatting sqref="C8:F9 AF8:AF9 AG8:AI8">
    <cfRule type="expression" dxfId="97" priority="100">
      <formula>(OR($E$2=3,$E$2=4,$E$2=5))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7</vt:i4>
      </vt:variant>
    </vt:vector>
  </HeadingPairs>
  <TitlesOfParts>
    <vt:vector size="21" baseType="lpstr">
      <vt:lpstr>Données</vt:lpstr>
      <vt:lpstr>Tableau général</vt:lpstr>
      <vt:lpstr>Poule 1 et 2</vt:lpstr>
      <vt:lpstr>Poule 3 et 4</vt:lpstr>
      <vt:lpstr>Poule 5 et 6</vt:lpstr>
      <vt:lpstr>Poule 7 et 8</vt:lpstr>
      <vt:lpstr>Poule 9 et 10</vt:lpstr>
      <vt:lpstr>Poule 11 et 12</vt:lpstr>
      <vt:lpstr>Poule 13 et 14</vt:lpstr>
      <vt:lpstr>Poule 15 et 16</vt:lpstr>
      <vt:lpstr>parties élimin. 1.16ème</vt:lpstr>
      <vt:lpstr>Feuil1</vt:lpstr>
      <vt:lpstr>Feuil2</vt:lpstr>
      <vt:lpstr>Feuil3</vt:lpstr>
      <vt:lpstr>Catégorie</vt:lpstr>
      <vt:lpstr>Féminine</vt:lpstr>
      <vt:lpstr>Jeunes</vt:lpstr>
      <vt:lpstr>Masculin</vt:lpstr>
      <vt:lpstr>Série</vt:lpstr>
      <vt:lpstr>Feuil2!Zone_d_impression</vt:lpstr>
      <vt:lpstr>'Poule 1 et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Alain</cp:lastModifiedBy>
  <cp:lastPrinted>2021-01-27T16:56:07Z</cp:lastPrinted>
  <dcterms:created xsi:type="dcterms:W3CDTF">2013-08-06T09:32:55Z</dcterms:created>
  <dcterms:modified xsi:type="dcterms:W3CDTF">2021-01-27T17:58:15Z</dcterms:modified>
</cp:coreProperties>
</file>